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20" windowWidth="28755" windowHeight="13095" activeTab="0"/>
  </bookViews>
  <sheets>
    <sheet name="Data" sheetId="6" r:id="rId1"/>
    <sheet name="Disclaimer" r:id="rId5" sheetId="7"/>
  </sheets>
  <calcPr calcId="125725"/>
</workbook>
</file>

<file path=xl/sharedStrings.xml><?xml version="1.0" encoding="utf-8"?>
<sst xmlns="http://schemas.openxmlformats.org/spreadsheetml/2006/main" count="148" uniqueCount="147">
  <si>
    <t>Search Criteria:</t>
  </si>
  <si>
    <t>Downloaded on:</t>
  </si>
  <si>
    <t xml:space="preserve"> </t>
  </si>
  <si>
    <t>Created for:</t>
  </si>
  <si>
    <t>All Columns</t>
  </si>
  <si>
    <t xml:space="preserve">Total Raised: Min: 6M; Location: Europe; Search HQ Only; Backing Status: VC-backed; Ownership Status: Privately Held (backing); Year Founded: From: 01-Jan-2012; </t>
  </si>
  <si>
    <t>9/11/2017</t>
  </si>
  <si>
    <t>Milda Jasaite, EarlyBird Venture Capital</t>
  </si>
  <si>
    <t>Company ID</t>
  </si>
  <si>
    <t>Company Name</t>
  </si>
  <si>
    <t>Company Former Name</t>
  </si>
  <si>
    <t>Company Also Known As</t>
  </si>
  <si>
    <t>PBId</t>
  </si>
  <si>
    <t>Description</t>
  </si>
  <si>
    <t>Primary Industry Sector</t>
  </si>
  <si>
    <t>Primary Industry Group</t>
  </si>
  <si>
    <t>Primary Industry Code</t>
  </si>
  <si>
    <t>All Industries</t>
  </si>
  <si>
    <t>Industry Vertical</t>
  </si>
  <si>
    <t>Company Financing Status</t>
  </si>
  <si>
    <t>Total Raised</t>
  </si>
  <si>
    <t>Business Status</t>
  </si>
  <si>
    <t>Ownership Status</t>
  </si>
  <si>
    <t>Universe</t>
  </si>
  <si>
    <t>Website</t>
  </si>
  <si>
    <t>Employees</t>
  </si>
  <si>
    <t>Exchange</t>
  </si>
  <si>
    <t>Ticker</t>
  </si>
  <si>
    <t>Year Founded</t>
  </si>
  <si>
    <t>Parent Company</t>
  </si>
  <si>
    <t>Daily Updates</t>
  </si>
  <si>
    <t>Weekly Updates</t>
  </si>
  <si>
    <t>Revenue</t>
  </si>
  <si>
    <t>Gross Profit</t>
  </si>
  <si>
    <t>Net Income</t>
  </si>
  <si>
    <t>Enterprise Value</t>
  </si>
  <si>
    <t>EBITDA</t>
  </si>
  <si>
    <t>Fiscal Period</t>
  </si>
  <si>
    <t>Primary Contact PBId</t>
  </si>
  <si>
    <t>Primary Contact</t>
  </si>
  <si>
    <t>Primary Contact Title</t>
  </si>
  <si>
    <t>Primary Contact Email</t>
  </si>
  <si>
    <t>Primary Contact Phone</t>
  </si>
  <si>
    <t>HQ Location</t>
  </si>
  <si>
    <t>HQ Address Line 1</t>
  </si>
  <si>
    <t>HQ Address Line 2</t>
  </si>
  <si>
    <t>HQ City</t>
  </si>
  <si>
    <t>HQ State/Province</t>
  </si>
  <si>
    <t>HQ Post Code</t>
  </si>
  <si>
    <t>HQ Country</t>
  </si>
  <si>
    <t>HQ Phone</t>
  </si>
  <si>
    <t>HQ Fax</t>
  </si>
  <si>
    <t>HQ Email</t>
  </si>
  <si>
    <t>HQ Global Region</t>
  </si>
  <si>
    <t>HQ Global Sub Region</t>
  </si>
  <si>
    <t>Financing Status Note</t>
  </si>
  <si>
    <t>Active Investors</t>
  </si>
  <si>
    <t># Active Investors</t>
  </si>
  <si>
    <t>Acquirers</t>
  </si>
  <si>
    <t>Former Investors</t>
  </si>
  <si>
    <t>Other Investors</t>
  </si>
  <si>
    <t>Active Investors Websites</t>
  </si>
  <si>
    <t>Former Investors Websites</t>
  </si>
  <si>
    <t>Other Investors Websites</t>
  </si>
  <si>
    <t>General Services</t>
  </si>
  <si>
    <t>Services on a Deal</t>
  </si>
  <si>
    <t>First Financing Date</t>
  </si>
  <si>
    <t>First Financing Size</t>
  </si>
  <si>
    <t>First Financing Size Status</t>
  </si>
  <si>
    <t>First Financing Valuation</t>
  </si>
  <si>
    <t>First Financing Valuation Status</t>
  </si>
  <si>
    <t>First Financing Deal Type</t>
  </si>
  <si>
    <t>First Financing Deal Type 2</t>
  </si>
  <si>
    <t>First Financing Deal Type 3</t>
  </si>
  <si>
    <t>First Financing Deal Class</t>
  </si>
  <si>
    <t>First Financing Debt Type</t>
  </si>
  <si>
    <t>First Financing Debt Type 2</t>
  </si>
  <si>
    <t>First Financing Debt Type 3</t>
  </si>
  <si>
    <t>First Financing Status</t>
  </si>
  <si>
    <t>Last Financing Date</t>
  </si>
  <si>
    <t>Last Financing Size</t>
  </si>
  <si>
    <t>Last Financing Size Status</t>
  </si>
  <si>
    <t>Last Financing Valuation</t>
  </si>
  <si>
    <t>Last Financing Valuation Status</t>
  </si>
  <si>
    <t>Last Financing Deal Type</t>
  </si>
  <si>
    <t xml:space="preserve">Last Financing Deal Type 2 </t>
  </si>
  <si>
    <t>Last Financing Deal Type 3</t>
  </si>
  <si>
    <t>Last Financing Deal Class</t>
  </si>
  <si>
    <t>Last Financing Debt Type</t>
  </si>
  <si>
    <t>Last Financing Debt Type 2</t>
  </si>
  <si>
    <t>Last Financing Debt Type 3</t>
  </si>
  <si>
    <t>Last Financing Status</t>
  </si>
  <si>
    <t>Growth Rate</t>
  </si>
  <si>
    <t>Growth Rate Percentile</t>
  </si>
  <si>
    <t>Growth Rate Change</t>
  </si>
  <si>
    <t>Growth Rate % Change</t>
  </si>
  <si>
    <t>Web Growth Rate</t>
  </si>
  <si>
    <t>Web Growth Rate Percentile</t>
  </si>
  <si>
    <t>Social Growth Rate</t>
  </si>
  <si>
    <t>Social Growth Rate Percentile</t>
  </si>
  <si>
    <t>SimilarWeb Growth Rate</t>
  </si>
  <si>
    <t>SimilarWeb Growth Rate Percentile</t>
  </si>
  <si>
    <t>Majestic Growth Rate</t>
  </si>
  <si>
    <t>Majestic Growth Rate Percentile</t>
  </si>
  <si>
    <t>Facebook Growth Rate</t>
  </si>
  <si>
    <t>Facebook Growth Rate Percentile</t>
  </si>
  <si>
    <t>Twitter Growth Rate</t>
  </si>
  <si>
    <t>Twitter Growth Rate Percentile</t>
  </si>
  <si>
    <t>Size Multiple</t>
  </si>
  <si>
    <t>Size Multiple Percentile</t>
  </si>
  <si>
    <t>Size Multiple Change</t>
  </si>
  <si>
    <t>Size Multiple % Change</t>
  </si>
  <si>
    <t>Web Size Multiple</t>
  </si>
  <si>
    <t>Web Size Multiple Percentile</t>
  </si>
  <si>
    <t>Social Size Multiple</t>
  </si>
  <si>
    <t>Social Size Multiple Percentile</t>
  </si>
  <si>
    <t>SimilarWeb Size Multiple</t>
  </si>
  <si>
    <t>SimilarWeb Size Multiple Percentile</t>
  </si>
  <si>
    <t>Majestic Size Multiple</t>
  </si>
  <si>
    <t>Majestic Size Multiple Percentile</t>
  </si>
  <si>
    <t>Facebook Size Multiple</t>
  </si>
  <si>
    <t>Facebook Size Multiple Percentile</t>
  </si>
  <si>
    <t>Twitter Size Multiple</t>
  </si>
  <si>
    <t>Twitter Size Multiple Percentile</t>
  </si>
  <si>
    <t>SimilarWeb Unique Visitors</t>
  </si>
  <si>
    <t>SimilarWeb Unique Visitors Change</t>
  </si>
  <si>
    <t>SimilarWeb Unique Visitors % Change</t>
  </si>
  <si>
    <t>Facebook Likes</t>
  </si>
  <si>
    <t>Facebook Likes Change</t>
  </si>
  <si>
    <t>Facebook Likes % Change</t>
  </si>
  <si>
    <t>Majestic Referring Domains</t>
  </si>
  <si>
    <t>Majestic Referring Domains Change</t>
  </si>
  <si>
    <t>Majestic Referring Domains % Change</t>
  </si>
  <si>
    <t>Twitter Followers</t>
  </si>
  <si>
    <t>Twitter Followers Change</t>
  </si>
  <si>
    <t>Twitter Followers % Change</t>
  </si>
  <si>
    <t>Profile Data Source</t>
  </si>
  <si>
    <t>PitchBook Link</t>
  </si>
  <si>
    <t>All data copyright PitchBook Data, Inc.</t>
  </si>
  <si>
    <t>For customized data reports and analyses, contact us at:</t>
  </si>
  <si>
    <t xml:space="preserve">clientservices@pitchbook.com </t>
  </si>
  <si>
    <t xml:space="preserve">In accordance with the </t>
  </si>
  <si>
    <t>PitchBook User Agreement</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</si>
  <si>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</si>
  <si>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</si>
  <si>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clientservices@pitchbook.com.</t>
  </si>
  <si>
    <t>© PitchBook Data, Inc. 2017</t>
  </si>
</sst>
</file>

<file path=xl/styles.xml><?xml version="1.0" encoding="utf-8"?>
<styleSheet xmlns="http://schemas.openxmlformats.org/spreadsheetml/2006/main">
  <numFmts count="7">
    <numFmt numFmtId="165" formatCode="#,##0.00;[red](#,##0.00)"/>
    <numFmt numFmtId="166" formatCode="#,##0;[red](#,##0)"/>
    <numFmt numFmtId="167" formatCode="0000"/>
    <numFmt numFmtId="168" formatCode="dd-MMM-yyyy"/>
    <numFmt numFmtId="169" formatCode="#,##0.00&quot;%&quot;;[red]-#,##0.00&quot;%&quot;"/>
    <numFmt numFmtId="170" formatCode="#,###"/>
    <numFmt numFmtId="171" formatCode="#,##0.00x;[red]-#,##0.00x"/>
  </numFmts>
  <fonts count="800">
    <font>
      <sz val="11"/>
      <color theme="1"/>
      <name val="Calibri"/>
      <family val="2"/>
      <scheme val="minor"/>
    </font>
    <font>
      <sz val="10"/>
      <name val="Arial"/>
      <family val="2"/>
      <charset val="204"/>
    </font>
    <font>
      <sz val="8"/>
      <color theme="1"/>
      <name val="Arial"/>
      <family val="2"/>
      <charset val="204"/>
    </font>
    <font>
      <sz val="8"/>
      <color indexed="8"/>
      <name val="Arial"/>
      <family val="2"/>
    </font>
    <font>
      <b/>
      <sz val="8"/>
      <color indexed="16"/>
      <name val="Arial"/>
      <family val="2"/>
    </font>
    <font>
      <sz val="8"/>
      <color indexed="8"/>
      <name val="Arial"/>
      <family val="2"/>
      <charset val="204"/>
    </font>
    <font>
      <b/>
      <sz val="16"/>
      <color indexed="8"/>
      <name val="Arial"/>
      <family val="2"/>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Arial"/>
      <sz val="8.0"/>
    </font>
    <font xmlns:main="http://schemas.openxmlformats.org/spreadsheetml/2006/main">
      <main:b/>
      <main:sz val="14"/>
      <main:color indexed="8"/>
      <main:name val="Arial"/>
      <main:family val="2"/>
    </font>
    <font xmlns:main="http://schemas.openxmlformats.org/spreadsheetml/2006/main">
      <main:i/>
      <main:sz val="10"/>
      <main:color indexed="8"/>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color theme="3" tint="0.39997558519241921"/>
      <main:name val="Arial"/>
      <main:family val="2"/>
      <main:charset val="204"/>
    </font>
    <font>
      <name val="Arial"/>
      <sz val="8.0"/>
    </font>
  </fonts>
  <fills count="10">
    <fill>
      <patternFill patternType="none"/>
    </fill>
    <fill>
      <patternFill patternType="gray125"/>
    </fill>
    <fill>
      <patternFill patternType="solid">
        <fgColor indexed="9"/>
        <bgColor indexed="64"/>
      </patternFill>
    </fill>
    <fill>
      <patternFill>
        <fgColor rgb="4F81BD"/>
      </patternFill>
    </fill>
    <fill>
      <patternFill patternType="solid">
        <fgColor rgb="4F81BD"/>
      </patternFill>
    </fill>
    <fill>
      <patternFill>
        <fgColor rgb="EEF3F8"/>
      </patternFill>
    </fill>
    <fill>
      <patternFill patternType="solid">
        <fgColor rgb="EEF3F8"/>
      </patternFill>
    </fill>
    <fill>
      <patternFill>
        <fgColor rgb="FFFFFF"/>
      </patternFill>
    </fill>
    <fill>
      <patternFill patternType="solid">
        <fgColor rgb="FFFFFF"/>
      </patternFill>
    </fill>
    <fill>
      <patternFill patternType="solid">
        <fgColor rgb="FFFFFF"/>
        <bgColor indexed="64"/>
      </patternFill>
    </fill>
  </fills>
  <borders count="7">
    <border>
      <left/>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s>
  <cellStyleXfs count="2">
    <xf numFmtId="0" fontId="0" fillId="0" borderId="0"/>
    <xf numFmtId="0" fontId="1" fillId="0" borderId="0"/>
  </cellStyleXfs>
  <cellXfs count="800">
    <xf numFmtId="0" fontId="0" fillId="0" borderId="0" xfId="0"/>
    <xf numFmtId="0" fontId="3" fillId="2" borderId="0" xfId="0" applyFont="1" applyFill="1" applyAlignment="1">
      <alignment horizontal="right"/>
    </xf>
    <xf numFmtId="0" fontId="2" fillId="0" borderId="0" xfId="0" applyFont="1" applyAlignment="1">
      <alignment horizontal="center" vertical="top"/>
    </xf>
    <xf numFmtId="14" fontId="5" fillId="0" borderId="0" xfId="0" applyNumberFormat="1" applyFont="1" applyFill="1" applyAlignment="1">
      <alignment horizontal="left"/>
    </xf>
    <xf numFmtId="0" fontId="5" fillId="0" borderId="0" xfId="0" applyFont="1" applyFill="1"/>
    <xf numFmtId="0" fontId="6" fillId="0" borderId="0" xfId="0" applyFont="1" applyFill="1" applyAlignment="1">
      <alignment horizontal="left"/>
    </xf>
    <xf numFmtId="0" fontId="4" fillId="2" borderId="0" xfId="0" applyFont="1" applyFill="1" applyAlignment="1">
      <alignment horizontal="left" vertical="top" wrapText="true"/>
    </xf>
    <xf numFmtId="0" fontId="7" fillId="4" borderId="2" xfId="0" applyFill="true" applyFont="true" applyBorder="true">
      <alignment horizontal="center" vertical="center" wrapText="true"/>
    </xf>
    <xf numFmtId="0" fontId="8" fillId="4" borderId="4" xfId="0" applyFill="true" applyFont="true" applyBorder="true">
      <alignment horizontal="center" vertical="center" wrapText="true"/>
    </xf>
    <xf numFmtId="0" fontId="9" fillId="6" borderId="6" xfId="0" applyFill="true" applyFont="true" applyBorder="true">
      <alignment horizontal="general" vertical="top" indent="1" wrapText="false"/>
    </xf>
    <xf numFmtId="0" fontId="10" fillId="6" borderId="6" xfId="0" applyFill="true" applyFont="true" applyBorder="true">
      <alignment horizontal="left" vertical="top" indent="1" wrapText="false"/>
    </xf>
    <xf numFmtId="0" fontId="11" fillId="6" borderId="6" xfId="0" applyFill="true" applyFont="true" applyBorder="true">
      <alignment horizontal="left" vertical="top" indent="1" wrapText="false"/>
    </xf>
    <xf numFmtId="0" fontId="12" fillId="6" borderId="6" xfId="0" applyFill="true" applyFont="true" applyBorder="true">
      <alignment horizontal="left" vertical="top" indent="1" wrapText="false"/>
    </xf>
    <xf numFmtId="0" fontId="13" fillId="6" borderId="6" xfId="0" applyFill="true" applyFont="true" applyBorder="true">
      <alignment horizontal="left" vertical="top" indent="1" wrapText="false"/>
    </xf>
    <xf numFmtId="0" fontId="14" fillId="6" borderId="6" xfId="0" applyFill="true" applyFont="true" applyBorder="true">
      <alignment horizontal="left" vertical="top" indent="1" wrapText="false"/>
    </xf>
    <xf numFmtId="0" fontId="15" fillId="6" borderId="6" xfId="0" applyFill="true" applyFont="true" applyBorder="true">
      <alignment horizontal="left" vertical="top" indent="1" wrapText="false"/>
    </xf>
    <xf numFmtId="0" fontId="16" fillId="6" borderId="6" xfId="0" applyFill="true" applyFont="true" applyBorder="true">
      <alignment horizontal="left" vertical="top" indent="1" wrapText="false"/>
    </xf>
    <xf numFmtId="0" fontId="17" fillId="6" borderId="6" xfId="0" applyFill="true" applyFont="true" applyBorder="true">
      <alignment horizontal="left" vertical="top" indent="1" wrapText="false"/>
    </xf>
    <xf numFmtId="0" fontId="18" fillId="6" borderId="6" xfId="0" applyFill="true" applyFont="true" applyBorder="true">
      <alignment horizontal="left" vertical="top" indent="1" wrapText="false"/>
    </xf>
    <xf numFmtId="0" fontId="19" fillId="6" borderId="6" xfId="0" applyFill="true" applyFont="true" applyBorder="true">
      <alignment horizontal="left" vertical="top" indent="1" wrapText="false"/>
    </xf>
    <xf numFmtId="0" fontId="20" fillId="6" borderId="6" xfId="0" applyFill="true" applyFont="true" applyBorder="true">
      <alignment horizontal="left" vertical="top" indent="1" wrapText="false"/>
    </xf>
    <xf numFmtId="165" fontId="21" fillId="6" borderId="6" xfId="0" applyFill="true" applyFont="true" applyBorder="true" applyNumberFormat="true">
      <alignment horizontal="right" vertical="top" indent="1" wrapText="false"/>
    </xf>
    <xf numFmtId="0" fontId="22" fillId="6" borderId="6" xfId="0" applyFill="true" applyFont="true" applyBorder="true">
      <alignment horizontal="left" vertical="top" indent="1" wrapText="false"/>
    </xf>
    <xf numFmtId="0" fontId="23" fillId="6" borderId="6" xfId="0" applyFill="true" applyFont="true" applyBorder="true">
      <alignment horizontal="left" vertical="top" indent="1" wrapText="false"/>
    </xf>
    <xf numFmtId="0" fontId="24" fillId="6" borderId="6" xfId="0" applyFill="true" applyFont="true" applyBorder="true">
      <alignment horizontal="left" vertical="top" indent="1" wrapText="false"/>
    </xf>
    <xf numFmtId="0" fontId="25" fillId="6" borderId="6" xfId="0" applyFill="true" applyFont="true" applyBorder="true">
      <alignment horizontal="left" vertical="top" indent="1" wrapText="false"/>
    </xf>
    <xf numFmtId="166" fontId="26" fillId="6" borderId="6" xfId="0" applyFill="true" applyFont="true" applyBorder="true" applyNumberFormat="true">
      <alignment horizontal="right" vertical="top" indent="1" wrapText="false"/>
    </xf>
    <xf numFmtId="0" fontId="27" fillId="6" borderId="6" xfId="0" applyFill="true" applyFont="true" applyBorder="true">
      <alignment horizontal="left" vertical="top" indent="1" wrapText="false"/>
    </xf>
    <xf numFmtId="0" fontId="28" fillId="6" borderId="6" xfId="0" applyFill="true" applyFont="true" applyBorder="true">
      <alignment horizontal="left" vertical="top" indent="1" wrapText="false"/>
    </xf>
    <xf numFmtId="167" fontId="29" fillId="6" borderId="6" xfId="0" applyFill="true" applyFont="true" applyBorder="true" applyNumberFormat="true">
      <alignment horizontal="right" vertical="top" indent="1" wrapText="false"/>
    </xf>
    <xf numFmtId="0" fontId="30" fillId="6" borderId="6" xfId="0" applyFill="true" applyFont="true" applyBorder="true">
      <alignment horizontal="left" vertical="top" indent="1" wrapText="false"/>
    </xf>
    <xf numFmtId="0" fontId="31" fillId="6" borderId="6" xfId="0" applyFill="true" applyFont="true" applyBorder="true">
      <alignment horizontal="left" vertical="top" indent="1" wrapText="true"/>
    </xf>
    <xf numFmtId="0" fontId="32" fillId="6" borderId="6" xfId="0" applyFill="true" applyFont="true" applyBorder="true">
      <alignment horizontal="left" vertical="top" indent="1" wrapText="true"/>
    </xf>
    <xf numFmtId="165" fontId="33" fillId="6" borderId="6" xfId="0" applyFill="true" applyFont="true" applyBorder="true" applyNumberFormat="true">
      <alignment horizontal="right" vertical="top" indent="1" wrapText="false"/>
    </xf>
    <xf numFmtId="165" fontId="34" fillId="6" borderId="6" xfId="0" applyFill="true" applyFont="true" applyBorder="true" applyNumberFormat="true">
      <alignment horizontal="right" vertical="top" indent="1" wrapText="false"/>
    </xf>
    <xf numFmtId="165" fontId="35" fillId="6" borderId="6" xfId="0" applyFill="true" applyFont="true" applyBorder="true" applyNumberFormat="true">
      <alignment horizontal="right" vertical="top" indent="1" wrapText="false"/>
    </xf>
    <xf numFmtId="165" fontId="36" fillId="6" borderId="6" xfId="0" applyFill="true" applyFont="true" applyBorder="true" applyNumberFormat="true">
      <alignment horizontal="right" vertical="top" indent="1" wrapText="false"/>
    </xf>
    <xf numFmtId="165" fontId="37" fillId="6" borderId="6" xfId="0" applyFill="true" applyFont="true" applyBorder="true" applyNumberFormat="true">
      <alignment horizontal="right" vertical="top" indent="1" wrapText="false"/>
    </xf>
    <xf numFmtId="0" fontId="38" fillId="6" borderId="6" xfId="0" applyFill="true" applyFont="true" applyBorder="true">
      <alignment horizontal="right" vertical="top" indent="1" wrapText="false"/>
    </xf>
    <xf numFmtId="0" fontId="39" fillId="6" borderId="6" xfId="0" applyFill="true" applyFont="true" applyBorder="true">
      <alignment horizontal="left" vertical="top" indent="1" wrapText="false"/>
    </xf>
    <xf numFmtId="0" fontId="40" fillId="6" borderId="6" xfId="0" applyFill="true" applyFont="true" applyBorder="true">
      <alignment horizontal="left" vertical="top" indent="1" wrapText="false"/>
    </xf>
    <xf numFmtId="0" fontId="41" fillId="6" borderId="6" xfId="0" applyFill="true" applyFont="true" applyBorder="true">
      <alignment horizontal="left" vertical="top" indent="1" wrapText="false"/>
    </xf>
    <xf numFmtId="0" fontId="42" fillId="6" borderId="6" xfId="0" applyFill="true" applyFont="true" applyBorder="true">
      <alignment horizontal="left" vertical="top" indent="1" wrapText="false"/>
    </xf>
    <xf numFmtId="0" fontId="43" fillId="6" borderId="6" xfId="0" applyFill="true" applyFont="true" applyBorder="true">
      <alignment horizontal="left" vertical="top" indent="1" wrapText="false"/>
    </xf>
    <xf numFmtId="0" fontId="44" fillId="6" borderId="6" xfId="0" applyFill="true" applyFont="true" applyBorder="true">
      <alignment horizontal="left" vertical="top" indent="1" wrapText="false"/>
    </xf>
    <xf numFmtId="0" fontId="45" fillId="6" borderId="6" xfId="0" applyFill="true" applyFont="true" applyBorder="true">
      <alignment horizontal="left" vertical="top" indent="1" wrapText="false"/>
    </xf>
    <xf numFmtId="0" fontId="46" fillId="6" borderId="6" xfId="0" applyFill="true" applyFont="true" applyBorder="true">
      <alignment horizontal="left" vertical="top" indent="1" wrapText="false"/>
    </xf>
    <xf numFmtId="0" fontId="47" fillId="6" borderId="6" xfId="0" applyFill="true" applyFont="true" applyBorder="true">
      <alignment horizontal="left" vertical="top" indent="1" wrapText="false"/>
    </xf>
    <xf numFmtId="0" fontId="48" fillId="6" borderId="6" xfId="0" applyFill="true" applyFont="true" applyBorder="true">
      <alignment horizontal="left" vertical="top" indent="1" wrapText="false"/>
    </xf>
    <xf numFmtId="0" fontId="49" fillId="6" borderId="6" xfId="0" applyFill="true" applyFont="true" applyBorder="true">
      <alignment horizontal="right" vertical="top" indent="1" wrapText="false"/>
    </xf>
    <xf numFmtId="0" fontId="50" fillId="6" borderId="6" xfId="0" applyFill="true" applyFont="true" applyBorder="true">
      <alignment horizontal="left" vertical="top" indent="1" wrapText="false"/>
    </xf>
    <xf numFmtId="0" fontId="51" fillId="6" borderId="6" xfId="0" applyFill="true" applyFont="true" applyBorder="true">
      <alignment horizontal="right" vertical="top" indent="1" wrapText="false"/>
    </xf>
    <xf numFmtId="0" fontId="52" fillId="6" borderId="6" xfId="0" applyFill="true" applyFont="true" applyBorder="true">
      <alignment horizontal="right" vertical="top" indent="1" wrapText="false"/>
    </xf>
    <xf numFmtId="0" fontId="53" fillId="6" borderId="6" xfId="0" applyFill="true" applyFont="true" applyBorder="true">
      <alignment horizontal="left" vertical="top" indent="1" wrapText="false"/>
    </xf>
    <xf numFmtId="0" fontId="54" fillId="6" borderId="6" xfId="0" applyFill="true" applyFont="true" applyBorder="true">
      <alignment horizontal="left" vertical="top" indent="1" wrapText="false"/>
    </xf>
    <xf numFmtId="0" fontId="55" fillId="6" borderId="6" xfId="0" applyFill="true" applyFont="true" applyBorder="true">
      <alignment horizontal="left" vertical="top" indent="1" wrapText="false"/>
    </xf>
    <xf numFmtId="0" fontId="56" fillId="6" borderId="6" xfId="0" applyFill="true" applyFont="true" applyBorder="true">
      <alignment horizontal="left" vertical="top" indent="1" wrapText="false"/>
    </xf>
    <xf numFmtId="0" fontId="57" fillId="6" borderId="6" xfId="0" applyFill="true" applyFont="true" applyBorder="true">
      <alignment horizontal="left" vertical="top" indent="1" wrapText="false"/>
    </xf>
    <xf numFmtId="0" fontId="58" fillId="6" borderId="6" xfId="0" applyFill="true" applyFont="true" applyBorder="true">
      <alignment horizontal="right" vertical="top" indent="1" wrapText="false"/>
    </xf>
    <xf numFmtId="0" fontId="59" fillId="6" borderId="6" xfId="0" applyFill="true" applyFont="true" applyBorder="true">
      <alignment horizontal="left" vertical="top" indent="1" wrapText="false"/>
    </xf>
    <xf numFmtId="0" fontId="60" fillId="6" borderId="6" xfId="0" applyFill="true" applyFont="true" applyBorder="true">
      <alignment horizontal="left" vertical="top" indent="1" wrapText="false"/>
    </xf>
    <xf numFmtId="0" fontId="61" fillId="6" borderId="6" xfId="0" applyFill="true" applyFont="true" applyBorder="true">
      <alignment horizontal="left" vertical="top" indent="1" wrapText="false"/>
    </xf>
    <xf numFmtId="0" fontId="62" fillId="6" borderId="6" xfId="0" applyFill="true" applyFont="true" applyBorder="true">
      <alignment horizontal="left" vertical="top" indent="1" wrapText="false"/>
    </xf>
    <xf numFmtId="0" fontId="63" fillId="6" borderId="6" xfId="0" applyFill="true" applyFont="true" applyBorder="true">
      <alignment horizontal="left" vertical="top" indent="1" wrapText="false"/>
    </xf>
    <xf numFmtId="0" fontId="64" fillId="6" borderId="6" xfId="0" applyFill="true" applyFont="true" applyBorder="true">
      <alignment horizontal="left" vertical="top" indent="1" wrapText="false"/>
    </xf>
    <xf numFmtId="0" fontId="65" fillId="6" borderId="6" xfId="0" applyFill="true" applyFont="true" applyBorder="true">
      <alignment horizontal="left" vertical="top" indent="1" wrapText="false"/>
    </xf>
    <xf numFmtId="0" fontId="66" fillId="6" borderId="6" xfId="0" applyFill="true" applyFont="true" applyBorder="true">
      <alignment horizontal="left" vertical="top" indent="1" wrapText="false"/>
    </xf>
    <xf numFmtId="168" fontId="67" fillId="6" borderId="6" xfId="0" applyFill="true" applyFont="true" applyBorder="true" applyNumberFormat="true">
      <alignment horizontal="right" vertical="top" indent="1" wrapText="false"/>
    </xf>
    <xf numFmtId="165" fontId="68" fillId="6" borderId="6" xfId="0" applyFill="true" applyFont="true" applyBorder="true" applyNumberFormat="true">
      <alignment horizontal="right" vertical="top" indent="1" wrapText="false"/>
    </xf>
    <xf numFmtId="0" fontId="69" fillId="6" borderId="6" xfId="0" applyFill="true" applyFont="true" applyBorder="true">
      <alignment horizontal="left" vertical="top" indent="1" wrapText="false"/>
    </xf>
    <xf numFmtId="165" fontId="70" fillId="6" borderId="6" xfId="0" applyFill="true" applyFont="true" applyBorder="true" applyNumberFormat="true">
      <alignment horizontal="right" vertical="top" indent="1" wrapText="false"/>
    </xf>
    <xf numFmtId="0" fontId="71" fillId="6" borderId="6" xfId="0" applyFill="true" applyFont="true" applyBorder="true">
      <alignment horizontal="left" vertical="top" indent="1" wrapText="false"/>
    </xf>
    <xf numFmtId="0" fontId="72" fillId="6" borderId="6" xfId="0" applyFill="true" applyFont="true" applyBorder="true">
      <alignment horizontal="left" vertical="top" indent="1" wrapText="false"/>
    </xf>
    <xf numFmtId="0" fontId="73" fillId="6" borderId="6" xfId="0" applyFill="true" applyFont="true" applyBorder="true">
      <alignment horizontal="left" vertical="top" indent="1" wrapText="false"/>
    </xf>
    <xf numFmtId="0" fontId="74" fillId="6" borderId="6" xfId="0" applyFill="true" applyFont="true" applyBorder="true">
      <alignment horizontal="left" vertical="top" indent="1" wrapText="false"/>
    </xf>
    <xf numFmtId="0" fontId="75" fillId="6" borderId="6" xfId="0" applyFill="true" applyFont="true" applyBorder="true">
      <alignment horizontal="left" vertical="top" indent="1" wrapText="false"/>
    </xf>
    <xf numFmtId="0" fontId="76" fillId="6" borderId="6" xfId="0" applyFill="true" applyFont="true" applyBorder="true">
      <alignment horizontal="left" vertical="top" indent="1" wrapText="false"/>
    </xf>
    <xf numFmtId="0" fontId="77" fillId="6" borderId="6" xfId="0" applyFill="true" applyFont="true" applyBorder="true">
      <alignment horizontal="left" vertical="top" indent="1" wrapText="false"/>
    </xf>
    <xf numFmtId="0" fontId="78" fillId="6" borderId="6" xfId="0" applyFill="true" applyFont="true" applyBorder="true">
      <alignment horizontal="left" vertical="top" indent="1" wrapText="false"/>
    </xf>
    <xf numFmtId="0" fontId="79" fillId="6" borderId="6" xfId="0" applyFill="true" applyFont="true" applyBorder="true">
      <alignment horizontal="left" vertical="top" indent="1" wrapText="false"/>
    </xf>
    <xf numFmtId="168" fontId="80" fillId="6" borderId="6" xfId="0" applyFill="true" applyFont="true" applyBorder="true" applyNumberFormat="true">
      <alignment horizontal="right" vertical="top" indent="1" wrapText="false"/>
    </xf>
    <xf numFmtId="165" fontId="81" fillId="6" borderId="6" xfId="0" applyFill="true" applyFont="true" applyBorder="true" applyNumberFormat="true">
      <alignment horizontal="right" vertical="top" indent="1" wrapText="false"/>
    </xf>
    <xf numFmtId="0" fontId="82" fillId="6" borderId="6" xfId="0" applyFill="true" applyFont="true" applyBorder="true">
      <alignment horizontal="left" vertical="top" indent="1" wrapText="false"/>
    </xf>
    <xf numFmtId="165" fontId="83" fillId="6" borderId="6" xfId="0" applyFill="true" applyFont="true" applyBorder="true" applyNumberFormat="true">
      <alignment horizontal="right" vertical="top" indent="1" wrapText="false"/>
    </xf>
    <xf numFmtId="0" fontId="84" fillId="6" borderId="6" xfId="0" applyFill="true" applyFont="true" applyBorder="true">
      <alignment horizontal="left" vertical="top" indent="1" wrapText="false"/>
    </xf>
    <xf numFmtId="0" fontId="85" fillId="6" borderId="6" xfId="0" applyFill="true" applyFont="true" applyBorder="true">
      <alignment horizontal="left" vertical="top" indent="1" wrapText="false"/>
    </xf>
    <xf numFmtId="0" fontId="86" fillId="6" borderId="6" xfId="0" applyFill="true" applyFont="true" applyBorder="true">
      <alignment horizontal="left" vertical="top" indent="1" wrapText="false"/>
    </xf>
    <xf numFmtId="0" fontId="87" fillId="6" borderId="6" xfId="0" applyFill="true" applyFont="true" applyBorder="true">
      <alignment horizontal="left" vertical="top" indent="1" wrapText="false"/>
    </xf>
    <xf numFmtId="0" fontId="88" fillId="6" borderId="6" xfId="0" applyFill="true" applyFont="true" applyBorder="true">
      <alignment horizontal="left" vertical="top" indent="1" wrapText="false"/>
    </xf>
    <xf numFmtId="0" fontId="89" fillId="6" borderId="6" xfId="0" applyFill="true" applyFont="true" applyBorder="true">
      <alignment horizontal="left" vertical="top" indent="1" wrapText="false"/>
    </xf>
    <xf numFmtId="0" fontId="90" fillId="6" borderId="6" xfId="0" applyFill="true" applyFont="true" applyBorder="true">
      <alignment horizontal="left" vertical="top" indent="1" wrapText="false"/>
    </xf>
    <xf numFmtId="0" fontId="91" fillId="6" borderId="6" xfId="0" applyFill="true" applyFont="true" applyBorder="true">
      <alignment horizontal="left" vertical="top" indent="1" wrapText="false"/>
    </xf>
    <xf numFmtId="0" fontId="92" fillId="6" borderId="6" xfId="0" applyFill="true" applyFont="true" applyBorder="true">
      <alignment horizontal="left" vertical="top" indent="1" wrapText="false"/>
    </xf>
    <xf numFmtId="169" fontId="93" fillId="6" borderId="6" xfId="0" applyFill="true" applyFont="true" applyBorder="true" applyNumberFormat="true">
      <alignment horizontal="right" vertical="top" indent="1" wrapText="false"/>
    </xf>
    <xf numFmtId="170" fontId="94" fillId="6" borderId="6" xfId="0" applyFill="true" applyFont="true" applyBorder="true" applyNumberFormat="true">
      <alignment horizontal="right" vertical="top" indent="1" wrapText="false"/>
    </xf>
    <xf numFmtId="169" fontId="95" fillId="6" borderId="6" xfId="0" applyFill="true" applyFont="true" applyBorder="true" applyNumberFormat="true">
      <alignment horizontal="right" vertical="top" indent="1" wrapText="false"/>
    </xf>
    <xf numFmtId="169" fontId="96" fillId="6" borderId="6" xfId="0" applyFill="true" applyFont="true" applyBorder="true" applyNumberFormat="true">
      <alignment horizontal="right" vertical="top" indent="1" wrapText="false"/>
    </xf>
    <xf numFmtId="169" fontId="97" fillId="6" borderId="6" xfId="0" applyFill="true" applyFont="true" applyBorder="true" applyNumberFormat="true">
      <alignment horizontal="right" vertical="top" indent="1" wrapText="false"/>
    </xf>
    <xf numFmtId="170" fontId="98" fillId="6" borderId="6" xfId="0" applyFill="true" applyFont="true" applyBorder="true" applyNumberFormat="true">
      <alignment horizontal="right" vertical="top" indent="1" wrapText="false"/>
    </xf>
    <xf numFmtId="169" fontId="99" fillId="6" borderId="6" xfId="0" applyFill="true" applyFont="true" applyBorder="true" applyNumberFormat="true">
      <alignment horizontal="right" vertical="top" indent="1" wrapText="false"/>
    </xf>
    <xf numFmtId="170" fontId="100" fillId="6" borderId="6" xfId="0" applyFill="true" applyFont="true" applyBorder="true" applyNumberFormat="true">
      <alignment horizontal="right" vertical="top" indent="1" wrapText="false"/>
    </xf>
    <xf numFmtId="169" fontId="101" fillId="6" borderId="6" xfId="0" applyFill="true" applyFont="true" applyBorder="true" applyNumberFormat="true">
      <alignment horizontal="right" vertical="top" indent="1" wrapText="false"/>
    </xf>
    <xf numFmtId="170" fontId="102" fillId="6" borderId="6" xfId="0" applyFill="true" applyFont="true" applyBorder="true" applyNumberFormat="true">
      <alignment horizontal="right" vertical="top" indent="1" wrapText="false"/>
    </xf>
    <xf numFmtId="169" fontId="103" fillId="6" borderId="6" xfId="0" applyFill="true" applyFont="true" applyBorder="true" applyNumberFormat="true">
      <alignment horizontal="right" vertical="top" indent="1" wrapText="false"/>
    </xf>
    <xf numFmtId="170" fontId="104" fillId="6" borderId="6" xfId="0" applyFill="true" applyFont="true" applyBorder="true" applyNumberFormat="true">
      <alignment horizontal="right" vertical="top" indent="1" wrapText="false"/>
    </xf>
    <xf numFmtId="169" fontId="105" fillId="6" borderId="6" xfId="0" applyFill="true" applyFont="true" applyBorder="true" applyNumberFormat="true">
      <alignment horizontal="right" vertical="top" indent="1" wrapText="false"/>
    </xf>
    <xf numFmtId="170" fontId="106" fillId="6" borderId="6" xfId="0" applyFill="true" applyFont="true" applyBorder="true" applyNumberFormat="true">
      <alignment horizontal="right" vertical="top" indent="1" wrapText="false"/>
    </xf>
    <xf numFmtId="169" fontId="107" fillId="6" borderId="6" xfId="0" applyFill="true" applyFont="true" applyBorder="true" applyNumberFormat="true">
      <alignment horizontal="right" vertical="top" indent="1" wrapText="false"/>
    </xf>
    <xf numFmtId="170" fontId="108" fillId="6" borderId="6" xfId="0" applyFill="true" applyFont="true" applyBorder="true" applyNumberFormat="true">
      <alignment horizontal="right" vertical="top" indent="1" wrapText="false"/>
    </xf>
    <xf numFmtId="171" fontId="109" fillId="6" borderId="6" xfId="0" applyFill="true" applyFont="true" applyBorder="true" applyNumberFormat="true">
      <alignment horizontal="right" vertical="top" indent="1" wrapText="false"/>
    </xf>
    <xf numFmtId="170" fontId="110" fillId="6" borderId="6" xfId="0" applyFill="true" applyFont="true" applyBorder="true" applyNumberFormat="true">
      <alignment horizontal="right" vertical="top" indent="1" wrapText="false"/>
    </xf>
    <xf numFmtId="171" fontId="111" fillId="6" borderId="6" xfId="0" applyFill="true" applyFont="true" applyBorder="true" applyNumberFormat="true">
      <alignment horizontal="right" vertical="top" indent="1" wrapText="false"/>
    </xf>
    <xf numFmtId="169" fontId="112" fillId="6" borderId="6" xfId="0" applyFill="true" applyFont="true" applyBorder="true" applyNumberFormat="true">
      <alignment horizontal="right" vertical="top" indent="1" wrapText="false"/>
    </xf>
    <xf numFmtId="171" fontId="113" fillId="6" borderId="6" xfId="0" applyFill="true" applyFont="true" applyBorder="true" applyNumberFormat="true">
      <alignment horizontal="right" vertical="top" indent="1" wrapText="false"/>
    </xf>
    <xf numFmtId="170" fontId="114" fillId="6" borderId="6" xfId="0" applyFill="true" applyFont="true" applyBorder="true" applyNumberFormat="true">
      <alignment horizontal="right" vertical="top" indent="1" wrapText="false"/>
    </xf>
    <xf numFmtId="171" fontId="115" fillId="6" borderId="6" xfId="0" applyFill="true" applyFont="true" applyBorder="true" applyNumberFormat="true">
      <alignment horizontal="right" vertical="top" indent="1" wrapText="false"/>
    </xf>
    <xf numFmtId="170" fontId="116" fillId="6" borderId="6" xfId="0" applyFill="true" applyFont="true" applyBorder="true" applyNumberFormat="true">
      <alignment horizontal="right" vertical="top" indent="1" wrapText="false"/>
    </xf>
    <xf numFmtId="171" fontId="117" fillId="6" borderId="6" xfId="0" applyFill="true" applyFont="true" applyBorder="true" applyNumberFormat="true">
      <alignment horizontal="right" vertical="top" indent="1" wrapText="false"/>
    </xf>
    <xf numFmtId="170" fontId="118" fillId="6" borderId="6" xfId="0" applyFill="true" applyFont="true" applyBorder="true" applyNumberFormat="true">
      <alignment horizontal="right" vertical="top" indent="1" wrapText="false"/>
    </xf>
    <xf numFmtId="171" fontId="119" fillId="6" borderId="6" xfId="0" applyFill="true" applyFont="true" applyBorder="true" applyNumberFormat="true">
      <alignment horizontal="right" vertical="top" indent="1" wrapText="false"/>
    </xf>
    <xf numFmtId="170" fontId="120" fillId="6" borderId="6" xfId="0" applyFill="true" applyFont="true" applyBorder="true" applyNumberFormat="true">
      <alignment horizontal="right" vertical="top" indent="1" wrapText="false"/>
    </xf>
    <xf numFmtId="171" fontId="121" fillId="6" borderId="6" xfId="0" applyFill="true" applyFont="true" applyBorder="true" applyNumberFormat="true">
      <alignment horizontal="right" vertical="top" indent="1" wrapText="false"/>
    </xf>
    <xf numFmtId="170" fontId="122" fillId="6" borderId="6" xfId="0" applyFill="true" applyFont="true" applyBorder="true" applyNumberFormat="true">
      <alignment horizontal="right" vertical="top" indent="1" wrapText="false"/>
    </xf>
    <xf numFmtId="171" fontId="123" fillId="6" borderId="6" xfId="0" applyFill="true" applyFont="true" applyBorder="true" applyNumberFormat="true">
      <alignment horizontal="right" vertical="top" indent="1" wrapText="false"/>
    </xf>
    <xf numFmtId="170" fontId="124" fillId="6" borderId="6" xfId="0" applyFill="true" applyFont="true" applyBorder="true" applyNumberFormat="true">
      <alignment horizontal="right" vertical="top" indent="1" wrapText="false"/>
    </xf>
    <xf numFmtId="170" fontId="125" fillId="6" borderId="6" xfId="0" applyFill="true" applyFont="true" applyBorder="true" applyNumberFormat="true">
      <alignment horizontal="right" vertical="top" indent="1" wrapText="false"/>
    </xf>
    <xf numFmtId="170" fontId="126" fillId="6" borderId="6" xfId="0" applyFill="true" applyFont="true" applyBorder="true" applyNumberFormat="true">
      <alignment horizontal="right" vertical="top" indent="1" wrapText="false"/>
    </xf>
    <xf numFmtId="169" fontId="127" fillId="6" borderId="6" xfId="0" applyFill="true" applyFont="true" applyBorder="true" applyNumberFormat="true">
      <alignment horizontal="right" vertical="top" indent="1" wrapText="false"/>
    </xf>
    <xf numFmtId="170" fontId="128" fillId="6" borderId="6" xfId="0" applyFill="true" applyFont="true" applyBorder="true" applyNumberFormat="true">
      <alignment horizontal="right" vertical="top" indent="1" wrapText="false"/>
    </xf>
    <xf numFmtId="170" fontId="129" fillId="6" borderId="6" xfId="0" applyFill="true" applyFont="true" applyBorder="true" applyNumberFormat="true">
      <alignment horizontal="right" vertical="top" indent="1" wrapText="false"/>
    </xf>
    <xf numFmtId="169" fontId="130" fillId="6" borderId="6" xfId="0" applyFill="true" applyFont="true" applyBorder="true" applyNumberFormat="true">
      <alignment horizontal="right" vertical="top" indent="1" wrapText="false"/>
    </xf>
    <xf numFmtId="170" fontId="131" fillId="6" borderId="6" xfId="0" applyFill="true" applyFont="true" applyBorder="true" applyNumberFormat="true">
      <alignment horizontal="right" vertical="top" indent="1" wrapText="false"/>
    </xf>
    <xf numFmtId="170" fontId="132" fillId="6" borderId="6" xfId="0" applyFill="true" applyFont="true" applyBorder="true" applyNumberFormat="true">
      <alignment horizontal="right" vertical="top" indent="1" wrapText="false"/>
    </xf>
    <xf numFmtId="169" fontId="133" fillId="6" borderId="6" xfId="0" applyFill="true" applyFont="true" applyBorder="true" applyNumberFormat="true">
      <alignment horizontal="right" vertical="top" indent="1" wrapText="false"/>
    </xf>
    <xf numFmtId="170" fontId="134" fillId="6" borderId="6" xfId="0" applyFill="true" applyFont="true" applyBorder="true" applyNumberFormat="true">
      <alignment horizontal="right" vertical="top" indent="1" wrapText="false"/>
    </xf>
    <xf numFmtId="170" fontId="135" fillId="6" borderId="6" xfId="0" applyFill="true" applyFont="true" applyBorder="true" applyNumberFormat="true">
      <alignment horizontal="right" vertical="top" indent="1" wrapText="false"/>
    </xf>
    <xf numFmtId="169" fontId="136" fillId="6" borderId="6" xfId="0" applyFill="true" applyFont="true" applyBorder="true" applyNumberFormat="true">
      <alignment horizontal="right" vertical="top" indent="1" wrapText="false"/>
    </xf>
    <xf numFmtId="0" fontId="137" fillId="6" borderId="6" xfId="0" applyFill="true" applyFont="true" applyBorder="true">
      <alignment horizontal="right" vertical="top" indent="1" wrapText="false"/>
    </xf>
    <xf numFmtId="0" fontId="138" fillId="6" borderId="6" xfId="0" applyFill="true" applyFont="true" applyBorder="true">
      <alignment horizontal="general" vertical="top" indent="1" wrapText="false"/>
    </xf>
    <xf numFmtId="0" fontId="139" fillId="8" borderId="6" xfId="0" applyFill="true" applyFont="true" applyBorder="true">
      <alignment horizontal="general" vertical="top" indent="1" wrapText="false"/>
    </xf>
    <xf numFmtId="0" fontId="140" fillId="8" borderId="6" xfId="0" applyFill="true" applyFont="true" applyBorder="true">
      <alignment horizontal="left" vertical="top" indent="1" wrapText="false"/>
    </xf>
    <xf numFmtId="0" fontId="141" fillId="8" borderId="6" xfId="0" applyFill="true" applyFont="true" applyBorder="true">
      <alignment horizontal="left" vertical="top" indent="1" wrapText="false"/>
    </xf>
    <xf numFmtId="0" fontId="142" fillId="8" borderId="6" xfId="0" applyFill="true" applyFont="true" applyBorder="true">
      <alignment horizontal="left" vertical="top" indent="1" wrapText="false"/>
    </xf>
    <xf numFmtId="0" fontId="143" fillId="8" borderId="6" xfId="0" applyFill="true" applyFont="true" applyBorder="true">
      <alignment horizontal="left" vertical="top" indent="1" wrapText="false"/>
    </xf>
    <xf numFmtId="0" fontId="144" fillId="8" borderId="6" xfId="0" applyFill="true" applyFont="true" applyBorder="true">
      <alignment horizontal="left" vertical="top" indent="1" wrapText="false"/>
    </xf>
    <xf numFmtId="0" fontId="145" fillId="8" borderId="6" xfId="0" applyFill="true" applyFont="true" applyBorder="true">
      <alignment horizontal="left" vertical="top" indent="1" wrapText="false"/>
    </xf>
    <xf numFmtId="0" fontId="146" fillId="8" borderId="6" xfId="0" applyFill="true" applyFont="true" applyBorder="true">
      <alignment horizontal="left" vertical="top" indent="1" wrapText="false"/>
    </xf>
    <xf numFmtId="0" fontId="147" fillId="8" borderId="6" xfId="0" applyFill="true" applyFont="true" applyBorder="true">
      <alignment horizontal="left" vertical="top" indent="1" wrapText="false"/>
    </xf>
    <xf numFmtId="0" fontId="148" fillId="8" borderId="6" xfId="0" applyFill="true" applyFont="true" applyBorder="true">
      <alignment horizontal="left" vertical="top" indent="1" wrapText="false"/>
    </xf>
    <xf numFmtId="0" fontId="149" fillId="8" borderId="6" xfId="0" applyFill="true" applyFont="true" applyBorder="true">
      <alignment horizontal="left" vertical="top" indent="1" wrapText="false"/>
    </xf>
    <xf numFmtId="0" fontId="150" fillId="8" borderId="6" xfId="0" applyFill="true" applyFont="true" applyBorder="true">
      <alignment horizontal="left" vertical="top" indent="1" wrapText="false"/>
    </xf>
    <xf numFmtId="165" fontId="151" fillId="8" borderId="6" xfId="0" applyFill="true" applyFont="true" applyBorder="true" applyNumberFormat="true">
      <alignment horizontal="right" vertical="top" indent="1" wrapText="false"/>
    </xf>
    <xf numFmtId="0" fontId="152" fillId="8" borderId="6" xfId="0" applyFill="true" applyFont="true" applyBorder="true">
      <alignment horizontal="left" vertical="top" indent="1" wrapText="false"/>
    </xf>
    <xf numFmtId="0" fontId="153" fillId="8" borderId="6" xfId="0" applyFill="true" applyFont="true" applyBorder="true">
      <alignment horizontal="left" vertical="top" indent="1" wrapText="false"/>
    </xf>
    <xf numFmtId="0" fontId="154" fillId="8" borderId="6" xfId="0" applyFill="true" applyFont="true" applyBorder="true">
      <alignment horizontal="left" vertical="top" indent="1" wrapText="false"/>
    </xf>
    <xf numFmtId="0" fontId="155" fillId="8" borderId="6" xfId="0" applyFill="true" applyFont="true" applyBorder="true">
      <alignment horizontal="left" vertical="top" indent="1" wrapText="false"/>
    </xf>
    <xf numFmtId="166" fontId="156" fillId="8" borderId="6" xfId="0" applyFill="true" applyFont="true" applyBorder="true" applyNumberFormat="true">
      <alignment horizontal="right" vertical="top" indent="1" wrapText="false"/>
    </xf>
    <xf numFmtId="0" fontId="157" fillId="8" borderId="6" xfId="0" applyFill="true" applyFont="true" applyBorder="true">
      <alignment horizontal="left" vertical="top" indent="1" wrapText="false"/>
    </xf>
    <xf numFmtId="0" fontId="158" fillId="8" borderId="6" xfId="0" applyFill="true" applyFont="true" applyBorder="true">
      <alignment horizontal="left" vertical="top" indent="1" wrapText="false"/>
    </xf>
    <xf numFmtId="167" fontId="159" fillId="8" borderId="6" xfId="0" applyFill="true" applyFont="true" applyBorder="true" applyNumberFormat="true">
      <alignment horizontal="right" vertical="top" indent="1" wrapText="false"/>
    </xf>
    <xf numFmtId="0" fontId="160" fillId="8" borderId="6" xfId="0" applyFill="true" applyFont="true" applyBorder="true">
      <alignment horizontal="left" vertical="top" indent="1" wrapText="false"/>
    </xf>
    <xf numFmtId="0" fontId="161" fillId="8" borderId="6" xfId="0" applyFill="true" applyFont="true" applyBorder="true">
      <alignment horizontal="left" vertical="top" indent="1" wrapText="true"/>
    </xf>
    <xf numFmtId="0" fontId="162" fillId="8" borderId="6" xfId="0" applyFill="true" applyFont="true" applyBorder="true">
      <alignment horizontal="left" vertical="top" indent="1" wrapText="true"/>
    </xf>
    <xf numFmtId="165" fontId="163" fillId="8" borderId="6" xfId="0" applyFill="true" applyFont="true" applyBorder="true" applyNumberFormat="true">
      <alignment horizontal="right" vertical="top" indent="1" wrapText="false"/>
    </xf>
    <xf numFmtId="165" fontId="164" fillId="8" borderId="6" xfId="0" applyFill="true" applyFont="true" applyBorder="true" applyNumberFormat="true">
      <alignment horizontal="right" vertical="top" indent="1" wrapText="false"/>
    </xf>
    <xf numFmtId="165" fontId="165" fillId="8" borderId="6" xfId="0" applyFill="true" applyFont="true" applyBorder="true" applyNumberFormat="true">
      <alignment horizontal="right" vertical="top" indent="1" wrapText="false"/>
    </xf>
    <xf numFmtId="165" fontId="166" fillId="8" borderId="6" xfId="0" applyFill="true" applyFont="true" applyBorder="true" applyNumberFormat="true">
      <alignment horizontal="right" vertical="top" indent="1" wrapText="false"/>
    </xf>
    <xf numFmtId="165" fontId="167" fillId="8" borderId="6" xfId="0" applyFill="true" applyFont="true" applyBorder="true" applyNumberFormat="true">
      <alignment horizontal="right" vertical="top" indent="1" wrapText="false"/>
    </xf>
    <xf numFmtId="0" fontId="168" fillId="8" borderId="6" xfId="0" applyFill="true" applyFont="true" applyBorder="true">
      <alignment horizontal="right" vertical="top" indent="1" wrapText="false"/>
    </xf>
    <xf numFmtId="0" fontId="169" fillId="8" borderId="6" xfId="0" applyFill="true" applyFont="true" applyBorder="true">
      <alignment horizontal="left" vertical="top" indent="1" wrapText="false"/>
    </xf>
    <xf numFmtId="0" fontId="170" fillId="8" borderId="6" xfId="0" applyFill="true" applyFont="true" applyBorder="true">
      <alignment horizontal="left" vertical="top" indent="1" wrapText="false"/>
    </xf>
    <xf numFmtId="0" fontId="171" fillId="8" borderId="6" xfId="0" applyFill="true" applyFont="true" applyBorder="true">
      <alignment horizontal="left" vertical="top" indent="1" wrapText="false"/>
    </xf>
    <xf numFmtId="0" fontId="172" fillId="8" borderId="6" xfId="0" applyFill="true" applyFont="true" applyBorder="true">
      <alignment horizontal="left" vertical="top" indent="1" wrapText="false"/>
    </xf>
    <xf numFmtId="0" fontId="173" fillId="8" borderId="6" xfId="0" applyFill="true" applyFont="true" applyBorder="true">
      <alignment horizontal="left" vertical="top" indent="1" wrapText="false"/>
    </xf>
    <xf numFmtId="0" fontId="174" fillId="8" borderId="6" xfId="0" applyFill="true" applyFont="true" applyBorder="true">
      <alignment horizontal="left" vertical="top" indent="1" wrapText="false"/>
    </xf>
    <xf numFmtId="0" fontId="175" fillId="8" borderId="6" xfId="0" applyFill="true" applyFont="true" applyBorder="true">
      <alignment horizontal="left" vertical="top" indent="1" wrapText="false"/>
    </xf>
    <xf numFmtId="0" fontId="176" fillId="8" borderId="6" xfId="0" applyFill="true" applyFont="true" applyBorder="true">
      <alignment horizontal="left" vertical="top" indent="1" wrapText="false"/>
    </xf>
    <xf numFmtId="0" fontId="177" fillId="8" borderId="6" xfId="0" applyFill="true" applyFont="true" applyBorder="true">
      <alignment horizontal="left" vertical="top" indent="1" wrapText="false"/>
    </xf>
    <xf numFmtId="0" fontId="178" fillId="8" borderId="6" xfId="0" applyFill="true" applyFont="true" applyBorder="true">
      <alignment horizontal="left" vertical="top" indent="1" wrapText="false"/>
    </xf>
    <xf numFmtId="0" fontId="179" fillId="8" borderId="6" xfId="0" applyFill="true" applyFont="true" applyBorder="true">
      <alignment horizontal="right" vertical="top" indent="1" wrapText="false"/>
    </xf>
    <xf numFmtId="0" fontId="180" fillId="8" borderId="6" xfId="0" applyFill="true" applyFont="true" applyBorder="true">
      <alignment horizontal="left" vertical="top" indent="1" wrapText="false"/>
    </xf>
    <xf numFmtId="0" fontId="181" fillId="8" borderId="6" xfId="0" applyFill="true" applyFont="true" applyBorder="true">
      <alignment horizontal="right" vertical="top" indent="1" wrapText="false"/>
    </xf>
    <xf numFmtId="0" fontId="182" fillId="8" borderId="6" xfId="0" applyFill="true" applyFont="true" applyBorder="true">
      <alignment horizontal="right" vertical="top" indent="1" wrapText="false"/>
    </xf>
    <xf numFmtId="0" fontId="183" fillId="8" borderId="6" xfId="0" applyFill="true" applyFont="true" applyBorder="true">
      <alignment horizontal="left" vertical="top" indent="1" wrapText="false"/>
    </xf>
    <xf numFmtId="0" fontId="184" fillId="8" borderId="6" xfId="0" applyFill="true" applyFont="true" applyBorder="true">
      <alignment horizontal="left" vertical="top" indent="1" wrapText="false"/>
    </xf>
    <xf numFmtId="0" fontId="185" fillId="8" borderId="6" xfId="0" applyFill="true" applyFont="true" applyBorder="true">
      <alignment horizontal="left" vertical="top" indent="1" wrapText="false"/>
    </xf>
    <xf numFmtId="0" fontId="186" fillId="8" borderId="6" xfId="0" applyFill="true" applyFont="true" applyBorder="true">
      <alignment horizontal="left" vertical="top" indent="1" wrapText="false"/>
    </xf>
    <xf numFmtId="0" fontId="187" fillId="8" borderId="6" xfId="0" applyFill="true" applyFont="true" applyBorder="true">
      <alignment horizontal="left" vertical="top" indent="1" wrapText="false"/>
    </xf>
    <xf numFmtId="0" fontId="188" fillId="8" borderId="6" xfId="0" applyFill="true" applyFont="true" applyBorder="true">
      <alignment horizontal="right" vertical="top" indent="1" wrapText="false"/>
    </xf>
    <xf numFmtId="0" fontId="189" fillId="8" borderId="6" xfId="0" applyFill="true" applyFont="true" applyBorder="true">
      <alignment horizontal="left" vertical="top" indent="1" wrapText="false"/>
    </xf>
    <xf numFmtId="0" fontId="190" fillId="8" borderId="6" xfId="0" applyFill="true" applyFont="true" applyBorder="true">
      <alignment horizontal="left" vertical="top" indent="1" wrapText="false"/>
    </xf>
    <xf numFmtId="0" fontId="191" fillId="8" borderId="6" xfId="0" applyFill="true" applyFont="true" applyBorder="true">
      <alignment horizontal="left" vertical="top" indent="1" wrapText="false"/>
    </xf>
    <xf numFmtId="0" fontId="192" fillId="8" borderId="6" xfId="0" applyFill="true" applyFont="true" applyBorder="true">
      <alignment horizontal="left" vertical="top" indent="1" wrapText="false"/>
    </xf>
    <xf numFmtId="0" fontId="193" fillId="8" borderId="6" xfId="0" applyFill="true" applyFont="true" applyBorder="true">
      <alignment horizontal="left" vertical="top" indent="1" wrapText="false"/>
    </xf>
    <xf numFmtId="0" fontId="194" fillId="8" borderId="6" xfId="0" applyFill="true" applyFont="true" applyBorder="true">
      <alignment horizontal="left" vertical="top" indent="1" wrapText="false"/>
    </xf>
    <xf numFmtId="0" fontId="195" fillId="8" borderId="6" xfId="0" applyFill="true" applyFont="true" applyBorder="true">
      <alignment horizontal="left" vertical="top" indent="1" wrapText="false"/>
    </xf>
    <xf numFmtId="0" fontId="196" fillId="8" borderId="6" xfId="0" applyFill="true" applyFont="true" applyBorder="true">
      <alignment horizontal="left" vertical="top" indent="1" wrapText="false"/>
    </xf>
    <xf numFmtId="168" fontId="197" fillId="8" borderId="6" xfId="0" applyFill="true" applyFont="true" applyBorder="true" applyNumberFormat="true">
      <alignment horizontal="right" vertical="top" indent="1" wrapText="false"/>
    </xf>
    <xf numFmtId="165" fontId="198" fillId="8" borderId="6" xfId="0" applyFill="true" applyFont="true" applyBorder="true" applyNumberFormat="true">
      <alignment horizontal="right" vertical="top" indent="1" wrapText="false"/>
    </xf>
    <xf numFmtId="0" fontId="199" fillId="8" borderId="6" xfId="0" applyFill="true" applyFont="true" applyBorder="true">
      <alignment horizontal="left" vertical="top" indent="1" wrapText="false"/>
    </xf>
    <xf numFmtId="165" fontId="200" fillId="8" borderId="6" xfId="0" applyFill="true" applyFont="true" applyBorder="true" applyNumberFormat="true">
      <alignment horizontal="right" vertical="top" indent="1" wrapText="false"/>
    </xf>
    <xf numFmtId="0" fontId="201" fillId="8" borderId="6" xfId="0" applyFill="true" applyFont="true" applyBorder="true">
      <alignment horizontal="left" vertical="top" indent="1" wrapText="false"/>
    </xf>
    <xf numFmtId="0" fontId="202" fillId="8" borderId="6" xfId="0" applyFill="true" applyFont="true" applyBorder="true">
      <alignment horizontal="left" vertical="top" indent="1" wrapText="false"/>
    </xf>
    <xf numFmtId="0" fontId="203" fillId="8" borderId="6" xfId="0" applyFill="true" applyFont="true" applyBorder="true">
      <alignment horizontal="left" vertical="top" indent="1" wrapText="false"/>
    </xf>
    <xf numFmtId="0" fontId="204" fillId="8" borderId="6" xfId="0" applyFill="true" applyFont="true" applyBorder="true">
      <alignment horizontal="left" vertical="top" indent="1" wrapText="false"/>
    </xf>
    <xf numFmtId="0" fontId="205" fillId="8" borderId="6" xfId="0" applyFill="true" applyFont="true" applyBorder="true">
      <alignment horizontal="left" vertical="top" indent="1" wrapText="false"/>
    </xf>
    <xf numFmtId="0" fontId="206" fillId="8" borderId="6" xfId="0" applyFill="true" applyFont="true" applyBorder="true">
      <alignment horizontal="left" vertical="top" indent="1" wrapText="false"/>
    </xf>
    <xf numFmtId="0" fontId="207" fillId="8" borderId="6" xfId="0" applyFill="true" applyFont="true" applyBorder="true">
      <alignment horizontal="left" vertical="top" indent="1" wrapText="false"/>
    </xf>
    <xf numFmtId="0" fontId="208" fillId="8" borderId="6" xfId="0" applyFill="true" applyFont="true" applyBorder="true">
      <alignment horizontal="left" vertical="top" indent="1" wrapText="false"/>
    </xf>
    <xf numFmtId="0" fontId="209" fillId="8" borderId="6" xfId="0" applyFill="true" applyFont="true" applyBorder="true">
      <alignment horizontal="left" vertical="top" indent="1" wrapText="false"/>
    </xf>
    <xf numFmtId="168" fontId="210" fillId="8" borderId="6" xfId="0" applyFill="true" applyFont="true" applyBorder="true" applyNumberFormat="true">
      <alignment horizontal="right" vertical="top" indent="1" wrapText="false"/>
    </xf>
    <xf numFmtId="165" fontId="211" fillId="8" borderId="6" xfId="0" applyFill="true" applyFont="true" applyBorder="true" applyNumberFormat="true">
      <alignment horizontal="right" vertical="top" indent="1" wrapText="false"/>
    </xf>
    <xf numFmtId="0" fontId="212" fillId="8" borderId="6" xfId="0" applyFill="true" applyFont="true" applyBorder="true">
      <alignment horizontal="left" vertical="top" indent="1" wrapText="false"/>
    </xf>
    <xf numFmtId="165" fontId="213" fillId="8" borderId="6" xfId="0" applyFill="true" applyFont="true" applyBorder="true" applyNumberFormat="true">
      <alignment horizontal="right" vertical="top" indent="1" wrapText="false"/>
    </xf>
    <xf numFmtId="0" fontId="214" fillId="8" borderId="6" xfId="0" applyFill="true" applyFont="true" applyBorder="true">
      <alignment horizontal="left" vertical="top" indent="1" wrapText="false"/>
    </xf>
    <xf numFmtId="0" fontId="215" fillId="8" borderId="6" xfId="0" applyFill="true" applyFont="true" applyBorder="true">
      <alignment horizontal="left" vertical="top" indent="1" wrapText="false"/>
    </xf>
    <xf numFmtId="0" fontId="216" fillId="8" borderId="6" xfId="0" applyFill="true" applyFont="true" applyBorder="true">
      <alignment horizontal="left" vertical="top" indent="1" wrapText="false"/>
    </xf>
    <xf numFmtId="0" fontId="217" fillId="8" borderId="6" xfId="0" applyFill="true" applyFont="true" applyBorder="true">
      <alignment horizontal="left" vertical="top" indent="1" wrapText="false"/>
    </xf>
    <xf numFmtId="0" fontId="218" fillId="8" borderId="6" xfId="0" applyFill="true" applyFont="true" applyBorder="true">
      <alignment horizontal="left" vertical="top" indent="1" wrapText="false"/>
    </xf>
    <xf numFmtId="0" fontId="219" fillId="8" borderId="6" xfId="0" applyFill="true" applyFont="true" applyBorder="true">
      <alignment horizontal="left" vertical="top" indent="1" wrapText="false"/>
    </xf>
    <xf numFmtId="0" fontId="220" fillId="8" borderId="6" xfId="0" applyFill="true" applyFont="true" applyBorder="true">
      <alignment horizontal="left" vertical="top" indent="1" wrapText="false"/>
    </xf>
    <xf numFmtId="0" fontId="221" fillId="8" borderId="6" xfId="0" applyFill="true" applyFont="true" applyBorder="true">
      <alignment horizontal="left" vertical="top" indent="1" wrapText="false"/>
    </xf>
    <xf numFmtId="0" fontId="222" fillId="8" borderId="6" xfId="0" applyFill="true" applyFont="true" applyBorder="true">
      <alignment horizontal="left" vertical="top" indent="1" wrapText="false"/>
    </xf>
    <xf numFmtId="169" fontId="223" fillId="8" borderId="6" xfId="0" applyFill="true" applyFont="true" applyBorder="true" applyNumberFormat="true">
      <alignment horizontal="right" vertical="top" indent="1" wrapText="false"/>
    </xf>
    <xf numFmtId="170" fontId="224" fillId="8" borderId="6" xfId="0" applyFill="true" applyFont="true" applyBorder="true" applyNumberFormat="true">
      <alignment horizontal="right" vertical="top" indent="1" wrapText="false"/>
    </xf>
    <xf numFmtId="169" fontId="225" fillId="8" borderId="6" xfId="0" applyFill="true" applyFont="true" applyBorder="true" applyNumberFormat="true">
      <alignment horizontal="right" vertical="top" indent="1" wrapText="false"/>
    </xf>
    <xf numFmtId="169" fontId="226" fillId="8" borderId="6" xfId="0" applyFill="true" applyFont="true" applyBorder="true" applyNumberFormat="true">
      <alignment horizontal="right" vertical="top" indent="1" wrapText="false"/>
    </xf>
    <xf numFmtId="169" fontId="227" fillId="8" borderId="6" xfId="0" applyFill="true" applyFont="true" applyBorder="true" applyNumberFormat="true">
      <alignment horizontal="right" vertical="top" indent="1" wrapText="false"/>
    </xf>
    <xf numFmtId="170" fontId="228" fillId="8" borderId="6" xfId="0" applyFill="true" applyFont="true" applyBorder="true" applyNumberFormat="true">
      <alignment horizontal="right" vertical="top" indent="1" wrapText="false"/>
    </xf>
    <xf numFmtId="169" fontId="229" fillId="8" borderId="6" xfId="0" applyFill="true" applyFont="true" applyBorder="true" applyNumberFormat="true">
      <alignment horizontal="right" vertical="top" indent="1" wrapText="false"/>
    </xf>
    <xf numFmtId="170" fontId="230" fillId="8" borderId="6" xfId="0" applyFill="true" applyFont="true" applyBorder="true" applyNumberFormat="true">
      <alignment horizontal="right" vertical="top" indent="1" wrapText="false"/>
    </xf>
    <xf numFmtId="169" fontId="231" fillId="8" borderId="6" xfId="0" applyFill="true" applyFont="true" applyBorder="true" applyNumberFormat="true">
      <alignment horizontal="right" vertical="top" indent="1" wrapText="false"/>
    </xf>
    <xf numFmtId="170" fontId="232" fillId="8" borderId="6" xfId="0" applyFill="true" applyFont="true" applyBorder="true" applyNumberFormat="true">
      <alignment horizontal="right" vertical="top" indent="1" wrapText="false"/>
    </xf>
    <xf numFmtId="169" fontId="233" fillId="8" borderId="6" xfId="0" applyFill="true" applyFont="true" applyBorder="true" applyNumberFormat="true">
      <alignment horizontal="right" vertical="top" indent="1" wrapText="false"/>
    </xf>
    <xf numFmtId="170" fontId="234" fillId="8" borderId="6" xfId="0" applyFill="true" applyFont="true" applyBorder="true" applyNumberFormat="true">
      <alignment horizontal="right" vertical="top" indent="1" wrapText="false"/>
    </xf>
    <xf numFmtId="169" fontId="235" fillId="8" borderId="6" xfId="0" applyFill="true" applyFont="true" applyBorder="true" applyNumberFormat="true">
      <alignment horizontal="right" vertical="top" indent="1" wrapText="false"/>
    </xf>
    <xf numFmtId="170" fontId="236" fillId="8" borderId="6" xfId="0" applyFill="true" applyFont="true" applyBorder="true" applyNumberFormat="true">
      <alignment horizontal="right" vertical="top" indent="1" wrapText="false"/>
    </xf>
    <xf numFmtId="169" fontId="237" fillId="8" borderId="6" xfId="0" applyFill="true" applyFont="true" applyBorder="true" applyNumberFormat="true">
      <alignment horizontal="right" vertical="top" indent="1" wrapText="false"/>
    </xf>
    <xf numFmtId="170" fontId="238" fillId="8" borderId="6" xfId="0" applyFill="true" applyFont="true" applyBorder="true" applyNumberFormat="true">
      <alignment horizontal="right" vertical="top" indent="1" wrapText="false"/>
    </xf>
    <xf numFmtId="171" fontId="239" fillId="8" borderId="6" xfId="0" applyFill="true" applyFont="true" applyBorder="true" applyNumberFormat="true">
      <alignment horizontal="right" vertical="top" indent="1" wrapText="false"/>
    </xf>
    <xf numFmtId="170" fontId="240" fillId="8" borderId="6" xfId="0" applyFill="true" applyFont="true" applyBorder="true" applyNumberFormat="true">
      <alignment horizontal="right" vertical="top" indent="1" wrapText="false"/>
    </xf>
    <xf numFmtId="171" fontId="241" fillId="8" borderId="6" xfId="0" applyFill="true" applyFont="true" applyBorder="true" applyNumberFormat="true">
      <alignment horizontal="right" vertical="top" indent="1" wrapText="false"/>
    </xf>
    <xf numFmtId="169" fontId="242" fillId="8" borderId="6" xfId="0" applyFill="true" applyFont="true" applyBorder="true" applyNumberFormat="true">
      <alignment horizontal="right" vertical="top" indent="1" wrapText="false"/>
    </xf>
    <xf numFmtId="171" fontId="243" fillId="8" borderId="6" xfId="0" applyFill="true" applyFont="true" applyBorder="true" applyNumberFormat="true">
      <alignment horizontal="right" vertical="top" indent="1" wrapText="false"/>
    </xf>
    <xf numFmtId="170" fontId="244" fillId="8" borderId="6" xfId="0" applyFill="true" applyFont="true" applyBorder="true" applyNumberFormat="true">
      <alignment horizontal="right" vertical="top" indent="1" wrapText="false"/>
    </xf>
    <xf numFmtId="171" fontId="245" fillId="8" borderId="6" xfId="0" applyFill="true" applyFont="true" applyBorder="true" applyNumberFormat="true">
      <alignment horizontal="right" vertical="top" indent="1" wrapText="false"/>
    </xf>
    <xf numFmtId="170" fontId="246" fillId="8" borderId="6" xfId="0" applyFill="true" applyFont="true" applyBorder="true" applyNumberFormat="true">
      <alignment horizontal="right" vertical="top" indent="1" wrapText="false"/>
    </xf>
    <xf numFmtId="171" fontId="247" fillId="8" borderId="6" xfId="0" applyFill="true" applyFont="true" applyBorder="true" applyNumberFormat="true">
      <alignment horizontal="right" vertical="top" indent="1" wrapText="false"/>
    </xf>
    <xf numFmtId="170" fontId="248" fillId="8" borderId="6" xfId="0" applyFill="true" applyFont="true" applyBorder="true" applyNumberFormat="true">
      <alignment horizontal="right" vertical="top" indent="1" wrapText="false"/>
    </xf>
    <xf numFmtId="171" fontId="249" fillId="8" borderId="6" xfId="0" applyFill="true" applyFont="true" applyBorder="true" applyNumberFormat="true">
      <alignment horizontal="right" vertical="top" indent="1" wrapText="false"/>
    </xf>
    <xf numFmtId="170" fontId="250" fillId="8" borderId="6" xfId="0" applyFill="true" applyFont="true" applyBorder="true" applyNumberFormat="true">
      <alignment horizontal="right" vertical="top" indent="1" wrapText="false"/>
    </xf>
    <xf numFmtId="171" fontId="251" fillId="8" borderId="6" xfId="0" applyFill="true" applyFont="true" applyBorder="true" applyNumberFormat="true">
      <alignment horizontal="right" vertical="top" indent="1" wrapText="false"/>
    </xf>
    <xf numFmtId="170" fontId="252" fillId="8" borderId="6" xfId="0" applyFill="true" applyFont="true" applyBorder="true" applyNumberFormat="true">
      <alignment horizontal="right" vertical="top" indent="1" wrapText="false"/>
    </xf>
    <xf numFmtId="171" fontId="253" fillId="8" borderId="6" xfId="0" applyFill="true" applyFont="true" applyBorder="true" applyNumberFormat="true">
      <alignment horizontal="right" vertical="top" indent="1" wrapText="false"/>
    </xf>
    <xf numFmtId="170" fontId="254" fillId="8" borderId="6" xfId="0" applyFill="true" applyFont="true" applyBorder="true" applyNumberFormat="true">
      <alignment horizontal="right" vertical="top" indent="1" wrapText="false"/>
    </xf>
    <xf numFmtId="170" fontId="255" fillId="8" borderId="6" xfId="0" applyFill="true" applyFont="true" applyBorder="true" applyNumberFormat="true">
      <alignment horizontal="right" vertical="top" indent="1" wrapText="false"/>
    </xf>
    <xf numFmtId="170" fontId="256" fillId="8" borderId="6" xfId="0" applyFill="true" applyFont="true" applyBorder="true" applyNumberFormat="true">
      <alignment horizontal="right" vertical="top" indent="1" wrapText="false"/>
    </xf>
    <xf numFmtId="169" fontId="257" fillId="8" borderId="6" xfId="0" applyFill="true" applyFont="true" applyBorder="true" applyNumberFormat="true">
      <alignment horizontal="right" vertical="top" indent="1" wrapText="false"/>
    </xf>
    <xf numFmtId="170" fontId="258" fillId="8" borderId="6" xfId="0" applyFill="true" applyFont="true" applyBorder="true" applyNumberFormat="true">
      <alignment horizontal="right" vertical="top" indent="1" wrapText="false"/>
    </xf>
    <xf numFmtId="170" fontId="259" fillId="8" borderId="6" xfId="0" applyFill="true" applyFont="true" applyBorder="true" applyNumberFormat="true">
      <alignment horizontal="right" vertical="top" indent="1" wrapText="false"/>
    </xf>
    <xf numFmtId="169" fontId="260" fillId="8" borderId="6" xfId="0" applyFill="true" applyFont="true" applyBorder="true" applyNumberFormat="true">
      <alignment horizontal="right" vertical="top" indent="1" wrapText="false"/>
    </xf>
    <xf numFmtId="170" fontId="261" fillId="8" borderId="6" xfId="0" applyFill="true" applyFont="true" applyBorder="true" applyNumberFormat="true">
      <alignment horizontal="right" vertical="top" indent="1" wrapText="false"/>
    </xf>
    <xf numFmtId="170" fontId="262" fillId="8" borderId="6" xfId="0" applyFill="true" applyFont="true" applyBorder="true" applyNumberFormat="true">
      <alignment horizontal="right" vertical="top" indent="1" wrapText="false"/>
    </xf>
    <xf numFmtId="169" fontId="263" fillId="8" borderId="6" xfId="0" applyFill="true" applyFont="true" applyBorder="true" applyNumberFormat="true">
      <alignment horizontal="right" vertical="top" indent="1" wrapText="false"/>
    </xf>
    <xf numFmtId="170" fontId="264" fillId="8" borderId="6" xfId="0" applyFill="true" applyFont="true" applyBorder="true" applyNumberFormat="true">
      <alignment horizontal="right" vertical="top" indent="1" wrapText="false"/>
    </xf>
    <xf numFmtId="170" fontId="265" fillId="8" borderId="6" xfId="0" applyFill="true" applyFont="true" applyBorder="true" applyNumberFormat="true">
      <alignment horizontal="right" vertical="top" indent="1" wrapText="false"/>
    </xf>
    <xf numFmtId="169" fontId="266" fillId="8" borderId="6" xfId="0" applyFill="true" applyFont="true" applyBorder="true" applyNumberFormat="true">
      <alignment horizontal="right" vertical="top" indent="1" wrapText="false"/>
    </xf>
    <xf numFmtId="0" fontId="267" fillId="8" borderId="6" xfId="0" applyFill="true" applyFont="true" applyBorder="true">
      <alignment horizontal="right" vertical="top" indent="1" wrapText="false"/>
    </xf>
    <xf numFmtId="0" fontId="268" fillId="8" borderId="6" xfId="0" applyFill="true" applyFont="true" applyBorder="true">
      <alignment horizontal="general" vertical="top" indent="1" wrapText="false"/>
    </xf>
    <xf numFmtId="0" fontId="269" fillId="6" borderId="6" xfId="0" applyFill="true" applyFont="true" applyBorder="true">
      <alignment horizontal="general" vertical="top" indent="1" wrapText="false"/>
    </xf>
    <xf numFmtId="0" fontId="270" fillId="6" borderId="6" xfId="0" applyFill="true" applyFont="true" applyBorder="true">
      <alignment horizontal="left" vertical="top" indent="1" wrapText="false"/>
    </xf>
    <xf numFmtId="0" fontId="271" fillId="6" borderId="6" xfId="0" applyFill="true" applyFont="true" applyBorder="true">
      <alignment horizontal="left" vertical="top" indent="1" wrapText="false"/>
    </xf>
    <xf numFmtId="0" fontId="272" fillId="6" borderId="6" xfId="0" applyFill="true" applyFont="true" applyBorder="true">
      <alignment horizontal="left" vertical="top" indent="1" wrapText="false"/>
    </xf>
    <xf numFmtId="0" fontId="273" fillId="6" borderId="6" xfId="0" applyFill="true" applyFont="true" applyBorder="true">
      <alignment horizontal="left" vertical="top" indent="1" wrapText="false"/>
    </xf>
    <xf numFmtId="0" fontId="274" fillId="6" borderId="6" xfId="0" applyFill="true" applyFont="true" applyBorder="true">
      <alignment horizontal="left" vertical="top" indent="1" wrapText="false"/>
    </xf>
    <xf numFmtId="0" fontId="275" fillId="6" borderId="6" xfId="0" applyFill="true" applyFont="true" applyBorder="true">
      <alignment horizontal="left" vertical="top" indent="1" wrapText="false"/>
    </xf>
    <xf numFmtId="0" fontId="276" fillId="6" borderId="6" xfId="0" applyFill="true" applyFont="true" applyBorder="true">
      <alignment horizontal="left" vertical="top" indent="1" wrapText="false"/>
    </xf>
    <xf numFmtId="0" fontId="277" fillId="6" borderId="6" xfId="0" applyFill="true" applyFont="true" applyBorder="true">
      <alignment horizontal="left" vertical="top" indent="1" wrapText="false"/>
    </xf>
    <xf numFmtId="0" fontId="278" fillId="6" borderId="6" xfId="0" applyFill="true" applyFont="true" applyBorder="true">
      <alignment horizontal="left" vertical="top" indent="1" wrapText="false"/>
    </xf>
    <xf numFmtId="0" fontId="279" fillId="6" borderId="6" xfId="0" applyFill="true" applyFont="true" applyBorder="true">
      <alignment horizontal="left" vertical="top" indent="1" wrapText="false"/>
    </xf>
    <xf numFmtId="0" fontId="280" fillId="6" borderId="6" xfId="0" applyFill="true" applyFont="true" applyBorder="true">
      <alignment horizontal="left" vertical="top" indent="1" wrapText="false"/>
    </xf>
    <xf numFmtId="165" fontId="281" fillId="6" borderId="6" xfId="0" applyFill="true" applyFont="true" applyBorder="true" applyNumberFormat="true">
      <alignment horizontal="right" vertical="top" indent="1" wrapText="false"/>
    </xf>
    <xf numFmtId="0" fontId="282" fillId="6" borderId="6" xfId="0" applyFill="true" applyFont="true" applyBorder="true">
      <alignment horizontal="left" vertical="top" indent="1" wrapText="false"/>
    </xf>
    <xf numFmtId="0" fontId="283" fillId="6" borderId="6" xfId="0" applyFill="true" applyFont="true" applyBorder="true">
      <alignment horizontal="left" vertical="top" indent="1" wrapText="false"/>
    </xf>
    <xf numFmtId="0" fontId="284" fillId="6" borderId="6" xfId="0" applyFill="true" applyFont="true" applyBorder="true">
      <alignment horizontal="left" vertical="top" indent="1" wrapText="false"/>
    </xf>
    <xf numFmtId="0" fontId="285" fillId="6" borderId="6" xfId="0" applyFill="true" applyFont="true" applyBorder="true">
      <alignment horizontal="left" vertical="top" indent="1" wrapText="false"/>
    </xf>
    <xf numFmtId="166" fontId="286" fillId="6" borderId="6" xfId="0" applyFill="true" applyFont="true" applyBorder="true" applyNumberFormat="true">
      <alignment horizontal="right" vertical="top" indent="1" wrapText="false"/>
    </xf>
    <xf numFmtId="0" fontId="287" fillId="6" borderId="6" xfId="0" applyFill="true" applyFont="true" applyBorder="true">
      <alignment horizontal="left" vertical="top" indent="1" wrapText="false"/>
    </xf>
    <xf numFmtId="0" fontId="288" fillId="6" borderId="6" xfId="0" applyFill="true" applyFont="true" applyBorder="true">
      <alignment horizontal="left" vertical="top" indent="1" wrapText="false"/>
    </xf>
    <xf numFmtId="167" fontId="289" fillId="6" borderId="6" xfId="0" applyFill="true" applyFont="true" applyBorder="true" applyNumberFormat="true">
      <alignment horizontal="right" vertical="top" indent="1" wrapText="false"/>
    </xf>
    <xf numFmtId="0" fontId="290" fillId="6" borderId="6" xfId="0" applyFill="true" applyFont="true" applyBorder="true">
      <alignment horizontal="left" vertical="top" indent="1" wrapText="false"/>
    </xf>
    <xf numFmtId="0" fontId="291" fillId="6" borderId="6" xfId="0" applyFill="true" applyFont="true" applyBorder="true">
      <alignment horizontal="left" vertical="top" indent="1" wrapText="true"/>
    </xf>
    <xf numFmtId="0" fontId="292" fillId="6" borderId="6" xfId="0" applyFill="true" applyFont="true" applyBorder="true">
      <alignment horizontal="left" vertical="top" indent="1" wrapText="true"/>
    </xf>
    <xf numFmtId="165" fontId="293" fillId="6" borderId="6" xfId="0" applyFill="true" applyFont="true" applyBorder="true" applyNumberFormat="true">
      <alignment horizontal="right" vertical="top" indent="1" wrapText="false"/>
    </xf>
    <xf numFmtId="165" fontId="294" fillId="6" borderId="6" xfId="0" applyFill="true" applyFont="true" applyBorder="true" applyNumberFormat="true">
      <alignment horizontal="right" vertical="top" indent="1" wrapText="false"/>
    </xf>
    <xf numFmtId="165" fontId="295" fillId="6" borderId="6" xfId="0" applyFill="true" applyFont="true" applyBorder="true" applyNumberFormat="true">
      <alignment horizontal="right" vertical="top" indent="1" wrapText="false"/>
    </xf>
    <xf numFmtId="165" fontId="296" fillId="6" borderId="6" xfId="0" applyFill="true" applyFont="true" applyBorder="true" applyNumberFormat="true">
      <alignment horizontal="right" vertical="top" indent="1" wrapText="false"/>
    </xf>
    <xf numFmtId="165" fontId="297" fillId="6" borderId="6" xfId="0" applyFill="true" applyFont="true" applyBorder="true" applyNumberFormat="true">
      <alignment horizontal="right" vertical="top" indent="1" wrapText="false"/>
    </xf>
    <xf numFmtId="0" fontId="298" fillId="6" borderId="6" xfId="0" applyFill="true" applyFont="true" applyBorder="true">
      <alignment horizontal="right" vertical="top" indent="1" wrapText="false"/>
    </xf>
    <xf numFmtId="0" fontId="299" fillId="6" borderId="6" xfId="0" applyFill="true" applyFont="true" applyBorder="true">
      <alignment horizontal="left" vertical="top" indent="1" wrapText="false"/>
    </xf>
    <xf numFmtId="0" fontId="300" fillId="6" borderId="6" xfId="0" applyFill="true" applyFont="true" applyBorder="true">
      <alignment horizontal="left" vertical="top" indent="1" wrapText="false"/>
    </xf>
    <xf numFmtId="0" fontId="301" fillId="6" borderId="6" xfId="0" applyFill="true" applyFont="true" applyBorder="true">
      <alignment horizontal="left" vertical="top" indent="1" wrapText="false"/>
    </xf>
    <xf numFmtId="0" fontId="302" fillId="6" borderId="6" xfId="0" applyFill="true" applyFont="true" applyBorder="true">
      <alignment horizontal="left" vertical="top" indent="1" wrapText="false"/>
    </xf>
    <xf numFmtId="0" fontId="303" fillId="6" borderId="6" xfId="0" applyFill="true" applyFont="true" applyBorder="true">
      <alignment horizontal="left" vertical="top" indent="1" wrapText="false"/>
    </xf>
    <xf numFmtId="0" fontId="304" fillId="6" borderId="6" xfId="0" applyFill="true" applyFont="true" applyBorder="true">
      <alignment horizontal="left" vertical="top" indent="1" wrapText="false"/>
    </xf>
    <xf numFmtId="0" fontId="305" fillId="6" borderId="6" xfId="0" applyFill="true" applyFont="true" applyBorder="true">
      <alignment horizontal="left" vertical="top" indent="1" wrapText="false"/>
    </xf>
    <xf numFmtId="0" fontId="306" fillId="6" borderId="6" xfId="0" applyFill="true" applyFont="true" applyBorder="true">
      <alignment horizontal="left" vertical="top" indent="1" wrapText="false"/>
    </xf>
    <xf numFmtId="0" fontId="307" fillId="6" borderId="6" xfId="0" applyFill="true" applyFont="true" applyBorder="true">
      <alignment horizontal="left" vertical="top" indent="1" wrapText="false"/>
    </xf>
    <xf numFmtId="0" fontId="308" fillId="6" borderId="6" xfId="0" applyFill="true" applyFont="true" applyBorder="true">
      <alignment horizontal="left" vertical="top" indent="1" wrapText="false"/>
    </xf>
    <xf numFmtId="0" fontId="309" fillId="6" borderId="6" xfId="0" applyFill="true" applyFont="true" applyBorder="true">
      <alignment horizontal="right" vertical="top" indent="1" wrapText="false"/>
    </xf>
    <xf numFmtId="0" fontId="310" fillId="6" borderId="6" xfId="0" applyFill="true" applyFont="true" applyBorder="true">
      <alignment horizontal="left" vertical="top" indent="1" wrapText="false"/>
    </xf>
    <xf numFmtId="0" fontId="311" fillId="6" borderId="6" xfId="0" applyFill="true" applyFont="true" applyBorder="true">
      <alignment horizontal="right" vertical="top" indent="1" wrapText="false"/>
    </xf>
    <xf numFmtId="0" fontId="312" fillId="6" borderId="6" xfId="0" applyFill="true" applyFont="true" applyBorder="true">
      <alignment horizontal="right" vertical="top" indent="1" wrapText="false"/>
    </xf>
    <xf numFmtId="0" fontId="313" fillId="6" borderId="6" xfId="0" applyFill="true" applyFont="true" applyBorder="true">
      <alignment horizontal="left" vertical="top" indent="1" wrapText="false"/>
    </xf>
    <xf numFmtId="0" fontId="314" fillId="6" borderId="6" xfId="0" applyFill="true" applyFont="true" applyBorder="true">
      <alignment horizontal="left" vertical="top" indent="1" wrapText="false"/>
    </xf>
    <xf numFmtId="0" fontId="315" fillId="6" borderId="6" xfId="0" applyFill="true" applyFont="true" applyBorder="true">
      <alignment horizontal="left" vertical="top" indent="1" wrapText="false"/>
    </xf>
    <xf numFmtId="0" fontId="316" fillId="6" borderId="6" xfId="0" applyFill="true" applyFont="true" applyBorder="true">
      <alignment horizontal="left" vertical="top" indent="1" wrapText="false"/>
    </xf>
    <xf numFmtId="0" fontId="317" fillId="6" borderId="6" xfId="0" applyFill="true" applyFont="true" applyBorder="true">
      <alignment horizontal="left" vertical="top" indent="1" wrapText="false"/>
    </xf>
    <xf numFmtId="0" fontId="318" fillId="6" borderId="6" xfId="0" applyFill="true" applyFont="true" applyBorder="true">
      <alignment horizontal="right" vertical="top" indent="1" wrapText="false"/>
    </xf>
    <xf numFmtId="0" fontId="319" fillId="6" borderId="6" xfId="0" applyFill="true" applyFont="true" applyBorder="true">
      <alignment horizontal="left" vertical="top" indent="1" wrapText="false"/>
    </xf>
    <xf numFmtId="0" fontId="320" fillId="6" borderId="6" xfId="0" applyFill="true" applyFont="true" applyBorder="true">
      <alignment horizontal="left" vertical="top" indent="1" wrapText="false"/>
    </xf>
    <xf numFmtId="0" fontId="321" fillId="6" borderId="6" xfId="0" applyFill="true" applyFont="true" applyBorder="true">
      <alignment horizontal="left" vertical="top" indent="1" wrapText="false"/>
    </xf>
    <xf numFmtId="0" fontId="322" fillId="6" borderId="6" xfId="0" applyFill="true" applyFont="true" applyBorder="true">
      <alignment horizontal="left" vertical="top" indent="1" wrapText="false"/>
    </xf>
    <xf numFmtId="0" fontId="323" fillId="6" borderId="6" xfId="0" applyFill="true" applyFont="true" applyBorder="true">
      <alignment horizontal="left" vertical="top" indent="1" wrapText="false"/>
    </xf>
    <xf numFmtId="0" fontId="324" fillId="6" borderId="6" xfId="0" applyFill="true" applyFont="true" applyBorder="true">
      <alignment horizontal="left" vertical="top" indent="1" wrapText="false"/>
    </xf>
    <xf numFmtId="0" fontId="325" fillId="6" borderId="6" xfId="0" applyFill="true" applyFont="true" applyBorder="true">
      <alignment horizontal="left" vertical="top" indent="1" wrapText="false"/>
    </xf>
    <xf numFmtId="0" fontId="326" fillId="6" borderId="6" xfId="0" applyFill="true" applyFont="true" applyBorder="true">
      <alignment horizontal="left" vertical="top" indent="1" wrapText="false"/>
    </xf>
    <xf numFmtId="168" fontId="327" fillId="6" borderId="6" xfId="0" applyFill="true" applyFont="true" applyBorder="true" applyNumberFormat="true">
      <alignment horizontal="right" vertical="top" indent="1" wrapText="false"/>
    </xf>
    <xf numFmtId="165" fontId="328" fillId="6" borderId="6" xfId="0" applyFill="true" applyFont="true" applyBorder="true" applyNumberFormat="true">
      <alignment horizontal="right" vertical="top" indent="1" wrapText="false"/>
    </xf>
    <xf numFmtId="0" fontId="329" fillId="6" borderId="6" xfId="0" applyFill="true" applyFont="true" applyBorder="true">
      <alignment horizontal="left" vertical="top" indent="1" wrapText="false"/>
    </xf>
    <xf numFmtId="165" fontId="330" fillId="6" borderId="6" xfId="0" applyFill="true" applyFont="true" applyBorder="true" applyNumberFormat="true">
      <alignment horizontal="right" vertical="top" indent="1" wrapText="false"/>
    </xf>
    <xf numFmtId="0" fontId="331" fillId="6" borderId="6" xfId="0" applyFill="true" applyFont="true" applyBorder="true">
      <alignment horizontal="left" vertical="top" indent="1" wrapText="false"/>
    </xf>
    <xf numFmtId="0" fontId="332" fillId="6" borderId="6" xfId="0" applyFill="true" applyFont="true" applyBorder="true">
      <alignment horizontal="left" vertical="top" indent="1" wrapText="false"/>
    </xf>
    <xf numFmtId="0" fontId="333" fillId="6" borderId="6" xfId="0" applyFill="true" applyFont="true" applyBorder="true">
      <alignment horizontal="left" vertical="top" indent="1" wrapText="false"/>
    </xf>
    <xf numFmtId="0" fontId="334" fillId="6" borderId="6" xfId="0" applyFill="true" applyFont="true" applyBorder="true">
      <alignment horizontal="left" vertical="top" indent="1" wrapText="false"/>
    </xf>
    <xf numFmtId="0" fontId="335" fillId="6" borderId="6" xfId="0" applyFill="true" applyFont="true" applyBorder="true">
      <alignment horizontal="left" vertical="top" indent="1" wrapText="false"/>
    </xf>
    <xf numFmtId="0" fontId="336" fillId="6" borderId="6" xfId="0" applyFill="true" applyFont="true" applyBorder="true">
      <alignment horizontal="left" vertical="top" indent="1" wrapText="false"/>
    </xf>
    <xf numFmtId="0" fontId="337" fillId="6" borderId="6" xfId="0" applyFill="true" applyFont="true" applyBorder="true">
      <alignment horizontal="left" vertical="top" indent="1" wrapText="false"/>
    </xf>
    <xf numFmtId="0" fontId="338" fillId="6" borderId="6" xfId="0" applyFill="true" applyFont="true" applyBorder="true">
      <alignment horizontal="left" vertical="top" indent="1" wrapText="false"/>
    </xf>
    <xf numFmtId="0" fontId="339" fillId="6" borderId="6" xfId="0" applyFill="true" applyFont="true" applyBorder="true">
      <alignment horizontal="left" vertical="top" indent="1" wrapText="false"/>
    </xf>
    <xf numFmtId="168" fontId="340" fillId="6" borderId="6" xfId="0" applyFill="true" applyFont="true" applyBorder="true" applyNumberFormat="true">
      <alignment horizontal="right" vertical="top" indent="1" wrapText="false"/>
    </xf>
    <xf numFmtId="165" fontId="341" fillId="6" borderId="6" xfId="0" applyFill="true" applyFont="true" applyBorder="true" applyNumberFormat="true">
      <alignment horizontal="right" vertical="top" indent="1" wrapText="false"/>
    </xf>
    <xf numFmtId="0" fontId="342" fillId="6" borderId="6" xfId="0" applyFill="true" applyFont="true" applyBorder="true">
      <alignment horizontal="left" vertical="top" indent="1" wrapText="false"/>
    </xf>
    <xf numFmtId="165" fontId="343" fillId="6" borderId="6" xfId="0" applyFill="true" applyFont="true" applyBorder="true" applyNumberFormat="true">
      <alignment horizontal="right" vertical="top" indent="1" wrapText="false"/>
    </xf>
    <xf numFmtId="0" fontId="344" fillId="6" borderId="6" xfId="0" applyFill="true" applyFont="true" applyBorder="true">
      <alignment horizontal="left" vertical="top" indent="1" wrapText="false"/>
    </xf>
    <xf numFmtId="0" fontId="345" fillId="6" borderId="6" xfId="0" applyFill="true" applyFont="true" applyBorder="true">
      <alignment horizontal="left" vertical="top" indent="1" wrapText="false"/>
    </xf>
    <xf numFmtId="0" fontId="346" fillId="6" borderId="6" xfId="0" applyFill="true" applyFont="true" applyBorder="true">
      <alignment horizontal="left" vertical="top" indent="1" wrapText="false"/>
    </xf>
    <xf numFmtId="0" fontId="347" fillId="6" borderId="6" xfId="0" applyFill="true" applyFont="true" applyBorder="true">
      <alignment horizontal="left" vertical="top" indent="1" wrapText="false"/>
    </xf>
    <xf numFmtId="0" fontId="348" fillId="6" borderId="6" xfId="0" applyFill="true" applyFont="true" applyBorder="true">
      <alignment horizontal="left" vertical="top" indent="1" wrapText="false"/>
    </xf>
    <xf numFmtId="0" fontId="349" fillId="6" borderId="6" xfId="0" applyFill="true" applyFont="true" applyBorder="true">
      <alignment horizontal="left" vertical="top" indent="1" wrapText="false"/>
    </xf>
    <xf numFmtId="0" fontId="350" fillId="6" borderId="6" xfId="0" applyFill="true" applyFont="true" applyBorder="true">
      <alignment horizontal="left" vertical="top" indent="1" wrapText="false"/>
    </xf>
    <xf numFmtId="0" fontId="351" fillId="6" borderId="6" xfId="0" applyFill="true" applyFont="true" applyBorder="true">
      <alignment horizontal="left" vertical="top" indent="1" wrapText="false"/>
    </xf>
    <xf numFmtId="0" fontId="352" fillId="6" borderId="6" xfId="0" applyFill="true" applyFont="true" applyBorder="true">
      <alignment horizontal="left" vertical="top" indent="1" wrapText="false"/>
    </xf>
    <xf numFmtId="169" fontId="353" fillId="6" borderId="6" xfId="0" applyFill="true" applyFont="true" applyBorder="true" applyNumberFormat="true">
      <alignment horizontal="right" vertical="top" indent="1" wrapText="false"/>
    </xf>
    <xf numFmtId="170" fontId="354" fillId="6" borderId="6" xfId="0" applyFill="true" applyFont="true" applyBorder="true" applyNumberFormat="true">
      <alignment horizontal="right" vertical="top" indent="1" wrapText="false"/>
    </xf>
    <xf numFmtId="169" fontId="355" fillId="6" borderId="6" xfId="0" applyFill="true" applyFont="true" applyBorder="true" applyNumberFormat="true">
      <alignment horizontal="right" vertical="top" indent="1" wrapText="false"/>
    </xf>
    <xf numFmtId="169" fontId="356" fillId="6" borderId="6" xfId="0" applyFill="true" applyFont="true" applyBorder="true" applyNumberFormat="true">
      <alignment horizontal="right" vertical="top" indent="1" wrapText="false"/>
    </xf>
    <xf numFmtId="169" fontId="357" fillId="6" borderId="6" xfId="0" applyFill="true" applyFont="true" applyBorder="true" applyNumberFormat="true">
      <alignment horizontal="right" vertical="top" indent="1" wrapText="false"/>
    </xf>
    <xf numFmtId="170" fontId="358" fillId="6" borderId="6" xfId="0" applyFill="true" applyFont="true" applyBorder="true" applyNumberFormat="true">
      <alignment horizontal="right" vertical="top" indent="1" wrapText="false"/>
    </xf>
    <xf numFmtId="169" fontId="359" fillId="6" borderId="6" xfId="0" applyFill="true" applyFont="true" applyBorder="true" applyNumberFormat="true">
      <alignment horizontal="right" vertical="top" indent="1" wrapText="false"/>
    </xf>
    <xf numFmtId="170" fontId="360" fillId="6" borderId="6" xfId="0" applyFill="true" applyFont="true" applyBorder="true" applyNumberFormat="true">
      <alignment horizontal="right" vertical="top" indent="1" wrapText="false"/>
    </xf>
    <xf numFmtId="169" fontId="361" fillId="6" borderId="6" xfId="0" applyFill="true" applyFont="true" applyBorder="true" applyNumberFormat="true">
      <alignment horizontal="right" vertical="top" indent="1" wrapText="false"/>
    </xf>
    <xf numFmtId="170" fontId="362" fillId="6" borderId="6" xfId="0" applyFill="true" applyFont="true" applyBorder="true" applyNumberFormat="true">
      <alignment horizontal="right" vertical="top" indent="1" wrapText="false"/>
    </xf>
    <xf numFmtId="169" fontId="363" fillId="6" borderId="6" xfId="0" applyFill="true" applyFont="true" applyBorder="true" applyNumberFormat="true">
      <alignment horizontal="right" vertical="top" indent="1" wrapText="false"/>
    </xf>
    <xf numFmtId="170" fontId="364" fillId="6" borderId="6" xfId="0" applyFill="true" applyFont="true" applyBorder="true" applyNumberFormat="true">
      <alignment horizontal="right" vertical="top" indent="1" wrapText="false"/>
    </xf>
    <xf numFmtId="169" fontId="365" fillId="6" borderId="6" xfId="0" applyFill="true" applyFont="true" applyBorder="true" applyNumberFormat="true">
      <alignment horizontal="right" vertical="top" indent="1" wrapText="false"/>
    </xf>
    <xf numFmtId="170" fontId="366" fillId="6" borderId="6" xfId="0" applyFill="true" applyFont="true" applyBorder="true" applyNumberFormat="true">
      <alignment horizontal="right" vertical="top" indent="1" wrapText="false"/>
    </xf>
    <xf numFmtId="169" fontId="367" fillId="6" borderId="6" xfId="0" applyFill="true" applyFont="true" applyBorder="true" applyNumberFormat="true">
      <alignment horizontal="right" vertical="top" indent="1" wrapText="false"/>
    </xf>
    <xf numFmtId="170" fontId="368" fillId="6" borderId="6" xfId="0" applyFill="true" applyFont="true" applyBorder="true" applyNumberFormat="true">
      <alignment horizontal="right" vertical="top" indent="1" wrapText="false"/>
    </xf>
    <xf numFmtId="171" fontId="369" fillId="6" borderId="6" xfId="0" applyFill="true" applyFont="true" applyBorder="true" applyNumberFormat="true">
      <alignment horizontal="right" vertical="top" indent="1" wrapText="false"/>
    </xf>
    <xf numFmtId="170" fontId="370" fillId="6" borderId="6" xfId="0" applyFill="true" applyFont="true" applyBorder="true" applyNumberFormat="true">
      <alignment horizontal="right" vertical="top" indent="1" wrapText="false"/>
    </xf>
    <xf numFmtId="171" fontId="371" fillId="6" borderId="6" xfId="0" applyFill="true" applyFont="true" applyBorder="true" applyNumberFormat="true">
      <alignment horizontal="right" vertical="top" indent="1" wrapText="false"/>
    </xf>
    <xf numFmtId="169" fontId="372" fillId="6" borderId="6" xfId="0" applyFill="true" applyFont="true" applyBorder="true" applyNumberFormat="true">
      <alignment horizontal="right" vertical="top" indent="1" wrapText="false"/>
    </xf>
    <xf numFmtId="171" fontId="373" fillId="6" borderId="6" xfId="0" applyFill="true" applyFont="true" applyBorder="true" applyNumberFormat="true">
      <alignment horizontal="right" vertical="top" indent="1" wrapText="false"/>
    </xf>
    <xf numFmtId="170" fontId="374" fillId="6" borderId="6" xfId="0" applyFill="true" applyFont="true" applyBorder="true" applyNumberFormat="true">
      <alignment horizontal="right" vertical="top" indent="1" wrapText="false"/>
    </xf>
    <xf numFmtId="171" fontId="375" fillId="6" borderId="6" xfId="0" applyFill="true" applyFont="true" applyBorder="true" applyNumberFormat="true">
      <alignment horizontal="right" vertical="top" indent="1" wrapText="false"/>
    </xf>
    <xf numFmtId="170" fontId="376" fillId="6" borderId="6" xfId="0" applyFill="true" applyFont="true" applyBorder="true" applyNumberFormat="true">
      <alignment horizontal="right" vertical="top" indent="1" wrapText="false"/>
    </xf>
    <xf numFmtId="171" fontId="377" fillId="6" borderId="6" xfId="0" applyFill="true" applyFont="true" applyBorder="true" applyNumberFormat="true">
      <alignment horizontal="right" vertical="top" indent="1" wrapText="false"/>
    </xf>
    <xf numFmtId="170" fontId="378" fillId="6" borderId="6" xfId="0" applyFill="true" applyFont="true" applyBorder="true" applyNumberFormat="true">
      <alignment horizontal="right" vertical="top" indent="1" wrapText="false"/>
    </xf>
    <xf numFmtId="171" fontId="379" fillId="6" borderId="6" xfId="0" applyFill="true" applyFont="true" applyBorder="true" applyNumberFormat="true">
      <alignment horizontal="right" vertical="top" indent="1" wrapText="false"/>
    </xf>
    <xf numFmtId="170" fontId="380" fillId="6" borderId="6" xfId="0" applyFill="true" applyFont="true" applyBorder="true" applyNumberFormat="true">
      <alignment horizontal="right" vertical="top" indent="1" wrapText="false"/>
    </xf>
    <xf numFmtId="171" fontId="381" fillId="6" borderId="6" xfId="0" applyFill="true" applyFont="true" applyBorder="true" applyNumberFormat="true">
      <alignment horizontal="right" vertical="top" indent="1" wrapText="false"/>
    </xf>
    <xf numFmtId="170" fontId="382" fillId="6" borderId="6" xfId="0" applyFill="true" applyFont="true" applyBorder="true" applyNumberFormat="true">
      <alignment horizontal="right" vertical="top" indent="1" wrapText="false"/>
    </xf>
    <xf numFmtId="171" fontId="383" fillId="6" borderId="6" xfId="0" applyFill="true" applyFont="true" applyBorder="true" applyNumberFormat="true">
      <alignment horizontal="right" vertical="top" indent="1" wrapText="false"/>
    </xf>
    <xf numFmtId="170" fontId="384" fillId="6" borderId="6" xfId="0" applyFill="true" applyFont="true" applyBorder="true" applyNumberFormat="true">
      <alignment horizontal="right" vertical="top" indent="1" wrapText="false"/>
    </xf>
    <xf numFmtId="170" fontId="385" fillId="6" borderId="6" xfId="0" applyFill="true" applyFont="true" applyBorder="true" applyNumberFormat="true">
      <alignment horizontal="right" vertical="top" indent="1" wrapText="false"/>
    </xf>
    <xf numFmtId="170" fontId="386" fillId="6" borderId="6" xfId="0" applyFill="true" applyFont="true" applyBorder="true" applyNumberFormat="true">
      <alignment horizontal="right" vertical="top" indent="1" wrapText="false"/>
    </xf>
    <xf numFmtId="169" fontId="387" fillId="6" borderId="6" xfId="0" applyFill="true" applyFont="true" applyBorder="true" applyNumberFormat="true">
      <alignment horizontal="right" vertical="top" indent="1" wrapText="false"/>
    </xf>
    <xf numFmtId="170" fontId="388" fillId="6" borderId="6" xfId="0" applyFill="true" applyFont="true" applyBorder="true" applyNumberFormat="true">
      <alignment horizontal="right" vertical="top" indent="1" wrapText="false"/>
    </xf>
    <xf numFmtId="170" fontId="389" fillId="6" borderId="6" xfId="0" applyFill="true" applyFont="true" applyBorder="true" applyNumberFormat="true">
      <alignment horizontal="right" vertical="top" indent="1" wrapText="false"/>
    </xf>
    <xf numFmtId="169" fontId="390" fillId="6" borderId="6" xfId="0" applyFill="true" applyFont="true" applyBorder="true" applyNumberFormat="true">
      <alignment horizontal="right" vertical="top" indent="1" wrapText="false"/>
    </xf>
    <xf numFmtId="170" fontId="391" fillId="6" borderId="6" xfId="0" applyFill="true" applyFont="true" applyBorder="true" applyNumberFormat="true">
      <alignment horizontal="right" vertical="top" indent="1" wrapText="false"/>
    </xf>
    <xf numFmtId="170" fontId="392" fillId="6" borderId="6" xfId="0" applyFill="true" applyFont="true" applyBorder="true" applyNumberFormat="true">
      <alignment horizontal="right" vertical="top" indent="1" wrapText="false"/>
    </xf>
    <xf numFmtId="169" fontId="393" fillId="6" borderId="6" xfId="0" applyFill="true" applyFont="true" applyBorder="true" applyNumberFormat="true">
      <alignment horizontal="right" vertical="top" indent="1" wrapText="false"/>
    </xf>
    <xf numFmtId="170" fontId="394" fillId="6" borderId="6" xfId="0" applyFill="true" applyFont="true" applyBorder="true" applyNumberFormat="true">
      <alignment horizontal="right" vertical="top" indent="1" wrapText="false"/>
    </xf>
    <xf numFmtId="170" fontId="395" fillId="6" borderId="6" xfId="0" applyFill="true" applyFont="true" applyBorder="true" applyNumberFormat="true">
      <alignment horizontal="right" vertical="top" indent="1" wrapText="false"/>
    </xf>
    <xf numFmtId="169" fontId="396" fillId="6" borderId="6" xfId="0" applyFill="true" applyFont="true" applyBorder="true" applyNumberFormat="true">
      <alignment horizontal="right" vertical="top" indent="1" wrapText="false"/>
    </xf>
    <xf numFmtId="0" fontId="397" fillId="6" borderId="6" xfId="0" applyFill="true" applyFont="true" applyBorder="true">
      <alignment horizontal="right" vertical="top" indent="1" wrapText="false"/>
    </xf>
    <xf numFmtId="0" fontId="398" fillId="6" borderId="6" xfId="0" applyFill="true" applyFont="true" applyBorder="true">
      <alignment horizontal="general" vertical="top" indent="1" wrapText="false"/>
    </xf>
    <xf numFmtId="0" fontId="399" fillId="8" borderId="6" xfId="0" applyFill="true" applyFont="true" applyBorder="true">
      <alignment horizontal="general" vertical="top" indent="1" wrapText="false"/>
    </xf>
    <xf numFmtId="0" fontId="400" fillId="8" borderId="6" xfId="0" applyFill="true" applyFont="true" applyBorder="true">
      <alignment horizontal="left" vertical="top" indent="1" wrapText="false"/>
    </xf>
    <xf numFmtId="0" fontId="401" fillId="8" borderId="6" xfId="0" applyFill="true" applyFont="true" applyBorder="true">
      <alignment horizontal="left" vertical="top" indent="1" wrapText="false"/>
    </xf>
    <xf numFmtId="0" fontId="402" fillId="8" borderId="6" xfId="0" applyFill="true" applyFont="true" applyBorder="true">
      <alignment horizontal="left" vertical="top" indent="1" wrapText="false"/>
    </xf>
    <xf numFmtId="0" fontId="403" fillId="8" borderId="6" xfId="0" applyFill="true" applyFont="true" applyBorder="true">
      <alignment horizontal="left" vertical="top" indent="1" wrapText="false"/>
    </xf>
    <xf numFmtId="0" fontId="404" fillId="8" borderId="6" xfId="0" applyFill="true" applyFont="true" applyBorder="true">
      <alignment horizontal="left" vertical="top" indent="1" wrapText="false"/>
    </xf>
    <xf numFmtId="0" fontId="405" fillId="8" borderId="6" xfId="0" applyFill="true" applyFont="true" applyBorder="true">
      <alignment horizontal="left" vertical="top" indent="1" wrapText="false"/>
    </xf>
    <xf numFmtId="0" fontId="406" fillId="8" borderId="6" xfId="0" applyFill="true" applyFont="true" applyBorder="true">
      <alignment horizontal="left" vertical="top" indent="1" wrapText="false"/>
    </xf>
    <xf numFmtId="0" fontId="407" fillId="8" borderId="6" xfId="0" applyFill="true" applyFont="true" applyBorder="true">
      <alignment horizontal="left" vertical="top" indent="1" wrapText="false"/>
    </xf>
    <xf numFmtId="0" fontId="408" fillId="8" borderId="6" xfId="0" applyFill="true" applyFont="true" applyBorder="true">
      <alignment horizontal="left" vertical="top" indent="1" wrapText="false"/>
    </xf>
    <xf numFmtId="0" fontId="409" fillId="8" borderId="6" xfId="0" applyFill="true" applyFont="true" applyBorder="true">
      <alignment horizontal="left" vertical="top" indent="1" wrapText="false"/>
    </xf>
    <xf numFmtId="0" fontId="410" fillId="8" borderId="6" xfId="0" applyFill="true" applyFont="true" applyBorder="true">
      <alignment horizontal="left" vertical="top" indent="1" wrapText="false"/>
    </xf>
    <xf numFmtId="165" fontId="411" fillId="8" borderId="6" xfId="0" applyFill="true" applyFont="true" applyBorder="true" applyNumberFormat="true">
      <alignment horizontal="right" vertical="top" indent="1" wrapText="false"/>
    </xf>
    <xf numFmtId="0" fontId="412" fillId="8" borderId="6" xfId="0" applyFill="true" applyFont="true" applyBorder="true">
      <alignment horizontal="left" vertical="top" indent="1" wrapText="false"/>
    </xf>
    <xf numFmtId="0" fontId="413" fillId="8" borderId="6" xfId="0" applyFill="true" applyFont="true" applyBorder="true">
      <alignment horizontal="left" vertical="top" indent="1" wrapText="false"/>
    </xf>
    <xf numFmtId="0" fontId="414" fillId="8" borderId="6" xfId="0" applyFill="true" applyFont="true" applyBorder="true">
      <alignment horizontal="left" vertical="top" indent="1" wrapText="false"/>
    </xf>
    <xf numFmtId="0" fontId="415" fillId="8" borderId="6" xfId="0" applyFill="true" applyFont="true" applyBorder="true">
      <alignment horizontal="left" vertical="top" indent="1" wrapText="false"/>
    </xf>
    <xf numFmtId="166" fontId="416" fillId="8" borderId="6" xfId="0" applyFill="true" applyFont="true" applyBorder="true" applyNumberFormat="true">
      <alignment horizontal="right" vertical="top" indent="1" wrapText="false"/>
    </xf>
    <xf numFmtId="0" fontId="417" fillId="8" borderId="6" xfId="0" applyFill="true" applyFont="true" applyBorder="true">
      <alignment horizontal="left" vertical="top" indent="1" wrapText="false"/>
    </xf>
    <xf numFmtId="0" fontId="418" fillId="8" borderId="6" xfId="0" applyFill="true" applyFont="true" applyBorder="true">
      <alignment horizontal="left" vertical="top" indent="1" wrapText="false"/>
    </xf>
    <xf numFmtId="167" fontId="419" fillId="8" borderId="6" xfId="0" applyFill="true" applyFont="true" applyBorder="true" applyNumberFormat="true">
      <alignment horizontal="right" vertical="top" indent="1" wrapText="false"/>
    </xf>
    <xf numFmtId="0" fontId="420" fillId="8" borderId="6" xfId="0" applyFill="true" applyFont="true" applyBorder="true">
      <alignment horizontal="left" vertical="top" indent="1" wrapText="false"/>
    </xf>
    <xf numFmtId="0" fontId="421" fillId="8" borderId="6" xfId="0" applyFill="true" applyFont="true" applyBorder="true">
      <alignment horizontal="left" vertical="top" indent="1" wrapText="true"/>
    </xf>
    <xf numFmtId="0" fontId="422" fillId="8" borderId="6" xfId="0" applyFill="true" applyFont="true" applyBorder="true">
      <alignment horizontal="left" vertical="top" indent="1" wrapText="true"/>
    </xf>
    <xf numFmtId="165" fontId="423" fillId="8" borderId="6" xfId="0" applyFill="true" applyFont="true" applyBorder="true" applyNumberFormat="true">
      <alignment horizontal="right" vertical="top" indent="1" wrapText="false"/>
    </xf>
    <xf numFmtId="165" fontId="424" fillId="8" borderId="6" xfId="0" applyFill="true" applyFont="true" applyBorder="true" applyNumberFormat="true">
      <alignment horizontal="right" vertical="top" indent="1" wrapText="false"/>
    </xf>
    <xf numFmtId="165" fontId="425" fillId="8" borderId="6" xfId="0" applyFill="true" applyFont="true" applyBorder="true" applyNumberFormat="true">
      <alignment horizontal="right" vertical="top" indent="1" wrapText="false"/>
    </xf>
    <xf numFmtId="165" fontId="426" fillId="8" borderId="6" xfId="0" applyFill="true" applyFont="true" applyBorder="true" applyNumberFormat="true">
      <alignment horizontal="right" vertical="top" indent="1" wrapText="false"/>
    </xf>
    <xf numFmtId="165" fontId="427" fillId="8" borderId="6" xfId="0" applyFill="true" applyFont="true" applyBorder="true" applyNumberFormat="true">
      <alignment horizontal="right" vertical="top" indent="1" wrapText="false"/>
    </xf>
    <xf numFmtId="0" fontId="428" fillId="8" borderId="6" xfId="0" applyFill="true" applyFont="true" applyBorder="true">
      <alignment horizontal="right" vertical="top" indent="1" wrapText="false"/>
    </xf>
    <xf numFmtId="0" fontId="429" fillId="8" borderId="6" xfId="0" applyFill="true" applyFont="true" applyBorder="true">
      <alignment horizontal="left" vertical="top" indent="1" wrapText="false"/>
    </xf>
    <xf numFmtId="0" fontId="430" fillId="8" borderId="6" xfId="0" applyFill="true" applyFont="true" applyBorder="true">
      <alignment horizontal="left" vertical="top" indent="1" wrapText="false"/>
    </xf>
    <xf numFmtId="0" fontId="431" fillId="8" borderId="6" xfId="0" applyFill="true" applyFont="true" applyBorder="true">
      <alignment horizontal="left" vertical="top" indent="1" wrapText="false"/>
    </xf>
    <xf numFmtId="0" fontId="432" fillId="8" borderId="6" xfId="0" applyFill="true" applyFont="true" applyBorder="true">
      <alignment horizontal="left" vertical="top" indent="1" wrapText="false"/>
    </xf>
    <xf numFmtId="0" fontId="433" fillId="8" borderId="6" xfId="0" applyFill="true" applyFont="true" applyBorder="true">
      <alignment horizontal="left" vertical="top" indent="1" wrapText="false"/>
    </xf>
    <xf numFmtId="0" fontId="434" fillId="8" borderId="6" xfId="0" applyFill="true" applyFont="true" applyBorder="true">
      <alignment horizontal="left" vertical="top" indent="1" wrapText="false"/>
    </xf>
    <xf numFmtId="0" fontId="435" fillId="8" borderId="6" xfId="0" applyFill="true" applyFont="true" applyBorder="true">
      <alignment horizontal="left" vertical="top" indent="1" wrapText="false"/>
    </xf>
    <xf numFmtId="0" fontId="436" fillId="8" borderId="6" xfId="0" applyFill="true" applyFont="true" applyBorder="true">
      <alignment horizontal="left" vertical="top" indent="1" wrapText="false"/>
    </xf>
    <xf numFmtId="0" fontId="437" fillId="8" borderId="6" xfId="0" applyFill="true" applyFont="true" applyBorder="true">
      <alignment horizontal="left" vertical="top" indent="1" wrapText="false"/>
    </xf>
    <xf numFmtId="0" fontId="438" fillId="8" borderId="6" xfId="0" applyFill="true" applyFont="true" applyBorder="true">
      <alignment horizontal="left" vertical="top" indent="1" wrapText="false"/>
    </xf>
    <xf numFmtId="0" fontId="439" fillId="8" borderId="6" xfId="0" applyFill="true" applyFont="true" applyBorder="true">
      <alignment horizontal="right" vertical="top" indent="1" wrapText="false"/>
    </xf>
    <xf numFmtId="0" fontId="440" fillId="8" borderId="6" xfId="0" applyFill="true" applyFont="true" applyBorder="true">
      <alignment horizontal="left" vertical="top" indent="1" wrapText="false"/>
    </xf>
    <xf numFmtId="0" fontId="441" fillId="8" borderId="6" xfId="0" applyFill="true" applyFont="true" applyBorder="true">
      <alignment horizontal="right" vertical="top" indent="1" wrapText="false"/>
    </xf>
    <xf numFmtId="0" fontId="442" fillId="8" borderId="6" xfId="0" applyFill="true" applyFont="true" applyBorder="true">
      <alignment horizontal="right" vertical="top" indent="1" wrapText="false"/>
    </xf>
    <xf numFmtId="0" fontId="443" fillId="8" borderId="6" xfId="0" applyFill="true" applyFont="true" applyBorder="true">
      <alignment horizontal="left" vertical="top" indent="1" wrapText="false"/>
    </xf>
    <xf numFmtId="0" fontId="444" fillId="8" borderId="6" xfId="0" applyFill="true" applyFont="true" applyBorder="true">
      <alignment horizontal="left" vertical="top" indent="1" wrapText="false"/>
    </xf>
    <xf numFmtId="0" fontId="445" fillId="8" borderId="6" xfId="0" applyFill="true" applyFont="true" applyBorder="true">
      <alignment horizontal="left" vertical="top" indent="1" wrapText="false"/>
    </xf>
    <xf numFmtId="0" fontId="446" fillId="8" borderId="6" xfId="0" applyFill="true" applyFont="true" applyBorder="true">
      <alignment horizontal="left" vertical="top" indent="1" wrapText="false"/>
    </xf>
    <xf numFmtId="0" fontId="447" fillId="8" borderId="6" xfId="0" applyFill="true" applyFont="true" applyBorder="true">
      <alignment horizontal="left" vertical="top" indent="1" wrapText="false"/>
    </xf>
    <xf numFmtId="0" fontId="448" fillId="8" borderId="6" xfId="0" applyFill="true" applyFont="true" applyBorder="true">
      <alignment horizontal="right" vertical="top" indent="1" wrapText="false"/>
    </xf>
    <xf numFmtId="0" fontId="449" fillId="8" borderId="6" xfId="0" applyFill="true" applyFont="true" applyBorder="true">
      <alignment horizontal="left" vertical="top" indent="1" wrapText="false"/>
    </xf>
    <xf numFmtId="0" fontId="450" fillId="8" borderId="6" xfId="0" applyFill="true" applyFont="true" applyBorder="true">
      <alignment horizontal="left" vertical="top" indent="1" wrapText="false"/>
    </xf>
    <xf numFmtId="0" fontId="451" fillId="8" borderId="6" xfId="0" applyFill="true" applyFont="true" applyBorder="true">
      <alignment horizontal="left" vertical="top" indent="1" wrapText="false"/>
    </xf>
    <xf numFmtId="0" fontId="452" fillId="8" borderId="6" xfId="0" applyFill="true" applyFont="true" applyBorder="true">
      <alignment horizontal="left" vertical="top" indent="1" wrapText="false"/>
    </xf>
    <xf numFmtId="0" fontId="453" fillId="8" borderId="6" xfId="0" applyFill="true" applyFont="true" applyBorder="true">
      <alignment horizontal="left" vertical="top" indent="1" wrapText="false"/>
    </xf>
    <xf numFmtId="0" fontId="454" fillId="8" borderId="6" xfId="0" applyFill="true" applyFont="true" applyBorder="true">
      <alignment horizontal="left" vertical="top" indent="1" wrapText="false"/>
    </xf>
    <xf numFmtId="0" fontId="455" fillId="8" borderId="6" xfId="0" applyFill="true" applyFont="true" applyBorder="true">
      <alignment horizontal="left" vertical="top" indent="1" wrapText="false"/>
    </xf>
    <xf numFmtId="0" fontId="456" fillId="8" borderId="6" xfId="0" applyFill="true" applyFont="true" applyBorder="true">
      <alignment horizontal="left" vertical="top" indent="1" wrapText="false"/>
    </xf>
    <xf numFmtId="168" fontId="457" fillId="8" borderId="6" xfId="0" applyFill="true" applyFont="true" applyBorder="true" applyNumberFormat="true">
      <alignment horizontal="right" vertical="top" indent="1" wrapText="false"/>
    </xf>
    <xf numFmtId="165" fontId="458" fillId="8" borderId="6" xfId="0" applyFill="true" applyFont="true" applyBorder="true" applyNumberFormat="true">
      <alignment horizontal="right" vertical="top" indent="1" wrapText="false"/>
    </xf>
    <xf numFmtId="0" fontId="459" fillId="8" borderId="6" xfId="0" applyFill="true" applyFont="true" applyBorder="true">
      <alignment horizontal="left" vertical="top" indent="1" wrapText="false"/>
    </xf>
    <xf numFmtId="165" fontId="460" fillId="8" borderId="6" xfId="0" applyFill="true" applyFont="true" applyBorder="true" applyNumberFormat="true">
      <alignment horizontal="right" vertical="top" indent="1" wrapText="false"/>
    </xf>
    <xf numFmtId="0" fontId="461" fillId="8" borderId="6" xfId="0" applyFill="true" applyFont="true" applyBorder="true">
      <alignment horizontal="left" vertical="top" indent="1" wrapText="false"/>
    </xf>
    <xf numFmtId="0" fontId="462" fillId="8" borderId="6" xfId="0" applyFill="true" applyFont="true" applyBorder="true">
      <alignment horizontal="left" vertical="top" indent="1" wrapText="false"/>
    </xf>
    <xf numFmtId="0" fontId="463" fillId="8" borderId="6" xfId="0" applyFill="true" applyFont="true" applyBorder="true">
      <alignment horizontal="left" vertical="top" indent="1" wrapText="false"/>
    </xf>
    <xf numFmtId="0" fontId="464" fillId="8" borderId="6" xfId="0" applyFill="true" applyFont="true" applyBorder="true">
      <alignment horizontal="left" vertical="top" indent="1" wrapText="false"/>
    </xf>
    <xf numFmtId="0" fontId="465" fillId="8" borderId="6" xfId="0" applyFill="true" applyFont="true" applyBorder="true">
      <alignment horizontal="left" vertical="top" indent="1" wrapText="false"/>
    </xf>
    <xf numFmtId="0" fontId="466" fillId="8" borderId="6" xfId="0" applyFill="true" applyFont="true" applyBorder="true">
      <alignment horizontal="left" vertical="top" indent="1" wrapText="false"/>
    </xf>
    <xf numFmtId="0" fontId="467" fillId="8" borderId="6" xfId="0" applyFill="true" applyFont="true" applyBorder="true">
      <alignment horizontal="left" vertical="top" indent="1" wrapText="false"/>
    </xf>
    <xf numFmtId="0" fontId="468" fillId="8" borderId="6" xfId="0" applyFill="true" applyFont="true" applyBorder="true">
      <alignment horizontal="left" vertical="top" indent="1" wrapText="false"/>
    </xf>
    <xf numFmtId="0" fontId="469" fillId="8" borderId="6" xfId="0" applyFill="true" applyFont="true" applyBorder="true">
      <alignment horizontal="left" vertical="top" indent="1" wrapText="false"/>
    </xf>
    <xf numFmtId="168" fontId="470" fillId="8" borderId="6" xfId="0" applyFill="true" applyFont="true" applyBorder="true" applyNumberFormat="true">
      <alignment horizontal="right" vertical="top" indent="1" wrapText="false"/>
    </xf>
    <xf numFmtId="165" fontId="471" fillId="8" borderId="6" xfId="0" applyFill="true" applyFont="true" applyBorder="true" applyNumberFormat="true">
      <alignment horizontal="right" vertical="top" indent="1" wrapText="false"/>
    </xf>
    <xf numFmtId="0" fontId="472" fillId="8" borderId="6" xfId="0" applyFill="true" applyFont="true" applyBorder="true">
      <alignment horizontal="left" vertical="top" indent="1" wrapText="false"/>
    </xf>
    <xf numFmtId="165" fontId="473" fillId="8" borderId="6" xfId="0" applyFill="true" applyFont="true" applyBorder="true" applyNumberFormat="true">
      <alignment horizontal="right" vertical="top" indent="1" wrapText="false"/>
    </xf>
    <xf numFmtId="0" fontId="474" fillId="8" borderId="6" xfId="0" applyFill="true" applyFont="true" applyBorder="true">
      <alignment horizontal="left" vertical="top" indent="1" wrapText="false"/>
    </xf>
    <xf numFmtId="0" fontId="475" fillId="8" borderId="6" xfId="0" applyFill="true" applyFont="true" applyBorder="true">
      <alignment horizontal="left" vertical="top" indent="1" wrapText="false"/>
    </xf>
    <xf numFmtId="0" fontId="476" fillId="8" borderId="6" xfId="0" applyFill="true" applyFont="true" applyBorder="true">
      <alignment horizontal="left" vertical="top" indent="1" wrapText="false"/>
    </xf>
    <xf numFmtId="0" fontId="477" fillId="8" borderId="6" xfId="0" applyFill="true" applyFont="true" applyBorder="true">
      <alignment horizontal="left" vertical="top" indent="1" wrapText="false"/>
    </xf>
    <xf numFmtId="0" fontId="478" fillId="8" borderId="6" xfId="0" applyFill="true" applyFont="true" applyBorder="true">
      <alignment horizontal="left" vertical="top" indent="1" wrapText="false"/>
    </xf>
    <xf numFmtId="0" fontId="479" fillId="8" borderId="6" xfId="0" applyFill="true" applyFont="true" applyBorder="true">
      <alignment horizontal="left" vertical="top" indent="1" wrapText="false"/>
    </xf>
    <xf numFmtId="0" fontId="480" fillId="8" borderId="6" xfId="0" applyFill="true" applyFont="true" applyBorder="true">
      <alignment horizontal="left" vertical="top" indent="1" wrapText="false"/>
    </xf>
    <xf numFmtId="0" fontId="481" fillId="8" borderId="6" xfId="0" applyFill="true" applyFont="true" applyBorder="true">
      <alignment horizontal="left" vertical="top" indent="1" wrapText="false"/>
    </xf>
    <xf numFmtId="0" fontId="482" fillId="8" borderId="6" xfId="0" applyFill="true" applyFont="true" applyBorder="true">
      <alignment horizontal="left" vertical="top" indent="1" wrapText="false"/>
    </xf>
    <xf numFmtId="169" fontId="483" fillId="8" borderId="6" xfId="0" applyFill="true" applyFont="true" applyBorder="true" applyNumberFormat="true">
      <alignment horizontal="right" vertical="top" indent="1" wrapText="false"/>
    </xf>
    <xf numFmtId="170" fontId="484" fillId="8" borderId="6" xfId="0" applyFill="true" applyFont="true" applyBorder="true" applyNumberFormat="true">
      <alignment horizontal="right" vertical="top" indent="1" wrapText="false"/>
    </xf>
    <xf numFmtId="169" fontId="485" fillId="8" borderId="6" xfId="0" applyFill="true" applyFont="true" applyBorder="true" applyNumberFormat="true">
      <alignment horizontal="right" vertical="top" indent="1" wrapText="false"/>
    </xf>
    <xf numFmtId="169" fontId="486" fillId="8" borderId="6" xfId="0" applyFill="true" applyFont="true" applyBorder="true" applyNumberFormat="true">
      <alignment horizontal="right" vertical="top" indent="1" wrapText="false"/>
    </xf>
    <xf numFmtId="169" fontId="487" fillId="8" borderId="6" xfId="0" applyFill="true" applyFont="true" applyBorder="true" applyNumberFormat="true">
      <alignment horizontal="right" vertical="top" indent="1" wrapText="false"/>
    </xf>
    <xf numFmtId="170" fontId="488" fillId="8" borderId="6" xfId="0" applyFill="true" applyFont="true" applyBorder="true" applyNumberFormat="true">
      <alignment horizontal="right" vertical="top" indent="1" wrapText="false"/>
    </xf>
    <xf numFmtId="169" fontId="489" fillId="8" borderId="6" xfId="0" applyFill="true" applyFont="true" applyBorder="true" applyNumberFormat="true">
      <alignment horizontal="right" vertical="top" indent="1" wrapText="false"/>
    </xf>
    <xf numFmtId="170" fontId="490" fillId="8" borderId="6" xfId="0" applyFill="true" applyFont="true" applyBorder="true" applyNumberFormat="true">
      <alignment horizontal="right" vertical="top" indent="1" wrapText="false"/>
    </xf>
    <xf numFmtId="169" fontId="491" fillId="8" borderId="6" xfId="0" applyFill="true" applyFont="true" applyBorder="true" applyNumberFormat="true">
      <alignment horizontal="right" vertical="top" indent="1" wrapText="false"/>
    </xf>
    <xf numFmtId="170" fontId="492" fillId="8" borderId="6" xfId="0" applyFill="true" applyFont="true" applyBorder="true" applyNumberFormat="true">
      <alignment horizontal="right" vertical="top" indent="1" wrapText="false"/>
    </xf>
    <xf numFmtId="169" fontId="493" fillId="8" borderId="6" xfId="0" applyFill="true" applyFont="true" applyBorder="true" applyNumberFormat="true">
      <alignment horizontal="right" vertical="top" indent="1" wrapText="false"/>
    </xf>
    <xf numFmtId="170" fontId="494" fillId="8" borderId="6" xfId="0" applyFill="true" applyFont="true" applyBorder="true" applyNumberFormat="true">
      <alignment horizontal="right" vertical="top" indent="1" wrapText="false"/>
    </xf>
    <xf numFmtId="169" fontId="495" fillId="8" borderId="6" xfId="0" applyFill="true" applyFont="true" applyBorder="true" applyNumberFormat="true">
      <alignment horizontal="right" vertical="top" indent="1" wrapText="false"/>
    </xf>
    <xf numFmtId="170" fontId="496" fillId="8" borderId="6" xfId="0" applyFill="true" applyFont="true" applyBorder="true" applyNumberFormat="true">
      <alignment horizontal="right" vertical="top" indent="1" wrapText="false"/>
    </xf>
    <xf numFmtId="169" fontId="497" fillId="8" borderId="6" xfId="0" applyFill="true" applyFont="true" applyBorder="true" applyNumberFormat="true">
      <alignment horizontal="right" vertical="top" indent="1" wrapText="false"/>
    </xf>
    <xf numFmtId="170" fontId="498" fillId="8" borderId="6" xfId="0" applyFill="true" applyFont="true" applyBorder="true" applyNumberFormat="true">
      <alignment horizontal="right" vertical="top" indent="1" wrapText="false"/>
    </xf>
    <xf numFmtId="171" fontId="499" fillId="8" borderId="6" xfId="0" applyFill="true" applyFont="true" applyBorder="true" applyNumberFormat="true">
      <alignment horizontal="right" vertical="top" indent="1" wrapText="false"/>
    </xf>
    <xf numFmtId="170" fontId="500" fillId="8" borderId="6" xfId="0" applyFill="true" applyFont="true" applyBorder="true" applyNumberFormat="true">
      <alignment horizontal="right" vertical="top" indent="1" wrapText="false"/>
    </xf>
    <xf numFmtId="171" fontId="501" fillId="8" borderId="6" xfId="0" applyFill="true" applyFont="true" applyBorder="true" applyNumberFormat="true">
      <alignment horizontal="right" vertical="top" indent="1" wrapText="false"/>
    </xf>
    <xf numFmtId="169" fontId="502" fillId="8" borderId="6" xfId="0" applyFill="true" applyFont="true" applyBorder="true" applyNumberFormat="true">
      <alignment horizontal="right" vertical="top" indent="1" wrapText="false"/>
    </xf>
    <xf numFmtId="171" fontId="503" fillId="8" borderId="6" xfId="0" applyFill="true" applyFont="true" applyBorder="true" applyNumberFormat="true">
      <alignment horizontal="right" vertical="top" indent="1" wrapText="false"/>
    </xf>
    <xf numFmtId="170" fontId="504" fillId="8" borderId="6" xfId="0" applyFill="true" applyFont="true" applyBorder="true" applyNumberFormat="true">
      <alignment horizontal="right" vertical="top" indent="1" wrapText="false"/>
    </xf>
    <xf numFmtId="171" fontId="505" fillId="8" borderId="6" xfId="0" applyFill="true" applyFont="true" applyBorder="true" applyNumberFormat="true">
      <alignment horizontal="right" vertical="top" indent="1" wrapText="false"/>
    </xf>
    <xf numFmtId="170" fontId="506" fillId="8" borderId="6" xfId="0" applyFill="true" applyFont="true" applyBorder="true" applyNumberFormat="true">
      <alignment horizontal="right" vertical="top" indent="1" wrapText="false"/>
    </xf>
    <xf numFmtId="171" fontId="507" fillId="8" borderId="6" xfId="0" applyFill="true" applyFont="true" applyBorder="true" applyNumberFormat="true">
      <alignment horizontal="right" vertical="top" indent="1" wrapText="false"/>
    </xf>
    <xf numFmtId="170" fontId="508" fillId="8" borderId="6" xfId="0" applyFill="true" applyFont="true" applyBorder="true" applyNumberFormat="true">
      <alignment horizontal="right" vertical="top" indent="1" wrapText="false"/>
    </xf>
    <xf numFmtId="171" fontId="509" fillId="8" borderId="6" xfId="0" applyFill="true" applyFont="true" applyBorder="true" applyNumberFormat="true">
      <alignment horizontal="right" vertical="top" indent="1" wrapText="false"/>
    </xf>
    <xf numFmtId="170" fontId="510" fillId="8" borderId="6" xfId="0" applyFill="true" applyFont="true" applyBorder="true" applyNumberFormat="true">
      <alignment horizontal="right" vertical="top" indent="1" wrapText="false"/>
    </xf>
    <xf numFmtId="171" fontId="511" fillId="8" borderId="6" xfId="0" applyFill="true" applyFont="true" applyBorder="true" applyNumberFormat="true">
      <alignment horizontal="right" vertical="top" indent="1" wrapText="false"/>
    </xf>
    <xf numFmtId="170" fontId="512" fillId="8" borderId="6" xfId="0" applyFill="true" applyFont="true" applyBorder="true" applyNumberFormat="true">
      <alignment horizontal="right" vertical="top" indent="1" wrapText="false"/>
    </xf>
    <xf numFmtId="171" fontId="513" fillId="8" borderId="6" xfId="0" applyFill="true" applyFont="true" applyBorder="true" applyNumberFormat="true">
      <alignment horizontal="right" vertical="top" indent="1" wrapText="false"/>
    </xf>
    <xf numFmtId="170" fontId="514" fillId="8" borderId="6" xfId="0" applyFill="true" applyFont="true" applyBorder="true" applyNumberFormat="true">
      <alignment horizontal="right" vertical="top" indent="1" wrapText="false"/>
    </xf>
    <xf numFmtId="170" fontId="515" fillId="8" borderId="6" xfId="0" applyFill="true" applyFont="true" applyBorder="true" applyNumberFormat="true">
      <alignment horizontal="right" vertical="top" indent="1" wrapText="false"/>
    </xf>
    <xf numFmtId="170" fontId="516" fillId="8" borderId="6" xfId="0" applyFill="true" applyFont="true" applyBorder="true" applyNumberFormat="true">
      <alignment horizontal="right" vertical="top" indent="1" wrapText="false"/>
    </xf>
    <xf numFmtId="169" fontId="517" fillId="8" borderId="6" xfId="0" applyFill="true" applyFont="true" applyBorder="true" applyNumberFormat="true">
      <alignment horizontal="right" vertical="top" indent="1" wrapText="false"/>
    </xf>
    <xf numFmtId="170" fontId="518" fillId="8" borderId="6" xfId="0" applyFill="true" applyFont="true" applyBorder="true" applyNumberFormat="true">
      <alignment horizontal="right" vertical="top" indent="1" wrapText="false"/>
    </xf>
    <xf numFmtId="170" fontId="519" fillId="8" borderId="6" xfId="0" applyFill="true" applyFont="true" applyBorder="true" applyNumberFormat="true">
      <alignment horizontal="right" vertical="top" indent="1" wrapText="false"/>
    </xf>
    <xf numFmtId="169" fontId="520" fillId="8" borderId="6" xfId="0" applyFill="true" applyFont="true" applyBorder="true" applyNumberFormat="true">
      <alignment horizontal="right" vertical="top" indent="1" wrapText="false"/>
    </xf>
    <xf numFmtId="170" fontId="521" fillId="8" borderId="6" xfId="0" applyFill="true" applyFont="true" applyBorder="true" applyNumberFormat="true">
      <alignment horizontal="right" vertical="top" indent="1" wrapText="false"/>
    </xf>
    <xf numFmtId="170" fontId="522" fillId="8" borderId="6" xfId="0" applyFill="true" applyFont="true" applyBorder="true" applyNumberFormat="true">
      <alignment horizontal="right" vertical="top" indent="1" wrapText="false"/>
    </xf>
    <xf numFmtId="169" fontId="523" fillId="8" borderId="6" xfId="0" applyFill="true" applyFont="true" applyBorder="true" applyNumberFormat="true">
      <alignment horizontal="right" vertical="top" indent="1" wrapText="false"/>
    </xf>
    <xf numFmtId="170" fontId="524" fillId="8" borderId="6" xfId="0" applyFill="true" applyFont="true" applyBorder="true" applyNumberFormat="true">
      <alignment horizontal="right" vertical="top" indent="1" wrapText="false"/>
    </xf>
    <xf numFmtId="170" fontId="525" fillId="8" borderId="6" xfId="0" applyFill="true" applyFont="true" applyBorder="true" applyNumberFormat="true">
      <alignment horizontal="right" vertical="top" indent="1" wrapText="false"/>
    </xf>
    <xf numFmtId="169" fontId="526" fillId="8" borderId="6" xfId="0" applyFill="true" applyFont="true" applyBorder="true" applyNumberFormat="true">
      <alignment horizontal="right" vertical="top" indent="1" wrapText="false"/>
    </xf>
    <xf numFmtId="0" fontId="527" fillId="8" borderId="6" xfId="0" applyFill="true" applyFont="true" applyBorder="true">
      <alignment horizontal="right" vertical="top" indent="1" wrapText="false"/>
    </xf>
    <xf numFmtId="0" fontId="528" fillId="8" borderId="6" xfId="0" applyFill="true" applyFont="true" applyBorder="true">
      <alignment horizontal="general" vertical="top" indent="1" wrapText="false"/>
    </xf>
    <xf numFmtId="0" fontId="529" fillId="6" borderId="6" xfId="0" applyFill="true" applyFont="true" applyBorder="true">
      <alignment horizontal="left" vertical="top" indent="1" wrapText="false"/>
    </xf>
    <xf numFmtId="0" fontId="530" fillId="8" borderId="6" xfId="0" applyFill="true" applyFont="true" applyBorder="true">
      <alignment horizontal="left" vertical="top" indent="1" wrapText="false"/>
    </xf>
    <xf numFmtId="0" fontId="531" fillId="6" borderId="6" xfId="0" applyFill="true" applyFont="true" applyBorder="true">
      <alignment horizontal="left" vertical="top" indent="1" wrapText="false"/>
    </xf>
    <xf numFmtId="0" fontId="532" fillId="8" borderId="6" xfId="0" applyFill="true" applyFont="true" applyBorder="true">
      <alignment horizontal="left" vertical="top" indent="1" wrapText="false"/>
    </xf>
    <xf numFmtId="0" fontId="533" fillId="6" borderId="6" xfId="0" applyFill="true" applyFont="true" applyBorder="true">
      <alignment horizontal="left" vertical="top" indent="1" wrapText="false"/>
    </xf>
    <xf numFmtId="0" fontId="534" fillId="8" borderId="6" xfId="0" applyFill="true" applyFont="true" applyBorder="true">
      <alignment horizontal="left" vertical="top" indent="1" wrapText="false"/>
    </xf>
    <xf numFmtId="0" fontId="535" fillId="6" borderId="6" xfId="0" applyFill="true" applyFont="true" applyBorder="true">
      <alignment horizontal="left" vertical="top" indent="1" wrapText="false"/>
    </xf>
    <xf numFmtId="0" fontId="536" fillId="8" borderId="6" xfId="0" applyFill="true" applyFont="true" applyBorder="true">
      <alignment horizontal="left" vertical="top" indent="1" wrapText="false"/>
    </xf>
    <xf numFmtId="0" fontId="537" fillId="6" borderId="6" xfId="0" applyFill="true" applyFont="true" applyBorder="true">
      <alignment horizontal="left" vertical="top" indent="1" wrapText="false"/>
    </xf>
    <xf numFmtId="0" fontId="538" fillId="8" borderId="6" xfId="0" applyFill="true" applyFont="true" applyBorder="true">
      <alignment horizontal="left" vertical="top" indent="1" wrapText="false"/>
    </xf>
    <xf numFmtId="0" fontId="539" fillId="6" borderId="6" xfId="0" applyFill="true" applyFont="true" applyBorder="true">
      <alignment horizontal="left" vertical="top" indent="1" wrapText="false"/>
    </xf>
    <xf numFmtId="0" fontId="540" fillId="8" borderId="6" xfId="0" applyFill="true" applyFont="true" applyBorder="true">
      <alignment horizontal="left" vertical="top" indent="1" wrapText="false"/>
    </xf>
    <xf numFmtId="0" fontId="541" fillId="6" borderId="6" xfId="0" applyFill="true" applyFont="true" applyBorder="true">
      <alignment horizontal="left" vertical="top" indent="1" wrapText="false"/>
    </xf>
    <xf numFmtId="0" fontId="542" fillId="8" borderId="6" xfId="0" applyFill="true" applyFont="true" applyBorder="true">
      <alignment horizontal="left" vertical="top" indent="1" wrapText="false"/>
    </xf>
    <xf numFmtId="0" fontId="543" fillId="6" borderId="6" xfId="0" applyFill="true" applyFont="true" applyBorder="true">
      <alignment horizontal="left" vertical="top" indent="1" wrapText="false"/>
    </xf>
    <xf numFmtId="0" fontId="544" fillId="8" borderId="6" xfId="0" applyFill="true" applyFont="true" applyBorder="true">
      <alignment horizontal="left" vertical="top" indent="1" wrapText="false"/>
    </xf>
    <xf numFmtId="0" fontId="545" fillId="6" borderId="6" xfId="0" applyFill="true" applyFont="true" applyBorder="true">
      <alignment horizontal="left" vertical="top" indent="1" wrapText="false"/>
    </xf>
    <xf numFmtId="0" fontId="546" fillId="8" borderId="6" xfId="0" applyFill="true" applyFont="true" applyBorder="true">
      <alignment horizontal="left" vertical="top" indent="1" wrapText="false"/>
    </xf>
    <xf numFmtId="0" fontId="547" fillId="6" borderId="6" xfId="0" applyFill="true" applyFont="true" applyBorder="true">
      <alignment horizontal="left" vertical="top" indent="1" wrapText="false"/>
    </xf>
    <xf numFmtId="0" fontId="548" fillId="8" borderId="6" xfId="0" applyFill="true" applyFont="true" applyBorder="true">
      <alignment horizontal="left" vertical="top" indent="1" wrapText="false"/>
    </xf>
    <xf numFmtId="0" fontId="549" fillId="6" borderId="6" xfId="0" applyFill="true" applyFont="true" applyBorder="true">
      <alignment horizontal="left" vertical="top" indent="1" wrapText="false"/>
    </xf>
    <xf numFmtId="0" fontId="550" fillId="8" borderId="6" xfId="0" applyFill="true" applyFont="true" applyBorder="true">
      <alignment horizontal="left" vertical="top" indent="1" wrapText="false"/>
    </xf>
    <xf numFmtId="0" fontId="551" fillId="6" borderId="6" xfId="0" applyFill="true" applyFont="true" applyBorder="true">
      <alignment horizontal="left" vertical="top" indent="1" wrapText="false"/>
    </xf>
    <xf numFmtId="0" fontId="552" fillId="8" borderId="6" xfId="0" applyFill="true" applyFont="true" applyBorder="true">
      <alignment horizontal="left" vertical="top" indent="1" wrapText="false"/>
    </xf>
    <xf numFmtId="165" fontId="553" fillId="6" borderId="6" xfId="0" applyFill="true" applyFont="true" applyBorder="true" applyNumberFormat="true">
      <alignment horizontal="left" vertical="top" indent="1" wrapText="false"/>
    </xf>
    <xf numFmtId="165" fontId="554" fillId="8" borderId="6" xfId="0" applyFill="true" applyFont="true" applyBorder="true" applyNumberFormat="true">
      <alignment horizontal="left" vertical="top" indent="1" wrapText="false"/>
    </xf>
    <xf numFmtId="0" fontId="555" fillId="6" borderId="6" xfId="0" applyFill="true" applyFont="true" applyBorder="true">
      <alignment horizontal="left" vertical="top" indent="1" wrapText="false"/>
    </xf>
    <xf numFmtId="0" fontId="556" fillId="8" borderId="6" xfId="0" applyFill="true" applyFont="true" applyBorder="true">
      <alignment horizontal="left" vertical="top" indent="1" wrapText="false"/>
    </xf>
    <xf numFmtId="0" fontId="557" fillId="6" borderId="6" xfId="0" applyFill="true" applyFont="true" applyBorder="true">
      <alignment horizontal="left" vertical="top" indent="1" wrapText="false"/>
    </xf>
    <xf numFmtId="0" fontId="558" fillId="8" borderId="6" xfId="0" applyFill="true" applyFont="true" applyBorder="true">
      <alignment horizontal="left" vertical="top" indent="1" wrapText="false"/>
    </xf>
    <xf numFmtId="0" fontId="559" fillId="6" borderId="6" xfId="0" applyFill="true" applyFont="true" applyBorder="true">
      <alignment horizontal="left" vertical="top" indent="1" wrapText="false"/>
    </xf>
    <xf numFmtId="0" fontId="560" fillId="8" borderId="6" xfId="0" applyFill="true" applyFont="true" applyBorder="true">
      <alignment horizontal="left" vertical="top" indent="1" wrapText="false"/>
    </xf>
    <xf numFmtId="0" fontId="561" fillId="6" borderId="6" xfId="0" applyFill="true" applyFont="true" applyBorder="true">
      <alignment horizontal="left" vertical="top" indent="1" wrapText="false"/>
    </xf>
    <xf numFmtId="0" fontId="562" fillId="8" borderId="6" xfId="0" applyFill="true" applyFont="true" applyBorder="true">
      <alignment horizontal="left" vertical="top" indent="1" wrapText="false"/>
    </xf>
    <xf numFmtId="166" fontId="563" fillId="6" borderId="6" xfId="0" applyFill="true" applyFont="true" applyBorder="true" applyNumberFormat="true">
      <alignment horizontal="left" vertical="top" indent="1" wrapText="false"/>
    </xf>
    <xf numFmtId="166" fontId="564" fillId="8" borderId="6" xfId="0" applyFill="true" applyFont="true" applyBorder="true" applyNumberFormat="true">
      <alignment horizontal="left" vertical="top" indent="1" wrapText="false"/>
    </xf>
    <xf numFmtId="0" fontId="565" fillId="6" borderId="6" xfId="0" applyFill="true" applyFont="true" applyBorder="true">
      <alignment horizontal="left" vertical="top" indent="1" wrapText="false"/>
    </xf>
    <xf numFmtId="0" fontId="566" fillId="8" borderId="6" xfId="0" applyFill="true" applyFont="true" applyBorder="true">
      <alignment horizontal="left" vertical="top" indent="1" wrapText="false"/>
    </xf>
    <xf numFmtId="0" fontId="567" fillId="6" borderId="6" xfId="0" applyFill="true" applyFont="true" applyBorder="true">
      <alignment horizontal="left" vertical="top" indent="1" wrapText="false"/>
    </xf>
    <xf numFmtId="0" fontId="568" fillId="8" borderId="6" xfId="0" applyFill="true" applyFont="true" applyBorder="true">
      <alignment horizontal="left" vertical="top" indent="1" wrapText="false"/>
    </xf>
    <xf numFmtId="167" fontId="569" fillId="6" borderId="6" xfId="0" applyFill="true" applyFont="true" applyBorder="true" applyNumberFormat="true">
      <alignment horizontal="left" vertical="top" indent="1" wrapText="false"/>
    </xf>
    <xf numFmtId="167" fontId="570" fillId="8" borderId="6" xfId="0" applyFill="true" applyFont="true" applyBorder="true" applyNumberFormat="true">
      <alignment horizontal="left" vertical="top" indent="1" wrapText="false"/>
    </xf>
    <xf numFmtId="0" fontId="571" fillId="6" borderId="6" xfId="0" applyFill="true" applyFont="true" applyBorder="true">
      <alignment horizontal="left" vertical="top" indent="1" wrapText="false"/>
    </xf>
    <xf numFmtId="0" fontId="572" fillId="8" borderId="6" xfId="0" applyFill="true" applyFont="true" applyBorder="true">
      <alignment horizontal="left" vertical="top" indent="1" wrapText="false"/>
    </xf>
    <xf numFmtId="0" fontId="573" fillId="6" borderId="6" xfId="0" applyFill="true" applyFont="true" applyBorder="true">
      <alignment horizontal="left" vertical="top" indent="1" wrapText="true"/>
    </xf>
    <xf numFmtId="0" fontId="574" fillId="8" borderId="6" xfId="0" applyFill="true" applyFont="true" applyBorder="true">
      <alignment horizontal="left" vertical="top" indent="1" wrapText="true"/>
    </xf>
    <xf numFmtId="0" fontId="575" fillId="6" borderId="6" xfId="0" applyFill="true" applyFont="true" applyBorder="true">
      <alignment horizontal="left" vertical="top" indent="1" wrapText="true"/>
    </xf>
    <xf numFmtId="0" fontId="576" fillId="8" borderId="6" xfId="0" applyFill="true" applyFont="true" applyBorder="true">
      <alignment horizontal="left" vertical="top" indent="1" wrapText="true"/>
    </xf>
    <xf numFmtId="165" fontId="577" fillId="6" borderId="6" xfId="0" applyFill="true" applyFont="true" applyBorder="true" applyNumberFormat="true">
      <alignment horizontal="left" vertical="top" indent="1" wrapText="false"/>
    </xf>
    <xf numFmtId="165" fontId="578" fillId="8" borderId="6" xfId="0" applyFill="true" applyFont="true" applyBorder="true" applyNumberFormat="true">
      <alignment horizontal="left" vertical="top" indent="1" wrapText="false"/>
    </xf>
    <xf numFmtId="165" fontId="579" fillId="6" borderId="6" xfId="0" applyFill="true" applyFont="true" applyBorder="true" applyNumberFormat="true">
      <alignment horizontal="left" vertical="top" indent="1" wrapText="false"/>
    </xf>
    <xf numFmtId="165" fontId="580" fillId="8" borderId="6" xfId="0" applyFill="true" applyFont="true" applyBorder="true" applyNumberFormat="true">
      <alignment horizontal="left" vertical="top" indent="1" wrapText="false"/>
    </xf>
    <xf numFmtId="165" fontId="581" fillId="6" borderId="6" xfId="0" applyFill="true" applyFont="true" applyBorder="true" applyNumberFormat="true">
      <alignment horizontal="left" vertical="top" indent="1" wrapText="false"/>
    </xf>
    <xf numFmtId="165" fontId="582" fillId="8" borderId="6" xfId="0" applyFill="true" applyFont="true" applyBorder="true" applyNumberFormat="true">
      <alignment horizontal="left" vertical="top" indent="1" wrapText="false"/>
    </xf>
    <xf numFmtId="165" fontId="583" fillId="6" borderId="6" xfId="0" applyFill="true" applyFont="true" applyBorder="true" applyNumberFormat="true">
      <alignment horizontal="left" vertical="top" indent="1" wrapText="false"/>
    </xf>
    <xf numFmtId="165" fontId="584" fillId="8" borderId="6" xfId="0" applyFill="true" applyFont="true" applyBorder="true" applyNumberFormat="true">
      <alignment horizontal="left" vertical="top" indent="1" wrapText="false"/>
    </xf>
    <xf numFmtId="165" fontId="585" fillId="6" borderId="6" xfId="0" applyFill="true" applyFont="true" applyBorder="true" applyNumberFormat="true">
      <alignment horizontal="left" vertical="top" indent="1" wrapText="false"/>
    </xf>
    <xf numFmtId="165" fontId="586" fillId="8" borderId="6" xfId="0" applyFill="true" applyFont="true" applyBorder="true" applyNumberFormat="true">
      <alignment horizontal="left" vertical="top" indent="1" wrapText="false"/>
    </xf>
    <xf numFmtId="0" fontId="587" fillId="6" borderId="6" xfId="0" applyFill="true" applyFont="true" applyBorder="true">
      <alignment horizontal="left" vertical="top" indent="1" wrapText="false"/>
    </xf>
    <xf numFmtId="0" fontId="588" fillId="8" borderId="6" xfId="0" applyFill="true" applyFont="true" applyBorder="true">
      <alignment horizontal="left" vertical="top" indent="1" wrapText="false"/>
    </xf>
    <xf numFmtId="0" fontId="589" fillId="6" borderId="6" xfId="0" applyFill="true" applyFont="true" applyBorder="true">
      <alignment horizontal="left" vertical="top" indent="1" wrapText="false"/>
    </xf>
    <xf numFmtId="0" fontId="590" fillId="8" borderId="6" xfId="0" applyFill="true" applyFont="true" applyBorder="true">
      <alignment horizontal="left" vertical="top" indent="1" wrapText="false"/>
    </xf>
    <xf numFmtId="0" fontId="591" fillId="6" borderId="6" xfId="0" applyFill="true" applyFont="true" applyBorder="true">
      <alignment horizontal="left" vertical="top" indent="1" wrapText="false"/>
    </xf>
    <xf numFmtId="0" fontId="592" fillId="8" borderId="6" xfId="0" applyFill="true" applyFont="true" applyBorder="true">
      <alignment horizontal="left" vertical="top" indent="1" wrapText="false"/>
    </xf>
    <xf numFmtId="0" fontId="593" fillId="6" borderId="6" xfId="0" applyFill="true" applyFont="true" applyBorder="true">
      <alignment horizontal="left" vertical="top" indent="1" wrapText="false"/>
    </xf>
    <xf numFmtId="0" fontId="594" fillId="8" borderId="6" xfId="0" applyFill="true" applyFont="true" applyBorder="true">
      <alignment horizontal="left" vertical="top" indent="1" wrapText="false"/>
    </xf>
    <xf numFmtId="0" fontId="595" fillId="6" borderId="6" xfId="0" applyFill="true" applyFont="true" applyBorder="true">
      <alignment horizontal="left" vertical="top" indent="1" wrapText="false"/>
    </xf>
    <xf numFmtId="0" fontId="596" fillId="8" borderId="6" xfId="0" applyFill="true" applyFont="true" applyBorder="true">
      <alignment horizontal="left" vertical="top" indent="1" wrapText="false"/>
    </xf>
    <xf numFmtId="0" fontId="597" fillId="6" borderId="6" xfId="0" applyFill="true" applyFont="true" applyBorder="true">
      <alignment horizontal="left" vertical="top" indent="1" wrapText="false"/>
    </xf>
    <xf numFmtId="0" fontId="598" fillId="8" borderId="6" xfId="0" applyFill="true" applyFont="true" applyBorder="true">
      <alignment horizontal="left" vertical="top" indent="1" wrapText="false"/>
    </xf>
    <xf numFmtId="0" fontId="599" fillId="6" borderId="6" xfId="0" applyFill="true" applyFont="true" applyBorder="true">
      <alignment horizontal="left" vertical="top" indent="1" wrapText="false"/>
    </xf>
    <xf numFmtId="0" fontId="600" fillId="8" borderId="6" xfId="0" applyFill="true" applyFont="true" applyBorder="true">
      <alignment horizontal="left" vertical="top" indent="1" wrapText="false"/>
    </xf>
    <xf numFmtId="0" fontId="601" fillId="6" borderId="6" xfId="0" applyFill="true" applyFont="true" applyBorder="true">
      <alignment horizontal="left" vertical="top" indent="1" wrapText="false"/>
    </xf>
    <xf numFmtId="0" fontId="602" fillId="8" borderId="6" xfId="0" applyFill="true" applyFont="true" applyBorder="true">
      <alignment horizontal="left" vertical="top" indent="1" wrapText="false"/>
    </xf>
    <xf numFmtId="0" fontId="603" fillId="6" borderId="6" xfId="0" applyFill="true" applyFont="true" applyBorder="true">
      <alignment horizontal="left" vertical="top" indent="1" wrapText="false"/>
    </xf>
    <xf numFmtId="0" fontId="604" fillId="8" borderId="6" xfId="0" applyFill="true" applyFont="true" applyBorder="true">
      <alignment horizontal="left" vertical="top" indent="1" wrapText="false"/>
    </xf>
    <xf numFmtId="0" fontId="605" fillId="6" borderId="6" xfId="0" applyFill="true" applyFont="true" applyBorder="true">
      <alignment horizontal="left" vertical="top" indent="1" wrapText="false"/>
    </xf>
    <xf numFmtId="0" fontId="606" fillId="8" borderId="6" xfId="0" applyFill="true" applyFont="true" applyBorder="true">
      <alignment horizontal="left" vertical="top" indent="1" wrapText="false"/>
    </xf>
    <xf numFmtId="0" fontId="607" fillId="6" borderId="6" xfId="0" applyFill="true" applyFont="true" applyBorder="true">
      <alignment horizontal="left" vertical="top" indent="1" wrapText="false"/>
    </xf>
    <xf numFmtId="0" fontId="608" fillId="8" borderId="6" xfId="0" applyFill="true" applyFont="true" applyBorder="true">
      <alignment horizontal="left" vertical="top" indent="1" wrapText="false"/>
    </xf>
    <xf numFmtId="0" fontId="609" fillId="6" borderId="6" xfId="0" applyFill="true" applyFont="true" applyBorder="true">
      <alignment horizontal="left" vertical="top" indent="1" wrapText="false"/>
    </xf>
    <xf numFmtId="0" fontId="610" fillId="8" borderId="6" xfId="0" applyFill="true" applyFont="true" applyBorder="true">
      <alignment horizontal="left" vertical="top" indent="1" wrapText="false"/>
    </xf>
    <xf numFmtId="0" fontId="611" fillId="6" borderId="6" xfId="0" applyFill="true" applyFont="true" applyBorder="true">
      <alignment horizontal="left" vertical="top" indent="1" wrapText="false"/>
    </xf>
    <xf numFmtId="0" fontId="612" fillId="8" borderId="6" xfId="0" applyFill="true" applyFont="true" applyBorder="true">
      <alignment horizontal="left" vertical="top" indent="1" wrapText="false"/>
    </xf>
    <xf numFmtId="0" fontId="613" fillId="6" borderId="6" xfId="0" applyFill="true" applyFont="true" applyBorder="true">
      <alignment horizontal="left" vertical="top" indent="1" wrapText="false"/>
    </xf>
    <xf numFmtId="0" fontId="614" fillId="8" borderId="6" xfId="0" applyFill="true" applyFont="true" applyBorder="true">
      <alignment horizontal="left" vertical="top" indent="1" wrapText="false"/>
    </xf>
    <xf numFmtId="0" fontId="615" fillId="6" borderId="6" xfId="0" applyFill="true" applyFont="true" applyBorder="true">
      <alignment horizontal="left" vertical="top" indent="1" wrapText="false"/>
    </xf>
    <xf numFmtId="0" fontId="616" fillId="8" borderId="6" xfId="0" applyFill="true" applyFont="true" applyBorder="true">
      <alignment horizontal="left" vertical="top" indent="1" wrapText="false"/>
    </xf>
    <xf numFmtId="0" fontId="617" fillId="6" borderId="6" xfId="0" applyFill="true" applyFont="true" applyBorder="true">
      <alignment horizontal="left" vertical="top" indent="1" wrapText="false"/>
    </xf>
    <xf numFmtId="0" fontId="618" fillId="8" borderId="6" xfId="0" applyFill="true" applyFont="true" applyBorder="true">
      <alignment horizontal="left" vertical="top" indent="1" wrapText="false"/>
    </xf>
    <xf numFmtId="0" fontId="619" fillId="6" borderId="6" xfId="0" applyFill="true" applyFont="true" applyBorder="true">
      <alignment horizontal="left" vertical="top" indent="1" wrapText="false"/>
    </xf>
    <xf numFmtId="0" fontId="620" fillId="8" borderId="6" xfId="0" applyFill="true" applyFont="true" applyBorder="true">
      <alignment horizontal="left" vertical="top" indent="1" wrapText="false"/>
    </xf>
    <xf numFmtId="0" fontId="621" fillId="6" borderId="6" xfId="0" applyFill="true" applyFont="true" applyBorder="true">
      <alignment horizontal="left" vertical="top" indent="1" wrapText="false"/>
    </xf>
    <xf numFmtId="0" fontId="622" fillId="8" borderId="6" xfId="0" applyFill="true" applyFont="true" applyBorder="true">
      <alignment horizontal="left" vertical="top" indent="1" wrapText="false"/>
    </xf>
    <xf numFmtId="0" fontId="623" fillId="6" borderId="6" xfId="0" applyFill="true" applyFont="true" applyBorder="true">
      <alignment horizontal="left" vertical="top" indent="1" wrapText="false"/>
    </xf>
    <xf numFmtId="0" fontId="624" fillId="8" borderId="6" xfId="0" applyFill="true" applyFont="true" applyBorder="true">
      <alignment horizontal="left" vertical="top" indent="1" wrapText="false"/>
    </xf>
    <xf numFmtId="0" fontId="625" fillId="6" borderId="6" xfId="0" applyFill="true" applyFont="true" applyBorder="true">
      <alignment horizontal="left" vertical="top" indent="1" wrapText="false"/>
    </xf>
    <xf numFmtId="0" fontId="626" fillId="8" borderId="6" xfId="0" applyFill="true" applyFont="true" applyBorder="true">
      <alignment horizontal="left" vertical="top" indent="1" wrapText="false"/>
    </xf>
    <xf numFmtId="0" fontId="627" fillId="6" borderId="6" xfId="0" applyFill="true" applyFont="true" applyBorder="true">
      <alignment horizontal="left" vertical="top" indent="1" wrapText="false"/>
    </xf>
    <xf numFmtId="0" fontId="628" fillId="8" borderId="6" xfId="0" applyFill="true" applyFont="true" applyBorder="true">
      <alignment horizontal="left" vertical="top" indent="1" wrapText="false"/>
    </xf>
    <xf numFmtId="0" fontId="629" fillId="6" borderId="6" xfId="0" applyFill="true" applyFont="true" applyBorder="true">
      <alignment horizontal="left" vertical="top" indent="1" wrapText="false"/>
    </xf>
    <xf numFmtId="0" fontId="630" fillId="8" borderId="6" xfId="0" applyFill="true" applyFont="true" applyBorder="true">
      <alignment horizontal="left" vertical="top" indent="1" wrapText="false"/>
    </xf>
    <xf numFmtId="0" fontId="631" fillId="6" borderId="6" xfId="0" applyFill="true" applyFont="true" applyBorder="true">
      <alignment horizontal="left" vertical="top" indent="1" wrapText="false"/>
    </xf>
    <xf numFmtId="0" fontId="632" fillId="8" borderId="6" xfId="0" applyFill="true" applyFont="true" applyBorder="true">
      <alignment horizontal="left" vertical="top" indent="1" wrapText="false"/>
    </xf>
    <xf numFmtId="0" fontId="633" fillId="6" borderId="6" xfId="0" applyFill="true" applyFont="true" applyBorder="true">
      <alignment horizontal="left" vertical="top" indent="1" wrapText="false"/>
    </xf>
    <xf numFmtId="0" fontId="634" fillId="8" borderId="6" xfId="0" applyFill="true" applyFont="true" applyBorder="true">
      <alignment horizontal="left" vertical="top" indent="1" wrapText="false"/>
    </xf>
    <xf numFmtId="0" fontId="635" fillId="6" borderId="6" xfId="0" applyFill="true" applyFont="true" applyBorder="true">
      <alignment horizontal="left" vertical="top" indent="1" wrapText="false"/>
    </xf>
    <xf numFmtId="0" fontId="636" fillId="8" borderId="6" xfId="0" applyFill="true" applyFont="true" applyBorder="true">
      <alignment horizontal="left" vertical="top" indent="1" wrapText="false"/>
    </xf>
    <xf numFmtId="0" fontId="637" fillId="6" borderId="6" xfId="0" applyFill="true" applyFont="true" applyBorder="true">
      <alignment horizontal="left" vertical="top" indent="1" wrapText="false"/>
    </xf>
    <xf numFmtId="0" fontId="638" fillId="8" borderId="6" xfId="0" applyFill="true" applyFont="true" applyBorder="true">
      <alignment horizontal="left" vertical="top" indent="1" wrapText="false"/>
    </xf>
    <xf numFmtId="0" fontId="639" fillId="6" borderId="6" xfId="0" applyFill="true" applyFont="true" applyBorder="true">
      <alignment horizontal="left" vertical="top" indent="1" wrapText="false"/>
    </xf>
    <xf numFmtId="0" fontId="640" fillId="8" borderId="6" xfId="0" applyFill="true" applyFont="true" applyBorder="true">
      <alignment horizontal="left" vertical="top" indent="1" wrapText="false"/>
    </xf>
    <xf numFmtId="0" fontId="641" fillId="6" borderId="6" xfId="0" applyFill="true" applyFont="true" applyBorder="true">
      <alignment horizontal="left" vertical="top" indent="1" wrapText="false"/>
    </xf>
    <xf numFmtId="0" fontId="642" fillId="8" borderId="6" xfId="0" applyFill="true" applyFont="true" applyBorder="true">
      <alignment horizontal="left" vertical="top" indent="1" wrapText="false"/>
    </xf>
    <xf numFmtId="0" fontId="643" fillId="6" borderId="6" xfId="0" applyFill="true" applyFont="true" applyBorder="true">
      <alignment horizontal="left" vertical="top" indent="1" wrapText="false"/>
    </xf>
    <xf numFmtId="0" fontId="644" fillId="8" borderId="6" xfId="0" applyFill="true" applyFont="true" applyBorder="true">
      <alignment horizontal="left" vertical="top" indent="1" wrapText="false"/>
    </xf>
    <xf numFmtId="168" fontId="645" fillId="6" borderId="6" xfId="0" applyFill="true" applyFont="true" applyBorder="true" applyNumberFormat="true">
      <alignment horizontal="left" vertical="top" indent="1" wrapText="false"/>
    </xf>
    <xf numFmtId="168" fontId="646" fillId="8" borderId="6" xfId="0" applyFill="true" applyFont="true" applyBorder="true" applyNumberFormat="true">
      <alignment horizontal="left" vertical="top" indent="1" wrapText="false"/>
    </xf>
    <xf numFmtId="165" fontId="647" fillId="6" borderId="6" xfId="0" applyFill="true" applyFont="true" applyBorder="true" applyNumberFormat="true">
      <alignment horizontal="left" vertical="top" indent="1" wrapText="false"/>
    </xf>
    <xf numFmtId="165" fontId="648" fillId="8" borderId="6" xfId="0" applyFill="true" applyFont="true" applyBorder="true" applyNumberFormat="true">
      <alignment horizontal="left" vertical="top" indent="1" wrapText="false"/>
    </xf>
    <xf numFmtId="0" fontId="649" fillId="6" borderId="6" xfId="0" applyFill="true" applyFont="true" applyBorder="true">
      <alignment horizontal="left" vertical="top" indent="1" wrapText="false"/>
    </xf>
    <xf numFmtId="0" fontId="650" fillId="8" borderId="6" xfId="0" applyFill="true" applyFont="true" applyBorder="true">
      <alignment horizontal="left" vertical="top" indent="1" wrapText="false"/>
    </xf>
    <xf numFmtId="165" fontId="651" fillId="6" borderId="6" xfId="0" applyFill="true" applyFont="true" applyBorder="true" applyNumberFormat="true">
      <alignment horizontal="left" vertical="top" indent="1" wrapText="false"/>
    </xf>
    <xf numFmtId="165" fontId="652" fillId="8" borderId="6" xfId="0" applyFill="true" applyFont="true" applyBorder="true" applyNumberFormat="true">
      <alignment horizontal="left" vertical="top" indent="1" wrapText="false"/>
    </xf>
    <xf numFmtId="0" fontId="653" fillId="6" borderId="6" xfId="0" applyFill="true" applyFont="true" applyBorder="true">
      <alignment horizontal="left" vertical="top" indent="1" wrapText="false"/>
    </xf>
    <xf numFmtId="0" fontId="654" fillId="8" borderId="6" xfId="0" applyFill="true" applyFont="true" applyBorder="true">
      <alignment horizontal="left" vertical="top" indent="1" wrapText="false"/>
    </xf>
    <xf numFmtId="0" fontId="655" fillId="6" borderId="6" xfId="0" applyFill="true" applyFont="true" applyBorder="true">
      <alignment horizontal="left" vertical="top" indent="1" wrapText="false"/>
    </xf>
    <xf numFmtId="0" fontId="656" fillId="8" borderId="6" xfId="0" applyFill="true" applyFont="true" applyBorder="true">
      <alignment horizontal="left" vertical="top" indent="1" wrapText="false"/>
    </xf>
    <xf numFmtId="0" fontId="657" fillId="6" borderId="6" xfId="0" applyFill="true" applyFont="true" applyBorder="true">
      <alignment horizontal="left" vertical="top" indent="1" wrapText="false"/>
    </xf>
    <xf numFmtId="0" fontId="658" fillId="8" borderId="6" xfId="0" applyFill="true" applyFont="true" applyBorder="true">
      <alignment horizontal="left" vertical="top" indent="1" wrapText="false"/>
    </xf>
    <xf numFmtId="0" fontId="659" fillId="6" borderId="6" xfId="0" applyFill="true" applyFont="true" applyBorder="true">
      <alignment horizontal="left" vertical="top" indent="1" wrapText="false"/>
    </xf>
    <xf numFmtId="0" fontId="660" fillId="8" borderId="6" xfId="0" applyFill="true" applyFont="true" applyBorder="true">
      <alignment horizontal="left" vertical="top" indent="1" wrapText="false"/>
    </xf>
    <xf numFmtId="0" fontId="661" fillId="6" borderId="6" xfId="0" applyFill="true" applyFont="true" applyBorder="true">
      <alignment horizontal="left" vertical="top" indent="1" wrapText="false"/>
    </xf>
    <xf numFmtId="0" fontId="662" fillId="8" borderId="6" xfId="0" applyFill="true" applyFont="true" applyBorder="true">
      <alignment horizontal="left" vertical="top" indent="1" wrapText="false"/>
    </xf>
    <xf numFmtId="0" fontId="663" fillId="6" borderId="6" xfId="0" applyFill="true" applyFont="true" applyBorder="true">
      <alignment horizontal="left" vertical="top" indent="1" wrapText="false"/>
    </xf>
    <xf numFmtId="0" fontId="664" fillId="8" borderId="6" xfId="0" applyFill="true" applyFont="true" applyBorder="true">
      <alignment horizontal="left" vertical="top" indent="1" wrapText="false"/>
    </xf>
    <xf numFmtId="0" fontId="665" fillId="6" borderId="6" xfId="0" applyFill="true" applyFont="true" applyBorder="true">
      <alignment horizontal="left" vertical="top" indent="1" wrapText="false"/>
    </xf>
    <xf numFmtId="0" fontId="666" fillId="8" borderId="6" xfId="0" applyFill="true" applyFont="true" applyBorder="true">
      <alignment horizontal="left" vertical="top" indent="1" wrapText="false"/>
    </xf>
    <xf numFmtId="0" fontId="667" fillId="6" borderId="6" xfId="0" applyFill="true" applyFont="true" applyBorder="true">
      <alignment horizontal="left" vertical="top" indent="1" wrapText="false"/>
    </xf>
    <xf numFmtId="0" fontId="668" fillId="8" borderId="6" xfId="0" applyFill="true" applyFont="true" applyBorder="true">
      <alignment horizontal="left" vertical="top" indent="1" wrapText="false"/>
    </xf>
    <xf numFmtId="0" fontId="669" fillId="6" borderId="6" xfId="0" applyFill="true" applyFont="true" applyBorder="true">
      <alignment horizontal="left" vertical="top" indent="1" wrapText="false"/>
    </xf>
    <xf numFmtId="0" fontId="670" fillId="8" borderId="6" xfId="0" applyFill="true" applyFont="true" applyBorder="true">
      <alignment horizontal="left" vertical="top" indent="1" wrapText="false"/>
    </xf>
    <xf numFmtId="168" fontId="671" fillId="6" borderId="6" xfId="0" applyFill="true" applyFont="true" applyBorder="true" applyNumberFormat="true">
      <alignment horizontal="left" vertical="top" indent="1" wrapText="false"/>
    </xf>
    <xf numFmtId="168" fontId="672" fillId="8" borderId="6" xfId="0" applyFill="true" applyFont="true" applyBorder="true" applyNumberFormat="true">
      <alignment horizontal="left" vertical="top" indent="1" wrapText="false"/>
    </xf>
    <xf numFmtId="165" fontId="673" fillId="6" borderId="6" xfId="0" applyFill="true" applyFont="true" applyBorder="true" applyNumberFormat="true">
      <alignment horizontal="left" vertical="top" indent="1" wrapText="false"/>
    </xf>
    <xf numFmtId="165" fontId="674" fillId="8" borderId="6" xfId="0" applyFill="true" applyFont="true" applyBorder="true" applyNumberFormat="true">
      <alignment horizontal="left" vertical="top" indent="1" wrapText="false"/>
    </xf>
    <xf numFmtId="0" fontId="675" fillId="6" borderId="6" xfId="0" applyFill="true" applyFont="true" applyBorder="true">
      <alignment horizontal="left" vertical="top" indent="1" wrapText="false"/>
    </xf>
    <xf numFmtId="0" fontId="676" fillId="8" borderId="6" xfId="0" applyFill="true" applyFont="true" applyBorder="true">
      <alignment horizontal="left" vertical="top" indent="1" wrapText="false"/>
    </xf>
    <xf numFmtId="165" fontId="677" fillId="6" borderId="6" xfId="0" applyFill="true" applyFont="true" applyBorder="true" applyNumberFormat="true">
      <alignment horizontal="left" vertical="top" indent="1" wrapText="false"/>
    </xf>
    <xf numFmtId="165" fontId="678" fillId="8" borderId="6" xfId="0" applyFill="true" applyFont="true" applyBorder="true" applyNumberFormat="true">
      <alignment horizontal="left" vertical="top" indent="1" wrapText="false"/>
    </xf>
    <xf numFmtId="0" fontId="679" fillId="6" borderId="6" xfId="0" applyFill="true" applyFont="true" applyBorder="true">
      <alignment horizontal="left" vertical="top" indent="1" wrapText="false"/>
    </xf>
    <xf numFmtId="0" fontId="680" fillId="8" borderId="6" xfId="0" applyFill="true" applyFont="true" applyBorder="true">
      <alignment horizontal="left" vertical="top" indent="1" wrapText="false"/>
    </xf>
    <xf numFmtId="0" fontId="681" fillId="6" borderId="6" xfId="0" applyFill="true" applyFont="true" applyBorder="true">
      <alignment horizontal="left" vertical="top" indent="1" wrapText="false"/>
    </xf>
    <xf numFmtId="0" fontId="682" fillId="8" borderId="6" xfId="0" applyFill="true" applyFont="true" applyBorder="true">
      <alignment horizontal="left" vertical="top" indent="1" wrapText="false"/>
    </xf>
    <xf numFmtId="0" fontId="683" fillId="6" borderId="6" xfId="0" applyFill="true" applyFont="true" applyBorder="true">
      <alignment horizontal="left" vertical="top" indent="1" wrapText="false"/>
    </xf>
    <xf numFmtId="0" fontId="684" fillId="8" borderId="6" xfId="0" applyFill="true" applyFont="true" applyBorder="true">
      <alignment horizontal="left" vertical="top" indent="1" wrapText="false"/>
    </xf>
    <xf numFmtId="0" fontId="685" fillId="6" borderId="6" xfId="0" applyFill="true" applyFont="true" applyBorder="true">
      <alignment horizontal="left" vertical="top" indent="1" wrapText="false"/>
    </xf>
    <xf numFmtId="0" fontId="686" fillId="8" borderId="6" xfId="0" applyFill="true" applyFont="true" applyBorder="true">
      <alignment horizontal="left" vertical="top" indent="1" wrapText="false"/>
    </xf>
    <xf numFmtId="0" fontId="687" fillId="6" borderId="6" xfId="0" applyFill="true" applyFont="true" applyBorder="true">
      <alignment horizontal="left" vertical="top" indent="1" wrapText="false"/>
    </xf>
    <xf numFmtId="0" fontId="688" fillId="8" borderId="6" xfId="0" applyFill="true" applyFont="true" applyBorder="true">
      <alignment horizontal="left" vertical="top" indent="1" wrapText="false"/>
    </xf>
    <xf numFmtId="0" fontId="689" fillId="6" borderId="6" xfId="0" applyFill="true" applyFont="true" applyBorder="true">
      <alignment horizontal="left" vertical="top" indent="1" wrapText="false"/>
    </xf>
    <xf numFmtId="0" fontId="690" fillId="8" borderId="6" xfId="0" applyFill="true" applyFont="true" applyBorder="true">
      <alignment horizontal="left" vertical="top" indent="1" wrapText="false"/>
    </xf>
    <xf numFmtId="0" fontId="691" fillId="6" borderId="6" xfId="0" applyFill="true" applyFont="true" applyBorder="true">
      <alignment horizontal="left" vertical="top" indent="1" wrapText="false"/>
    </xf>
    <xf numFmtId="0" fontId="692" fillId="8" borderId="6" xfId="0" applyFill="true" applyFont="true" applyBorder="true">
      <alignment horizontal="left" vertical="top" indent="1" wrapText="false"/>
    </xf>
    <xf numFmtId="0" fontId="693" fillId="6" borderId="6" xfId="0" applyFill="true" applyFont="true" applyBorder="true">
      <alignment horizontal="left" vertical="top" indent="1" wrapText="false"/>
    </xf>
    <xf numFmtId="0" fontId="694" fillId="8" borderId="6" xfId="0" applyFill="true" applyFont="true" applyBorder="true">
      <alignment horizontal="left" vertical="top" indent="1" wrapText="false"/>
    </xf>
    <xf numFmtId="0" fontId="695" fillId="6" borderId="6" xfId="0" applyFill="true" applyFont="true" applyBorder="true">
      <alignment horizontal="left" vertical="top" indent="1" wrapText="false"/>
    </xf>
    <xf numFmtId="0" fontId="696" fillId="8" borderId="6" xfId="0" applyFill="true" applyFont="true" applyBorder="true">
      <alignment horizontal="left" vertical="top" indent="1" wrapText="false"/>
    </xf>
    <xf numFmtId="169" fontId="697" fillId="6" borderId="6" xfId="0" applyFill="true" applyFont="true" applyBorder="true" applyNumberFormat="true">
      <alignment horizontal="left" vertical="top" indent="1" wrapText="false"/>
    </xf>
    <xf numFmtId="169" fontId="698" fillId="8" borderId="6" xfId="0" applyFill="true" applyFont="true" applyBorder="true" applyNumberFormat="true">
      <alignment horizontal="left" vertical="top" indent="1" wrapText="false"/>
    </xf>
    <xf numFmtId="170" fontId="699" fillId="6" borderId="6" xfId="0" applyFill="true" applyFont="true" applyBorder="true" applyNumberFormat="true">
      <alignment horizontal="left" vertical="top" indent="1" wrapText="false"/>
    </xf>
    <xf numFmtId="170" fontId="700" fillId="8" borderId="6" xfId="0" applyFill="true" applyFont="true" applyBorder="true" applyNumberFormat="true">
      <alignment horizontal="left" vertical="top" indent="1" wrapText="false"/>
    </xf>
    <xf numFmtId="169" fontId="701" fillId="6" borderId="6" xfId="0" applyFill="true" applyFont="true" applyBorder="true" applyNumberFormat="true">
      <alignment horizontal="left" vertical="top" indent="1" wrapText="false"/>
    </xf>
    <xf numFmtId="169" fontId="702" fillId="8" borderId="6" xfId="0" applyFill="true" applyFont="true" applyBorder="true" applyNumberFormat="true">
      <alignment horizontal="left" vertical="top" indent="1" wrapText="false"/>
    </xf>
    <xf numFmtId="169" fontId="703" fillId="6" borderId="6" xfId="0" applyFill="true" applyFont="true" applyBorder="true" applyNumberFormat="true">
      <alignment horizontal="left" vertical="top" indent="1" wrapText="false"/>
    </xf>
    <xf numFmtId="169" fontId="704" fillId="8" borderId="6" xfId="0" applyFill="true" applyFont="true" applyBorder="true" applyNumberFormat="true">
      <alignment horizontal="left" vertical="top" indent="1" wrapText="false"/>
    </xf>
    <xf numFmtId="169" fontId="705" fillId="6" borderId="6" xfId="0" applyFill="true" applyFont="true" applyBorder="true" applyNumberFormat="true">
      <alignment horizontal="left" vertical="top" indent="1" wrapText="false"/>
    </xf>
    <xf numFmtId="169" fontId="706" fillId="8" borderId="6" xfId="0" applyFill="true" applyFont="true" applyBorder="true" applyNumberFormat="true">
      <alignment horizontal="left" vertical="top" indent="1" wrapText="false"/>
    </xf>
    <xf numFmtId="170" fontId="707" fillId="6" borderId="6" xfId="0" applyFill="true" applyFont="true" applyBorder="true" applyNumberFormat="true">
      <alignment horizontal="left" vertical="top" indent="1" wrapText="false"/>
    </xf>
    <xf numFmtId="170" fontId="708" fillId="8" borderId="6" xfId="0" applyFill="true" applyFont="true" applyBorder="true" applyNumberFormat="true">
      <alignment horizontal="left" vertical="top" indent="1" wrapText="false"/>
    </xf>
    <xf numFmtId="169" fontId="709" fillId="6" borderId="6" xfId="0" applyFill="true" applyFont="true" applyBorder="true" applyNumberFormat="true">
      <alignment horizontal="left" vertical="top" indent="1" wrapText="false"/>
    </xf>
    <xf numFmtId="169" fontId="710" fillId="8" borderId="6" xfId="0" applyFill="true" applyFont="true" applyBorder="true" applyNumberFormat="true">
      <alignment horizontal="left" vertical="top" indent="1" wrapText="false"/>
    </xf>
    <xf numFmtId="170" fontId="711" fillId="6" borderId="6" xfId="0" applyFill="true" applyFont="true" applyBorder="true" applyNumberFormat="true">
      <alignment horizontal="left" vertical="top" indent="1" wrapText="false"/>
    </xf>
    <xf numFmtId="170" fontId="712" fillId="8" borderId="6" xfId="0" applyFill="true" applyFont="true" applyBorder="true" applyNumberFormat="true">
      <alignment horizontal="left" vertical="top" indent="1" wrapText="false"/>
    </xf>
    <xf numFmtId="169" fontId="713" fillId="6" borderId="6" xfId="0" applyFill="true" applyFont="true" applyBorder="true" applyNumberFormat="true">
      <alignment horizontal="left" vertical="top" indent="1" wrapText="false"/>
    </xf>
    <xf numFmtId="169" fontId="714" fillId="8" borderId="6" xfId="0" applyFill="true" applyFont="true" applyBorder="true" applyNumberFormat="true">
      <alignment horizontal="left" vertical="top" indent="1" wrapText="false"/>
    </xf>
    <xf numFmtId="170" fontId="715" fillId="6" borderId="6" xfId="0" applyFill="true" applyFont="true" applyBorder="true" applyNumberFormat="true">
      <alignment horizontal="left" vertical="top" indent="1" wrapText="false"/>
    </xf>
    <xf numFmtId="170" fontId="716" fillId="8" borderId="6" xfId="0" applyFill="true" applyFont="true" applyBorder="true" applyNumberFormat="true">
      <alignment horizontal="left" vertical="top" indent="1" wrapText="false"/>
    </xf>
    <xf numFmtId="169" fontId="717" fillId="6" borderId="6" xfId="0" applyFill="true" applyFont="true" applyBorder="true" applyNumberFormat="true">
      <alignment horizontal="left" vertical="top" indent="1" wrapText="false"/>
    </xf>
    <xf numFmtId="169" fontId="718" fillId="8" borderId="6" xfId="0" applyFill="true" applyFont="true" applyBorder="true" applyNumberFormat="true">
      <alignment horizontal="left" vertical="top" indent="1" wrapText="false"/>
    </xf>
    <xf numFmtId="170" fontId="719" fillId="6" borderId="6" xfId="0" applyFill="true" applyFont="true" applyBorder="true" applyNumberFormat="true">
      <alignment horizontal="left" vertical="top" indent="1" wrapText="false"/>
    </xf>
    <xf numFmtId="170" fontId="720" fillId="8" borderId="6" xfId="0" applyFill="true" applyFont="true" applyBorder="true" applyNumberFormat="true">
      <alignment horizontal="left" vertical="top" indent="1" wrapText="false"/>
    </xf>
    <xf numFmtId="169" fontId="721" fillId="6" borderId="6" xfId="0" applyFill="true" applyFont="true" applyBorder="true" applyNumberFormat="true">
      <alignment horizontal="left" vertical="top" indent="1" wrapText="false"/>
    </xf>
    <xf numFmtId="169" fontId="722" fillId="8" borderId="6" xfId="0" applyFill="true" applyFont="true" applyBorder="true" applyNumberFormat="true">
      <alignment horizontal="left" vertical="top" indent="1" wrapText="false"/>
    </xf>
    <xf numFmtId="170" fontId="723" fillId="6" borderId="6" xfId="0" applyFill="true" applyFont="true" applyBorder="true" applyNumberFormat="true">
      <alignment horizontal="left" vertical="top" indent="1" wrapText="false"/>
    </xf>
    <xf numFmtId="170" fontId="724" fillId="8" borderId="6" xfId="0" applyFill="true" applyFont="true" applyBorder="true" applyNumberFormat="true">
      <alignment horizontal="left" vertical="top" indent="1" wrapText="false"/>
    </xf>
    <xf numFmtId="169" fontId="725" fillId="6" borderId="6" xfId="0" applyFill="true" applyFont="true" applyBorder="true" applyNumberFormat="true">
      <alignment horizontal="left" vertical="top" indent="1" wrapText="false"/>
    </xf>
    <xf numFmtId="169" fontId="726" fillId="8" borderId="6" xfId="0" applyFill="true" applyFont="true" applyBorder="true" applyNumberFormat="true">
      <alignment horizontal="left" vertical="top" indent="1" wrapText="false"/>
    </xf>
    <xf numFmtId="170" fontId="727" fillId="6" borderId="6" xfId="0" applyFill="true" applyFont="true" applyBorder="true" applyNumberFormat="true">
      <alignment horizontal="left" vertical="top" indent="1" wrapText="false"/>
    </xf>
    <xf numFmtId="170" fontId="728" fillId="8" borderId="6" xfId="0" applyFill="true" applyFont="true" applyBorder="true" applyNumberFormat="true">
      <alignment horizontal="left" vertical="top" indent="1" wrapText="false"/>
    </xf>
    <xf numFmtId="171" fontId="729" fillId="6" borderId="6" xfId="0" applyFill="true" applyFont="true" applyBorder="true" applyNumberFormat="true">
      <alignment horizontal="left" vertical="top" indent="1" wrapText="false"/>
    </xf>
    <xf numFmtId="171" fontId="730" fillId="8" borderId="6" xfId="0" applyFill="true" applyFont="true" applyBorder="true" applyNumberFormat="true">
      <alignment horizontal="left" vertical="top" indent="1" wrapText="false"/>
    </xf>
    <xf numFmtId="170" fontId="731" fillId="6" borderId="6" xfId="0" applyFill="true" applyFont="true" applyBorder="true" applyNumberFormat="true">
      <alignment horizontal="left" vertical="top" indent="1" wrapText="false"/>
    </xf>
    <xf numFmtId="170" fontId="732" fillId="8" borderId="6" xfId="0" applyFill="true" applyFont="true" applyBorder="true" applyNumberFormat="true">
      <alignment horizontal="left" vertical="top" indent="1" wrapText="false"/>
    </xf>
    <xf numFmtId="171" fontId="733" fillId="6" borderId="6" xfId="0" applyFill="true" applyFont="true" applyBorder="true" applyNumberFormat="true">
      <alignment horizontal="left" vertical="top" indent="1" wrapText="false"/>
    </xf>
    <xf numFmtId="171" fontId="734" fillId="8" borderId="6" xfId="0" applyFill="true" applyFont="true" applyBorder="true" applyNumberFormat="true">
      <alignment horizontal="left" vertical="top" indent="1" wrapText="false"/>
    </xf>
    <xf numFmtId="169" fontId="735" fillId="6" borderId="6" xfId="0" applyFill="true" applyFont="true" applyBorder="true" applyNumberFormat="true">
      <alignment horizontal="left" vertical="top" indent="1" wrapText="false"/>
    </xf>
    <xf numFmtId="169" fontId="736" fillId="8" borderId="6" xfId="0" applyFill="true" applyFont="true" applyBorder="true" applyNumberFormat="true">
      <alignment horizontal="left" vertical="top" indent="1" wrapText="false"/>
    </xf>
    <xf numFmtId="171" fontId="737" fillId="6" borderId="6" xfId="0" applyFill="true" applyFont="true" applyBorder="true" applyNumberFormat="true">
      <alignment horizontal="left" vertical="top" indent="1" wrapText="false"/>
    </xf>
    <xf numFmtId="171" fontId="738" fillId="8" borderId="6" xfId="0" applyFill="true" applyFont="true" applyBorder="true" applyNumberFormat="true">
      <alignment horizontal="left" vertical="top" indent="1" wrapText="false"/>
    </xf>
    <xf numFmtId="170" fontId="739" fillId="6" borderId="6" xfId="0" applyFill="true" applyFont="true" applyBorder="true" applyNumberFormat="true">
      <alignment horizontal="left" vertical="top" indent="1" wrapText="false"/>
    </xf>
    <xf numFmtId="170" fontId="740" fillId="8" borderId="6" xfId="0" applyFill="true" applyFont="true" applyBorder="true" applyNumberFormat="true">
      <alignment horizontal="left" vertical="top" indent="1" wrapText="false"/>
    </xf>
    <xf numFmtId="171" fontId="741" fillId="6" borderId="6" xfId="0" applyFill="true" applyFont="true" applyBorder="true" applyNumberFormat="true">
      <alignment horizontal="left" vertical="top" indent="1" wrapText="false"/>
    </xf>
    <xf numFmtId="171" fontId="742" fillId="8" borderId="6" xfId="0" applyFill="true" applyFont="true" applyBorder="true" applyNumberFormat="true">
      <alignment horizontal="left" vertical="top" indent="1" wrapText="false"/>
    </xf>
    <xf numFmtId="170" fontId="743" fillId="6" borderId="6" xfId="0" applyFill="true" applyFont="true" applyBorder="true" applyNumberFormat="true">
      <alignment horizontal="left" vertical="top" indent="1" wrapText="false"/>
    </xf>
    <xf numFmtId="170" fontId="744" fillId="8" borderId="6" xfId="0" applyFill="true" applyFont="true" applyBorder="true" applyNumberFormat="true">
      <alignment horizontal="left" vertical="top" indent="1" wrapText="false"/>
    </xf>
    <xf numFmtId="171" fontId="745" fillId="6" borderId="6" xfId="0" applyFill="true" applyFont="true" applyBorder="true" applyNumberFormat="true">
      <alignment horizontal="left" vertical="top" indent="1" wrapText="false"/>
    </xf>
    <xf numFmtId="171" fontId="746" fillId="8" borderId="6" xfId="0" applyFill="true" applyFont="true" applyBorder="true" applyNumberFormat="true">
      <alignment horizontal="left" vertical="top" indent="1" wrapText="false"/>
    </xf>
    <xf numFmtId="170" fontId="747" fillId="6" borderId="6" xfId="0" applyFill="true" applyFont="true" applyBorder="true" applyNumberFormat="true">
      <alignment horizontal="left" vertical="top" indent="1" wrapText="false"/>
    </xf>
    <xf numFmtId="170" fontId="748" fillId="8" borderId="6" xfId="0" applyFill="true" applyFont="true" applyBorder="true" applyNumberFormat="true">
      <alignment horizontal="left" vertical="top" indent="1" wrapText="false"/>
    </xf>
    <xf numFmtId="171" fontId="749" fillId="6" borderId="6" xfId="0" applyFill="true" applyFont="true" applyBorder="true" applyNumberFormat="true">
      <alignment horizontal="left" vertical="top" indent="1" wrapText="false"/>
    </xf>
    <xf numFmtId="171" fontId="750" fillId="8" borderId="6" xfId="0" applyFill="true" applyFont="true" applyBorder="true" applyNumberFormat="true">
      <alignment horizontal="left" vertical="top" indent="1" wrapText="false"/>
    </xf>
    <xf numFmtId="170" fontId="751" fillId="6" borderId="6" xfId="0" applyFill="true" applyFont="true" applyBorder="true" applyNumberFormat="true">
      <alignment horizontal="left" vertical="top" indent="1" wrapText="false"/>
    </xf>
    <xf numFmtId="170" fontId="752" fillId="8" borderId="6" xfId="0" applyFill="true" applyFont="true" applyBorder="true" applyNumberFormat="true">
      <alignment horizontal="left" vertical="top" indent="1" wrapText="false"/>
    </xf>
    <xf numFmtId="171" fontId="753" fillId="6" borderId="6" xfId="0" applyFill="true" applyFont="true" applyBorder="true" applyNumberFormat="true">
      <alignment horizontal="left" vertical="top" indent="1" wrapText="false"/>
    </xf>
    <xf numFmtId="171" fontId="754" fillId="8" borderId="6" xfId="0" applyFill="true" applyFont="true" applyBorder="true" applyNumberFormat="true">
      <alignment horizontal="left" vertical="top" indent="1" wrapText="false"/>
    </xf>
    <xf numFmtId="170" fontId="755" fillId="6" borderId="6" xfId="0" applyFill="true" applyFont="true" applyBorder="true" applyNumberFormat="true">
      <alignment horizontal="left" vertical="top" indent="1" wrapText="false"/>
    </xf>
    <xf numFmtId="170" fontId="756" fillId="8" borderId="6" xfId="0" applyFill="true" applyFont="true" applyBorder="true" applyNumberFormat="true">
      <alignment horizontal="left" vertical="top" indent="1" wrapText="false"/>
    </xf>
    <xf numFmtId="171" fontId="757" fillId="6" borderId="6" xfId="0" applyFill="true" applyFont="true" applyBorder="true" applyNumberFormat="true">
      <alignment horizontal="left" vertical="top" indent="1" wrapText="false"/>
    </xf>
    <xf numFmtId="171" fontId="758" fillId="8" borderId="6" xfId="0" applyFill="true" applyFont="true" applyBorder="true" applyNumberFormat="true">
      <alignment horizontal="left" vertical="top" indent="1" wrapText="false"/>
    </xf>
    <xf numFmtId="170" fontId="759" fillId="6" borderId="6" xfId="0" applyFill="true" applyFont="true" applyBorder="true" applyNumberFormat="true">
      <alignment horizontal="left" vertical="top" indent="1" wrapText="false"/>
    </xf>
    <xf numFmtId="170" fontId="760" fillId="8" borderId="6" xfId="0" applyFill="true" applyFont="true" applyBorder="true" applyNumberFormat="true">
      <alignment horizontal="left" vertical="top" indent="1" wrapText="false"/>
    </xf>
    <xf numFmtId="170" fontId="761" fillId="6" borderId="6" xfId="0" applyFill="true" applyFont="true" applyBorder="true" applyNumberFormat="true">
      <alignment horizontal="left" vertical="top" indent="1" wrapText="false"/>
    </xf>
    <xf numFmtId="170" fontId="762" fillId="8" borderId="6" xfId="0" applyFill="true" applyFont="true" applyBorder="true" applyNumberFormat="true">
      <alignment horizontal="left" vertical="top" indent="1" wrapText="false"/>
    </xf>
    <xf numFmtId="170" fontId="763" fillId="6" borderId="6" xfId="0" applyFill="true" applyFont="true" applyBorder="true" applyNumberFormat="true">
      <alignment horizontal="left" vertical="top" indent="1" wrapText="false"/>
    </xf>
    <xf numFmtId="170" fontId="764" fillId="8" borderId="6" xfId="0" applyFill="true" applyFont="true" applyBorder="true" applyNumberFormat="true">
      <alignment horizontal="left" vertical="top" indent="1" wrapText="false"/>
    </xf>
    <xf numFmtId="169" fontId="765" fillId="6" borderId="6" xfId="0" applyFill="true" applyFont="true" applyBorder="true" applyNumberFormat="true">
      <alignment horizontal="left" vertical="top" indent="1" wrapText="false"/>
    </xf>
    <xf numFmtId="169" fontId="766" fillId="8" borderId="6" xfId="0" applyFill="true" applyFont="true" applyBorder="true" applyNumberFormat="true">
      <alignment horizontal="left" vertical="top" indent="1" wrapText="false"/>
    </xf>
    <xf numFmtId="170" fontId="767" fillId="6" borderId="6" xfId="0" applyFill="true" applyFont="true" applyBorder="true" applyNumberFormat="true">
      <alignment horizontal="left" vertical="top" indent="1" wrapText="false"/>
    </xf>
    <xf numFmtId="170" fontId="768" fillId="8" borderId="6" xfId="0" applyFill="true" applyFont="true" applyBorder="true" applyNumberFormat="true">
      <alignment horizontal="left" vertical="top" indent="1" wrapText="false"/>
    </xf>
    <xf numFmtId="170" fontId="769" fillId="6" borderId="6" xfId="0" applyFill="true" applyFont="true" applyBorder="true" applyNumberFormat="true">
      <alignment horizontal="left" vertical="top" indent="1" wrapText="false"/>
    </xf>
    <xf numFmtId="170" fontId="770" fillId="8" borderId="6" xfId="0" applyFill="true" applyFont="true" applyBorder="true" applyNumberFormat="true">
      <alignment horizontal="left" vertical="top" indent="1" wrapText="false"/>
    </xf>
    <xf numFmtId="169" fontId="771" fillId="6" borderId="6" xfId="0" applyFill="true" applyFont="true" applyBorder="true" applyNumberFormat="true">
      <alignment horizontal="left" vertical="top" indent="1" wrapText="false"/>
    </xf>
    <xf numFmtId="169" fontId="772" fillId="8" borderId="6" xfId="0" applyFill="true" applyFont="true" applyBorder="true" applyNumberFormat="true">
      <alignment horizontal="left" vertical="top" indent="1" wrapText="false"/>
    </xf>
    <xf numFmtId="170" fontId="773" fillId="6" borderId="6" xfId="0" applyFill="true" applyFont="true" applyBorder="true" applyNumberFormat="true">
      <alignment horizontal="left" vertical="top" indent="1" wrapText="false"/>
    </xf>
    <xf numFmtId="170" fontId="774" fillId="8" borderId="6" xfId="0" applyFill="true" applyFont="true" applyBorder="true" applyNumberFormat="true">
      <alignment horizontal="left" vertical="top" indent="1" wrapText="false"/>
    </xf>
    <xf numFmtId="170" fontId="775" fillId="6" borderId="6" xfId="0" applyFill="true" applyFont="true" applyBorder="true" applyNumberFormat="true">
      <alignment horizontal="left" vertical="top" indent="1" wrapText="false"/>
    </xf>
    <xf numFmtId="170" fontId="776" fillId="8" borderId="6" xfId="0" applyFill="true" applyFont="true" applyBorder="true" applyNumberFormat="true">
      <alignment horizontal="left" vertical="top" indent="1" wrapText="false"/>
    </xf>
    <xf numFmtId="169" fontId="777" fillId="6" borderId="6" xfId="0" applyFill="true" applyFont="true" applyBorder="true" applyNumberFormat="true">
      <alignment horizontal="left" vertical="top" indent="1" wrapText="false"/>
    </xf>
    <xf numFmtId="169" fontId="778" fillId="8" borderId="6" xfId="0" applyFill="true" applyFont="true" applyBorder="true" applyNumberFormat="true">
      <alignment horizontal="left" vertical="top" indent="1" wrapText="false"/>
    </xf>
    <xf numFmtId="170" fontId="779" fillId="6" borderId="6" xfId="0" applyFill="true" applyFont="true" applyBorder="true" applyNumberFormat="true">
      <alignment horizontal="left" vertical="top" indent="1" wrapText="false"/>
    </xf>
    <xf numFmtId="170" fontId="780" fillId="8" borderId="6" xfId="0" applyFill="true" applyFont="true" applyBorder="true" applyNumberFormat="true">
      <alignment horizontal="left" vertical="top" indent="1" wrapText="false"/>
    </xf>
    <xf numFmtId="170" fontId="781" fillId="6" borderId="6" xfId="0" applyFill="true" applyFont="true" applyBorder="true" applyNumberFormat="true">
      <alignment horizontal="left" vertical="top" indent="1" wrapText="false"/>
    </xf>
    <xf numFmtId="170" fontId="782" fillId="8" borderId="6" xfId="0" applyFill="true" applyFont="true" applyBorder="true" applyNumberFormat="true">
      <alignment horizontal="left" vertical="top" indent="1" wrapText="false"/>
    </xf>
    <xf numFmtId="169" fontId="783" fillId="6" borderId="6" xfId="0" applyFill="true" applyFont="true" applyBorder="true" applyNumberFormat="true">
      <alignment horizontal="left" vertical="top" indent="1" wrapText="false"/>
    </xf>
    <xf numFmtId="169" fontId="784" fillId="8" borderId="6" xfId="0" applyFill="true" applyFont="true" applyBorder="true" applyNumberFormat="true">
      <alignment horizontal="left" vertical="top" indent="1" wrapText="false"/>
    </xf>
    <xf numFmtId="0" fontId="785" fillId="6" borderId="6" xfId="0" applyFill="true" applyFont="true" applyBorder="true">
      <alignment horizontal="left" vertical="top" indent="1" wrapText="false"/>
    </xf>
    <xf numFmtId="0" fontId="786" fillId="8" borderId="6" xfId="0" applyFill="true" applyFont="true" applyBorder="true">
      <alignment horizontal="left" vertical="top" indent="1" wrapText="false"/>
    </xf>
    <xf numFmtId="0" fontId="787" fillId="0" borderId="0" xfId="0" applyFont="true">
      <alignment horizontal="general" vertical="bottom"/>
    </xf>
    <xf numFmtId="0" fontId="788" fillId="9" borderId="0" xfId="0" applyFont="true" applyFill="true" applyNumberFormat="true"/>
    <xf numFmtId="0" fontId="789" fillId="9" borderId="0" xfId="0" applyFont="true" applyFill="true" applyNumberFormat="true"/>
    <xf numFmtId="0" fontId="790" fillId="9" borderId="0" xfId="1" applyFont="true" applyFill="true" applyAlignment="1" applyProtection="1" applyNumberFormat="true"/>
    <xf numFmtId="0" fontId="791" fillId="9" borderId="0" xfId="0" applyFont="true" applyFill="true" applyNumberFormat="true"/>
    <xf numFmtId="0" fontId="792" fillId="9" borderId="0" xfId="2" applyFont="true" applyFill="true" applyAlignment="1" applyProtection="1" applyNumberFormat="true"/>
    <xf numFmtId="0" fontId="793" fillId="9" borderId="0" xfId="0" applyFont="true" applyFill="true" applyNumberFormat="true"/>
    <xf numFmtId="0" fontId="794" fillId="9" borderId="0" xfId="0" applyFont="true" applyFill="true" applyNumberFormat="true"/>
    <xf numFmtId="0" fontId="795" fillId="9" borderId="0" xfId="2" applyFont="true" applyFill="true" applyAlignment="1" applyProtection="1" applyNumberFormat="true"/>
    <xf numFmtId="0" fontId="796" fillId="9" borderId="0" xfId="2" applyFont="true" applyFill="true" applyAlignment="1" applyProtection="1" applyNumberFormat="true"/>
    <xf numFmtId="0" fontId="797" fillId="9" borderId="0" xfId="1" applyFont="true" applyFill="true" applyAlignment="1" applyProtection="1" applyNumberFormat="true"/>
    <xf numFmtId="0" fontId="798" fillId="9" borderId="0" xfId="2" applyFont="true" applyFill="true" applyAlignment="1" applyProtection="1" applyNumberFormat="true"/>
    <xf numFmtId="0" fontId="799" fillId="0" borderId="0" xfId="0" applyFont="true">
      <alignment horizontal="general" vertical="bottom"/>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worksheet" Target="worksheets/sheet7.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1353527</xdr:colOff>
      <xdr:row>1</xdr:row>
      <xdr:rowOff>76200</xdr:rowOff>
    </xdr:to>
    <xdr:pic>
      <xdr:nvPicPr>
        <xdr:cNvPr id="1" name="Picture 1" descr="Picture"/>
        <xdr:cNvPicPr>
          <a:picLocks noChangeAspect="true"/>
        </xdr:cNvPicPr>
      </xdr:nvPicPr>
      <xdr:blipFill>
        <a:blip r:embed="rId1"/>
        <a:stretch>
          <a:fillRect/>
        </a:stretch>
      </xdr:blipFill>
      <xdr:spPr>
        <a:xfrm>
          <a:off x="0" y="0"/>
          <a:ext cx="2076450" cy="409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dimension ref="A1:G8"/>
  <sheetViews>
    <sheetView showGridLines="0" tabSelected="false" workbookViewId="0">
      <selection activeCell="A1" sqref="A1"/>
    </sheetView>
  </sheetViews>
  <sheetFormatPr defaultRowHeight="15"/>
  <cols>
    <col min="4" max="4" customWidth="true" width="22.40234375" collapsed="true"/>
    <col min="3" max="3" customWidth="true" width="30.3515625" collapsed="true"/>
    <col min="1" max="1" customWidth="true" width="10.83984375" collapsed="true"/>
    <col min="2" max="2" customWidth="true" width="35.69921875" collapsed="true"/>
    <col min="7" max="7" customWidth="true" width="30.640625" collapsed="true"/>
    <col min="5" max="5" width="8.671875" customWidth="true"/>
    <col min="6" max="6" width="39.0234375" customWidth="true"/>
    <col min="8" max="8" width="30.640625" customWidth="true"/>
    <col min="9" max="9" width="29.1953125" customWidth="true"/>
    <col min="10" max="10" width="33.2421875" customWidth="true"/>
    <col min="11" max="11" width="28.47265625" customWidth="true"/>
    <col min="12" max="12" width="21.6796875" customWidth="true"/>
    <col min="13" max="13" width="10.6953125" customWidth="true"/>
    <col min="14" max="14" width="18.06640625" customWidth="true"/>
    <col min="15" max="15" width="18.7890625" customWidth="true"/>
    <col min="16" max="16" width="26.015625" customWidth="true"/>
    <col min="17" max="17" width="21.6796875" customWidth="true"/>
    <col min="18" max="18" width="14.01953125" customWidth="true"/>
    <col min="19" max="19" width="13.0078125" customWidth="true"/>
    <col min="20" max="20" width="10.1171875" customWidth="true"/>
    <col min="21" max="21" width="12.71875" customWidth="true"/>
    <col min="22" max="22" width="19.51171875" customWidth="true"/>
    <col min="23" max="23" width="57.8125" customWidth="true"/>
    <col min="24" max="24" width="57.8125" customWidth="true"/>
    <col min="25" max="25" width="12.4296875" customWidth="true"/>
    <col min="26" max="26" width="9.97265625" customWidth="true"/>
    <col min="27" max="27" width="10.984375" customWidth="true"/>
    <col min="28" max="28" width="14.453125" customWidth="true"/>
    <col min="29" max="29" width="11.41796875" customWidth="true"/>
    <col min="30" max="30" width="10.6953125" customWidth="true"/>
    <col min="31" max="31" width="18.7890625" customWidth="true"/>
    <col min="32" max="32" width="19.65625" customWidth="true"/>
    <col min="33" max="33" width="26.8828125" customWidth="true"/>
    <col min="34" max="34" width="26.8828125" customWidth="true"/>
    <col min="35" max="35" width="18.2109375" customWidth="true"/>
    <col min="36" max="36" width="23.125" customWidth="true"/>
    <col min="37" max="37" width="23.125" customWidth="true"/>
    <col min="38" max="38" width="23.125" customWidth="true"/>
    <col min="39" max="39" width="15.8984375" customWidth="true"/>
    <col min="40" max="40" width="17.921875" customWidth="true"/>
    <col min="41" max="41" width="13.73046875" customWidth="true"/>
    <col min="42" max="42" width="13.73046875" customWidth="true"/>
    <col min="43" max="43" width="13.73046875" customWidth="true"/>
    <col min="44" max="44" width="12.28515625" customWidth="true"/>
    <col min="45" max="45" width="23.9921875" customWidth="true"/>
    <col min="46" max="46" width="15.75390625" customWidth="true"/>
    <col min="47" max="47" width="15.75390625" customWidth="true"/>
    <col min="48" max="48" width="37.578125" customWidth="true"/>
    <col min="49" max="49" width="28.90625" customWidth="true"/>
    <col min="50" max="50" width="12.28515625" customWidth="true"/>
    <col min="51" max="51" width="28.90625" customWidth="true"/>
    <col min="52" max="52" width="28.90625" customWidth="true"/>
    <col min="53" max="53" width="28.90625" customWidth="true"/>
    <col min="54" max="54" width="34.109375" customWidth="true"/>
    <col min="55" max="55" width="34.109375" customWidth="true"/>
    <col min="56" max="56" width="34.109375" customWidth="true"/>
    <col min="57" max="57" width="28.90625" customWidth="true"/>
    <col min="58" max="58" width="28.90625" customWidth="true"/>
    <col min="59" max="59" width="16.62109375" customWidth="true"/>
    <col min="60" max="60" width="16.62109375" customWidth="true"/>
    <col min="61" max="61" width="17.34375" customWidth="true"/>
    <col min="62" max="62" width="16.62109375" customWidth="true"/>
    <col min="63" max="63" width="19.3671875" customWidth="true"/>
    <col min="64" max="64" width="18.06640625" customWidth="true"/>
    <col min="65" max="65" width="18.06640625" customWidth="true"/>
    <col min="66" max="66" width="18.06640625" customWidth="true"/>
    <col min="67" max="67" width="18.06640625" customWidth="true"/>
    <col min="68" max="68" width="18.06640625" customWidth="true"/>
    <col min="69" max="69" width="18.06640625" customWidth="true"/>
    <col min="70" max="70" width="18.06640625" customWidth="true"/>
    <col min="71" max="71" width="18.06640625" customWidth="true"/>
    <col min="72" max="72" width="16.91015625" customWidth="true"/>
    <col min="73" max="73" width="17.6328125" customWidth="true"/>
    <col min="74" max="74" width="17.6328125" customWidth="true"/>
    <col min="75" max="75" width="18.06640625" customWidth="true"/>
    <col min="76" max="76" width="18.93359375" customWidth="true"/>
    <col min="77" max="77" width="17.6328125" customWidth="true"/>
    <col min="78" max="78" width="17.6328125" customWidth="true"/>
    <col min="79" max="79" width="17.6328125" customWidth="true"/>
    <col min="80" max="80" width="17.6328125" customWidth="true"/>
    <col min="81" max="81" width="17.6328125" customWidth="true"/>
    <col min="82" max="82" width="17.6328125" customWidth="true"/>
    <col min="83" max="83" width="17.6328125" customWidth="true"/>
    <col min="84" max="84" width="17.6328125" customWidth="true"/>
    <col min="85" max="85" width="12.28515625" customWidth="true"/>
    <col min="86" max="86" width="15.8984375" customWidth="true"/>
    <col min="87" max="87" width="15.8984375" customWidth="true"/>
    <col min="88" max="88" width="15.8984375" customWidth="true"/>
    <col min="89" max="89" width="15.8984375" customWidth="true"/>
    <col min="90" max="90" width="18.7890625" customWidth="true"/>
    <col min="91" max="91" width="16.62109375" customWidth="true"/>
    <col min="92" max="92" width="18.7890625" customWidth="true"/>
    <col min="93" max="93" width="21.96875" customWidth="true"/>
    <col min="94" max="94" width="21.96875" customWidth="true"/>
    <col min="95" max="95" width="18.7890625" customWidth="true"/>
    <col min="96" max="96" width="18.7890625" customWidth="true"/>
    <col min="97" max="97" width="18.7890625" customWidth="true"/>
    <col min="98" max="98" width="18.7890625" customWidth="true"/>
    <col min="99" max="99" width="18.7890625" customWidth="true"/>
    <col min="100" max="100" width="18.7890625" customWidth="true"/>
    <col min="101" max="101" width="10.6953125" customWidth="true"/>
    <col min="102" max="102" width="15.8984375" customWidth="true"/>
    <col min="103" max="103" width="15.8984375" customWidth="true"/>
    <col min="104" max="104" width="15.8984375" customWidth="true"/>
    <col min="105" max="105" width="13.73046875" customWidth="true"/>
    <col min="106" max="106" width="21.6796875" customWidth="true"/>
    <col min="107" max="107" width="13.73046875" customWidth="true"/>
    <col min="108" max="108" width="21.6796875" customWidth="true"/>
    <col min="109" max="109" width="19.078125" customWidth="true"/>
    <col min="110" max="110" width="21.96875" customWidth="true"/>
    <col min="111" max="111" width="15.8984375" customWidth="true"/>
    <col min="112" max="112" width="21.6796875" customWidth="true"/>
    <col min="113" max="113" width="17.34375" customWidth="true"/>
    <col min="114" max="114" width="21.6796875" customWidth="true"/>
    <col min="115" max="115" width="15.8984375" customWidth="true"/>
    <col min="116" max="116" width="21.6796875" customWidth="true"/>
    <col min="117" max="117" width="21.96875" customWidth="true"/>
    <col min="118" max="118" width="21.96875" customWidth="true"/>
    <col min="119" max="119" width="21.96875" customWidth="true"/>
    <col min="120" max="120" width="13.5859375" customWidth="true"/>
    <col min="121" max="121" width="17.6328125" customWidth="true"/>
    <col min="122" max="122" width="17.6328125" customWidth="true"/>
    <col min="123" max="123" width="20.234375" customWidth="true"/>
    <col min="124" max="124" width="20.234375" customWidth="true"/>
    <col min="125" max="125" width="20.5234375" customWidth="true"/>
    <col min="126" max="126" width="13.0078125" customWidth="true"/>
    <col min="127" max="127" width="19.51171875" customWidth="true"/>
    <col min="128" max="128" width="19.51171875" customWidth="true"/>
    <col min="129" max="129" width="18.06640625" customWidth="true"/>
    <col min="130" max="130" width="19.80078125" customWidth="true"/>
  </cols>
  <sheetData>
    <row r="1" spans="1:7" ht="26.25" customHeight="1">
      <c r="E1" s="5" t="s">
        <v>4</v>
      </c>
      <c r="F1" s="5"/>
      <c r="G1" s="5"/>
    </row>
    <row r="2" spans="1:7" ht="12" customHeight="1"/>
    <row r="3" spans="1:7" ht="9.75" customHeight="1"/>
    <row r="4" spans="1:7">
      <c r="A4" s="2" t="s">
        <v>0</v>
      </c>
      <c r="B4" s="6" t="s">
        <v>5</v>
      </c>
      <c r="C4" s="6"/>
      <c r="D4" s="6"/>
    </row>
    <row r="5" spans="1:7">
      <c r="B5" s="6"/>
      <c r="C5" s="6"/>
      <c r="D5" s="6"/>
      <c r="F5" s="1" t="s">
        <v>1</v>
      </c>
      <c r="G5" s="3" t="s">
        <v>6</v>
      </c>
    </row>
    <row r="6" spans="1:7">
      <c r="B6" s="6"/>
      <c r="C6" s="6"/>
      <c r="D6" s="6"/>
      <c r="F6" s="1" t="s">
        <v>3</v>
      </c>
      <c r="G6" s="4" t="s">
        <v>7</v>
      </c>
    </row>
    <row r="8" spans="1:7" ht="35.0" customHeight="true">
      <c r="A8" t="s" s="7">
        <v>8</v>
      </c>
      <c r="B8" t="s" s="7">
        <v>9</v>
      </c>
      <c r="C8" t="s" s="7">
        <v>10</v>
      </c>
      <c r="D8" t="s" s="7">
        <v>11</v>
      </c>
      <c r="E8" t="s" s="7">
        <v>12</v>
      </c>
      <c r="F8" t="s" s="7">
        <v>13</v>
      </c>
      <c r="G8" t="s" s="7">
        <v>14</v>
      </c>
      <c r="H8" t="s" s="7">
        <v>15</v>
      </c>
      <c r="I8" t="s" s="7">
        <v>16</v>
      </c>
      <c r="J8" t="s" s="7">
        <v>17</v>
      </c>
      <c r="K8" t="s" s="7">
        <v>18</v>
      </c>
      <c r="L8" t="s" s="7">
        <v>19</v>
      </c>
      <c r="M8" t="s" s="7">
        <v>20</v>
      </c>
      <c r="N8" t="s" s="7">
        <v>21</v>
      </c>
      <c r="O8" t="s" s="7">
        <v>22</v>
      </c>
      <c r="P8" t="s" s="7">
        <v>23</v>
      </c>
      <c r="Q8" t="s" s="7">
        <v>24</v>
      </c>
      <c r="R8" t="s" s="7">
        <v>25</v>
      </c>
      <c r="S8" t="s" s="7">
        <v>26</v>
      </c>
      <c r="T8" t="s" s="7">
        <v>27</v>
      </c>
      <c r="U8" t="s" s="7">
        <v>28</v>
      </c>
      <c r="V8" t="s" s="7">
        <v>29</v>
      </c>
      <c r="W8" t="s" s="7">
        <v>30</v>
      </c>
      <c r="X8" t="s" s="7">
        <v>31</v>
      </c>
      <c r="Y8" t="s" s="7">
        <v>32</v>
      </c>
      <c r="Z8" t="s" s="7">
        <v>33</v>
      </c>
      <c r="AA8" t="s" s="7">
        <v>34</v>
      </c>
      <c r="AB8" t="s" s="7">
        <v>35</v>
      </c>
      <c r="AC8" t="s" s="7">
        <v>36</v>
      </c>
      <c r="AD8" t="s" s="7">
        <v>37</v>
      </c>
      <c r="AE8" t="s" s="7">
        <v>38</v>
      </c>
      <c r="AF8" t="s" s="7">
        <v>39</v>
      </c>
      <c r="AG8" t="s" s="7">
        <v>40</v>
      </c>
      <c r="AH8" t="s" s="7">
        <v>41</v>
      </c>
      <c r="AI8" t="s" s="7">
        <v>42</v>
      </c>
      <c r="AJ8" t="s" s="7">
        <v>43</v>
      </c>
      <c r="AK8" t="s" s="7">
        <v>44</v>
      </c>
      <c r="AL8" t="s" s="7">
        <v>45</v>
      </c>
      <c r="AM8" t="s" s="7">
        <v>46</v>
      </c>
      <c r="AN8" t="s" s="7">
        <v>47</v>
      </c>
      <c r="AO8" t="s" s="7">
        <v>48</v>
      </c>
      <c r="AP8" t="s" s="7">
        <v>49</v>
      </c>
      <c r="AQ8" t="s" s="7">
        <v>50</v>
      </c>
      <c r="AR8" t="s" s="7">
        <v>51</v>
      </c>
      <c r="AS8" t="s" s="7">
        <v>52</v>
      </c>
      <c r="AT8" t="s" s="7">
        <v>53</v>
      </c>
      <c r="AU8" t="s" s="7">
        <v>54</v>
      </c>
      <c r="AV8" t="s" s="7">
        <v>55</v>
      </c>
      <c r="AW8" t="s" s="7">
        <v>56</v>
      </c>
      <c r="AX8" t="s" s="7">
        <v>57</v>
      </c>
      <c r="AY8" t="s" s="7">
        <v>58</v>
      </c>
      <c r="AZ8" t="s" s="7">
        <v>59</v>
      </c>
      <c r="BA8" t="s" s="7">
        <v>60</v>
      </c>
      <c r="BB8" t="s" s="7">
        <v>61</v>
      </c>
      <c r="BC8" t="s" s="7">
        <v>62</v>
      </c>
      <c r="BD8" t="s" s="7">
        <v>63</v>
      </c>
      <c r="BE8" t="s" s="7">
        <v>64</v>
      </c>
      <c r="BF8" t="s" s="7">
        <v>65</v>
      </c>
      <c r="BG8" t="s" s="7">
        <v>66</v>
      </c>
      <c r="BH8" t="s" s="7">
        <v>67</v>
      </c>
      <c r="BI8" t="s" s="7">
        <v>68</v>
      </c>
      <c r="BJ8" t="s" s="7">
        <v>69</v>
      </c>
      <c r="BK8" t="s" s="7">
        <v>70</v>
      </c>
      <c r="BL8" t="s" s="7">
        <v>71</v>
      </c>
      <c r="BM8" t="s" s="7">
        <v>72</v>
      </c>
      <c r="BN8" t="s" s="7">
        <v>73</v>
      </c>
      <c r="BO8" t="s" s="7">
        <v>74</v>
      </c>
      <c r="BP8" t="s" s="7">
        <v>75</v>
      </c>
      <c r="BQ8" t="s" s="7">
        <v>76</v>
      </c>
      <c r="BR8" t="s" s="7">
        <v>77</v>
      </c>
      <c r="BS8" t="s" s="7">
        <v>78</v>
      </c>
      <c r="BT8" t="s" s="7">
        <v>79</v>
      </c>
      <c r="BU8" t="s" s="7">
        <v>80</v>
      </c>
      <c r="BV8" t="s" s="7">
        <v>81</v>
      </c>
      <c r="BW8" t="s" s="7">
        <v>82</v>
      </c>
      <c r="BX8" t="s" s="7">
        <v>83</v>
      </c>
      <c r="BY8" t="s" s="7">
        <v>84</v>
      </c>
      <c r="BZ8" t="s" s="7">
        <v>85</v>
      </c>
      <c r="CA8" t="s" s="7">
        <v>86</v>
      </c>
      <c r="CB8" t="s" s="7">
        <v>87</v>
      </c>
      <c r="CC8" t="s" s="7">
        <v>88</v>
      </c>
      <c r="CD8" t="s" s="7">
        <v>89</v>
      </c>
      <c r="CE8" t="s" s="7">
        <v>90</v>
      </c>
      <c r="CF8" t="s" s="7">
        <v>91</v>
      </c>
      <c r="CG8" t="s" s="7">
        <v>92</v>
      </c>
      <c r="CH8" t="s" s="7">
        <v>93</v>
      </c>
      <c r="CI8" t="s" s="7">
        <v>94</v>
      </c>
      <c r="CJ8" t="s" s="7">
        <v>95</v>
      </c>
      <c r="CK8" t="s" s="7">
        <v>96</v>
      </c>
      <c r="CL8" t="s" s="7">
        <v>97</v>
      </c>
      <c r="CM8" t="s" s="7">
        <v>98</v>
      </c>
      <c r="CN8" t="s" s="7">
        <v>99</v>
      </c>
      <c r="CO8" t="s" s="7">
        <v>100</v>
      </c>
      <c r="CP8" t="s" s="7">
        <v>101</v>
      </c>
      <c r="CQ8" t="s" s="7">
        <v>102</v>
      </c>
      <c r="CR8" t="s" s="7">
        <v>103</v>
      </c>
      <c r="CS8" t="s" s="7">
        <v>104</v>
      </c>
      <c r="CT8" t="s" s="7">
        <v>105</v>
      </c>
      <c r="CU8" t="s" s="7">
        <v>106</v>
      </c>
      <c r="CV8" t="s" s="7">
        <v>107</v>
      </c>
      <c r="CW8" t="s" s="7">
        <v>108</v>
      </c>
      <c r="CX8" t="s" s="7">
        <v>109</v>
      </c>
      <c r="CY8" t="s" s="7">
        <v>110</v>
      </c>
      <c r="CZ8" t="s" s="7">
        <v>111</v>
      </c>
      <c r="DA8" t="s" s="7">
        <v>112</v>
      </c>
      <c r="DB8" t="s" s="7">
        <v>113</v>
      </c>
      <c r="DC8" t="s" s="7">
        <v>114</v>
      </c>
      <c r="DD8" t="s" s="7">
        <v>115</v>
      </c>
      <c r="DE8" t="s" s="7">
        <v>116</v>
      </c>
      <c r="DF8" t="s" s="7">
        <v>117</v>
      </c>
      <c r="DG8" t="s" s="7">
        <v>118</v>
      </c>
      <c r="DH8" t="s" s="7">
        <v>119</v>
      </c>
      <c r="DI8" t="s" s="7">
        <v>120</v>
      </c>
      <c r="DJ8" t="s" s="7">
        <v>121</v>
      </c>
      <c r="DK8" t="s" s="7">
        <v>122</v>
      </c>
      <c r="DL8" t="s" s="7">
        <v>123</v>
      </c>
      <c r="DM8" t="s" s="7">
        <v>124</v>
      </c>
      <c r="DN8" t="s" s="7">
        <v>125</v>
      </c>
      <c r="DO8" t="s" s="7">
        <v>126</v>
      </c>
      <c r="DP8" t="s" s="7">
        <v>127</v>
      </c>
      <c r="DQ8" t="s" s="7">
        <v>128</v>
      </c>
      <c r="DR8" t="s" s="7">
        <v>129</v>
      </c>
      <c r="DS8" t="s" s="7">
        <v>130</v>
      </c>
      <c r="DT8" t="s" s="7">
        <v>131</v>
      </c>
      <c r="DU8" t="s" s="7">
        <v>132</v>
      </c>
      <c r="DV8" t="s" s="7">
        <v>133</v>
      </c>
      <c r="DW8" t="s" s="7">
        <v>134</v>
      </c>
      <c r="DX8" t="s" s="7">
        <v>135</v>
      </c>
      <c r="DY8" t="s" s="7">
        <v>136</v>
      </c>
      <c r="DZ8" t="s" s="8">
        <v>137</v>
      </c>
    </row>
    <row r="9">
      <c r="A9" s="9" t="inlineStr">
        <is>
          <t>61943-41</t>
        </is>
      </c>
      <c r="B9" s="10" t="inlineStr">
        <is>
          <t>1001Pharmacies</t>
        </is>
      </c>
      <c r="C9" s="11" t="inlineStr">
        <is>
          <t/>
        </is>
      </c>
      <c r="D9" s="12" t="inlineStr">
        <is>
          <t/>
        </is>
      </c>
      <c r="E9" s="13" t="inlineStr">
        <is>
          <t>61943-41</t>
        </is>
      </c>
      <c r="F9" s="14" t="inlineStr">
        <is>
          <t>Owner and operator of an online pharmacy portal. The company engages in online sale of health products including medicines, veterinary, medical equipment, wellness and organic products at one place.</t>
        </is>
      </c>
      <c r="G9" s="15" t="inlineStr">
        <is>
          <t>Healthcare</t>
        </is>
      </c>
      <c r="H9" s="16" t="inlineStr">
        <is>
          <t>Pharmaceuticals and Biotechnology</t>
        </is>
      </c>
      <c r="I9" s="17" t="inlineStr">
        <is>
          <t>Pharmaceuticals</t>
        </is>
      </c>
      <c r="J9" s="18" t="inlineStr">
        <is>
          <t>Pharmaceuticals*; Internet Retail</t>
        </is>
      </c>
      <c r="K9" s="19" t="inlineStr">
        <is>
          <t>E-Commerce, LOHAS &amp; Wellness</t>
        </is>
      </c>
      <c r="L9" s="20" t="inlineStr">
        <is>
          <t>Venture Capital-Backed</t>
        </is>
      </c>
      <c r="M9" s="21" t="n">
        <v>10.6</v>
      </c>
      <c r="N9" s="22" t="inlineStr">
        <is>
          <t>Profitable</t>
        </is>
      </c>
      <c r="O9" s="23" t="inlineStr">
        <is>
          <t>Privately Held (backing)</t>
        </is>
      </c>
      <c r="P9" s="24" t="inlineStr">
        <is>
          <t>Venture Capital</t>
        </is>
      </c>
      <c r="Q9" s="25" t="inlineStr">
        <is>
          <t>www.1001pharmacies.com</t>
        </is>
      </c>
      <c r="R9" s="26" t="n">
        <v>35.0</v>
      </c>
      <c r="S9" s="27" t="inlineStr">
        <is>
          <t/>
        </is>
      </c>
      <c r="T9" s="28" t="inlineStr">
        <is>
          <t/>
        </is>
      </c>
      <c r="U9" s="29" t="n">
        <v>2012.0</v>
      </c>
      <c r="V9" s="30" t="inlineStr">
        <is>
          <t/>
        </is>
      </c>
      <c r="W9" s="31" t="inlineStr">
        <is>
          <t/>
        </is>
      </c>
      <c r="X9" s="32" t="inlineStr">
        <is>
          <t/>
        </is>
      </c>
      <c r="Y9" s="33" t="n">
        <v>6.99694</v>
      </c>
      <c r="Z9" s="34" t="inlineStr">
        <is>
          <t/>
        </is>
      </c>
      <c r="AA9" s="35" t="inlineStr">
        <is>
          <t/>
        </is>
      </c>
      <c r="AB9" s="36" t="inlineStr">
        <is>
          <t/>
        </is>
      </c>
      <c r="AC9" s="37" t="inlineStr">
        <is>
          <t/>
        </is>
      </c>
      <c r="AD9" s="38" t="inlineStr">
        <is>
          <t>FY 2014</t>
        </is>
      </c>
      <c r="AE9" s="39" t="inlineStr">
        <is>
          <t>105914-80P</t>
        </is>
      </c>
      <c r="AF9" s="40" t="inlineStr">
        <is>
          <t>Cédric O'Neill</t>
        </is>
      </c>
      <c r="AG9" s="41" t="inlineStr">
        <is>
          <t>Co-Fondateur &amp; Président</t>
        </is>
      </c>
      <c r="AH9" s="42" t="inlineStr">
        <is>
          <t>cedric@1001pharmacies.com</t>
        </is>
      </c>
      <c r="AI9" s="43" t="inlineStr">
        <is>
          <t>+33 (0)7 70 56 59 14</t>
        </is>
      </c>
      <c r="AJ9" s="44" t="inlineStr">
        <is>
          <t>Montpellier, France</t>
        </is>
      </c>
      <c r="AK9" s="45" t="inlineStr">
        <is>
          <t>256 rue de Thor</t>
        </is>
      </c>
      <c r="AL9" s="46" t="inlineStr">
        <is>
          <t/>
        </is>
      </c>
      <c r="AM9" s="47" t="inlineStr">
        <is>
          <t>Montpellier</t>
        </is>
      </c>
      <c r="AN9" s="48" t="inlineStr">
        <is>
          <t/>
        </is>
      </c>
      <c r="AO9" s="49" t="inlineStr">
        <is>
          <t>34000</t>
        </is>
      </c>
      <c r="AP9" s="50" t="inlineStr">
        <is>
          <t>France</t>
        </is>
      </c>
      <c r="AQ9" s="51" t="inlineStr">
        <is>
          <t>+264 (0)89 249 0222</t>
        </is>
      </c>
      <c r="AR9" s="52" t="inlineStr">
        <is>
          <t/>
        </is>
      </c>
      <c r="AS9" s="53" t="inlineStr">
        <is>
          <t>serviceclient@1001pharmacies.com</t>
        </is>
      </c>
      <c r="AT9" s="54" t="inlineStr">
        <is>
          <t>Europe</t>
        </is>
      </c>
      <c r="AU9" s="55" t="inlineStr">
        <is>
          <t>Western Europe</t>
        </is>
      </c>
      <c r="AV9" s="56" t="inlineStr">
        <is>
          <t>The company raised EUR 8 million of Series A venture funding from Newfund Management, CM-CIC Capital Privé and Olivier Mathiot on July 9, 2015. Pierre Kosciusko-Morizet and Xaviel Niel also participated in this round.</t>
        </is>
      </c>
      <c r="AW9" s="57" t="inlineStr">
        <is>
          <t>Bpifrance, CM-CIC Capital Privé, Fabrice Couturier, Gilles-Emmanuel Bernard, Jean Bego, Jean-Rene Lyon, Marc Adamowicz, Marc Ménasé, Marc Rougier, Newfund Management, Olivier Mathiot, Pierre Kosciusko Morizet, Sebastian Steinmetz, Sonorfi, Xaviel Niel</t>
        </is>
      </c>
      <c r="AX9" s="58" t="n">
        <v>15.0</v>
      </c>
      <c r="AY9" s="59" t="inlineStr">
        <is>
          <t/>
        </is>
      </c>
      <c r="AZ9" s="60" t="inlineStr">
        <is>
          <t/>
        </is>
      </c>
      <c r="BA9" s="61" t="inlineStr">
        <is>
          <t/>
        </is>
      </c>
      <c r="BB9" s="62" t="inlineStr">
        <is>
          <t>Bpifrance (www.bpifrance.fr), CM-CIC Capital Privé (www.cmciccapitalprive.com), Newfund Management (www.newfund-capital.com)</t>
        </is>
      </c>
      <c r="BC9" s="63" t="inlineStr">
        <is>
          <t/>
        </is>
      </c>
      <c r="BD9" s="64" t="inlineStr">
        <is>
          <t/>
        </is>
      </c>
      <c r="BE9" s="65" t="inlineStr">
        <is>
          <t/>
        </is>
      </c>
      <c r="BF9" s="66" t="inlineStr">
        <is>
          <t/>
        </is>
      </c>
      <c r="BG9" s="67" t="n">
        <v>41336.0</v>
      </c>
      <c r="BH9" s="68" t="n">
        <v>0.6</v>
      </c>
      <c r="BI9" s="69" t="inlineStr">
        <is>
          <t>Actual</t>
        </is>
      </c>
      <c r="BJ9" s="70" t="inlineStr">
        <is>
          <t/>
        </is>
      </c>
      <c r="BK9" s="71" t="inlineStr">
        <is>
          <t/>
        </is>
      </c>
      <c r="BL9" s="72" t="inlineStr">
        <is>
          <t>Angel (individual)</t>
        </is>
      </c>
      <c r="BM9" s="73" t="inlineStr">
        <is>
          <t>Angel</t>
        </is>
      </c>
      <c r="BN9" s="74" t="inlineStr">
        <is>
          <t/>
        </is>
      </c>
      <c r="BO9" s="75" t="inlineStr">
        <is>
          <t>Individual</t>
        </is>
      </c>
      <c r="BP9" s="76" t="inlineStr">
        <is>
          <t/>
        </is>
      </c>
      <c r="BQ9" s="77" t="inlineStr">
        <is>
          <t/>
        </is>
      </c>
      <c r="BR9" s="78" t="inlineStr">
        <is>
          <t/>
        </is>
      </c>
      <c r="BS9" s="79" t="inlineStr">
        <is>
          <t>Completed</t>
        </is>
      </c>
      <c r="BT9" s="80" t="n">
        <v>42194.0</v>
      </c>
      <c r="BU9" s="81" t="n">
        <v>8.0</v>
      </c>
      <c r="BV9" s="82" t="inlineStr">
        <is>
          <t>Actual</t>
        </is>
      </c>
      <c r="BW9" s="83" t="inlineStr">
        <is>
          <t/>
        </is>
      </c>
      <c r="BX9" s="84" t="inlineStr">
        <is>
          <t/>
        </is>
      </c>
      <c r="BY9" s="85" t="inlineStr">
        <is>
          <t>Early Stage VC</t>
        </is>
      </c>
      <c r="BZ9" s="86" t="inlineStr">
        <is>
          <t>Series A</t>
        </is>
      </c>
      <c r="CA9" s="87" t="inlineStr">
        <is>
          <t/>
        </is>
      </c>
      <c r="CB9" s="88" t="inlineStr">
        <is>
          <t>Venture Capital</t>
        </is>
      </c>
      <c r="CC9" s="89" t="inlineStr">
        <is>
          <t/>
        </is>
      </c>
      <c r="CD9" s="90" t="inlineStr">
        <is>
          <t/>
        </is>
      </c>
      <c r="CE9" s="91" t="inlineStr">
        <is>
          <t/>
        </is>
      </c>
      <c r="CF9" s="92" t="inlineStr">
        <is>
          <t>Completed</t>
        </is>
      </c>
      <c r="CG9" s="93" t="inlineStr">
        <is>
          <t>0,66%</t>
        </is>
      </c>
      <c r="CH9" s="94" t="inlineStr">
        <is>
          <t>86</t>
        </is>
      </c>
      <c r="CI9" s="95" t="inlineStr">
        <is>
          <t>0,13%</t>
        </is>
      </c>
      <c r="CJ9" s="96" t="inlineStr">
        <is>
          <t>24,95%</t>
        </is>
      </c>
      <c r="CK9" s="97" t="inlineStr">
        <is>
          <t>0,62%</t>
        </is>
      </c>
      <c r="CL9" s="98" t="inlineStr">
        <is>
          <t>85</t>
        </is>
      </c>
      <c r="CM9" s="99" t="inlineStr">
        <is>
          <t>0,71%</t>
        </is>
      </c>
      <c r="CN9" s="100" t="inlineStr">
        <is>
          <t>93</t>
        </is>
      </c>
      <c r="CO9" s="101" t="inlineStr">
        <is>
          <t>-1,30%</t>
        </is>
      </c>
      <c r="CP9" s="102" t="inlineStr">
        <is>
          <t>18</t>
        </is>
      </c>
      <c r="CQ9" s="103" t="inlineStr">
        <is>
          <t>2,53%</t>
        </is>
      </c>
      <c r="CR9" s="104" t="inlineStr">
        <is>
          <t>92</t>
        </is>
      </c>
      <c r="CS9" s="105" t="inlineStr">
        <is>
          <t>1,37%</t>
        </is>
      </c>
      <c r="CT9" s="106" t="inlineStr">
        <is>
          <t>96</t>
        </is>
      </c>
      <c r="CU9" s="107" t="inlineStr">
        <is>
          <t>0,05%</t>
        </is>
      </c>
      <c r="CV9" s="108" t="inlineStr">
        <is>
          <t>61</t>
        </is>
      </c>
      <c r="CW9" s="109" t="inlineStr">
        <is>
          <t>132,54x</t>
        </is>
      </c>
      <c r="CX9" s="110" t="inlineStr">
        <is>
          <t>98</t>
        </is>
      </c>
      <c r="CY9" s="111" t="inlineStr">
        <is>
          <t>1,09x</t>
        </is>
      </c>
      <c r="CZ9" s="112" t="inlineStr">
        <is>
          <t>0,83%</t>
        </is>
      </c>
      <c r="DA9" s="113" t="inlineStr">
        <is>
          <t>222,47x</t>
        </is>
      </c>
      <c r="DB9" s="114" t="inlineStr">
        <is>
          <t>99</t>
        </is>
      </c>
      <c r="DC9" s="115" t="inlineStr">
        <is>
          <t>42,61x</t>
        </is>
      </c>
      <c r="DD9" s="116" t="inlineStr">
        <is>
          <t>94</t>
        </is>
      </c>
      <c r="DE9" s="117" t="inlineStr">
        <is>
          <t>398,36x</t>
        </is>
      </c>
      <c r="DF9" s="118" t="inlineStr">
        <is>
          <t>99</t>
        </is>
      </c>
      <c r="DG9" s="119" t="inlineStr">
        <is>
          <t>46,58x</t>
        </is>
      </c>
      <c r="DH9" s="120" t="inlineStr">
        <is>
          <t>97</t>
        </is>
      </c>
      <c r="DI9" s="121" t="inlineStr">
        <is>
          <t>72,52x</t>
        </is>
      </c>
      <c r="DJ9" s="122" t="inlineStr">
        <is>
          <t>94</t>
        </is>
      </c>
      <c r="DK9" s="123" t="inlineStr">
        <is>
          <t>12,71x</t>
        </is>
      </c>
      <c r="DL9" s="124" t="inlineStr">
        <is>
          <t>88</t>
        </is>
      </c>
      <c r="DM9" s="125" t="inlineStr">
        <is>
          <t>247.592</t>
        </is>
      </c>
      <c r="DN9" s="126" t="inlineStr">
        <is>
          <t>-7.800</t>
        </is>
      </c>
      <c r="DO9" s="127" t="inlineStr">
        <is>
          <t>-3,05%</t>
        </is>
      </c>
      <c r="DP9" s="128" t="inlineStr">
        <is>
          <t>57.488</t>
        </is>
      </c>
      <c r="DQ9" s="129" t="inlineStr">
        <is>
          <t>1.199</t>
        </is>
      </c>
      <c r="DR9" s="130" t="inlineStr">
        <is>
          <t>2,13%</t>
        </is>
      </c>
      <c r="DS9" s="131" t="inlineStr">
        <is>
          <t>1.677</t>
        </is>
      </c>
      <c r="DT9" s="132" t="inlineStr">
        <is>
          <t>27</t>
        </is>
      </c>
      <c r="DU9" s="133" t="inlineStr">
        <is>
          <t>1,64%</t>
        </is>
      </c>
      <c r="DV9" s="134" t="inlineStr">
        <is>
          <t>4.354</t>
        </is>
      </c>
      <c r="DW9" s="135" t="inlineStr">
        <is>
          <t>10</t>
        </is>
      </c>
      <c r="DX9" s="136" t="inlineStr">
        <is>
          <t>0,23%</t>
        </is>
      </c>
      <c r="DY9" s="137" t="inlineStr">
        <is>
          <t>PitchBook Research</t>
        </is>
      </c>
      <c r="DZ9" s="785">
        <f>HYPERLINK("https://my.pitchbook.com?c=61943-41", "View company online")</f>
      </c>
    </row>
    <row r="10">
      <c r="A10" s="139" t="inlineStr">
        <is>
          <t>126697-60</t>
        </is>
      </c>
      <c r="B10" s="140" t="inlineStr">
        <is>
          <t>24Storage</t>
        </is>
      </c>
      <c r="C10" s="141" t="inlineStr">
        <is>
          <t/>
        </is>
      </c>
      <c r="D10" s="142" t="inlineStr">
        <is>
          <t/>
        </is>
      </c>
      <c r="E10" s="143" t="inlineStr">
        <is>
          <t>126697-60</t>
        </is>
      </c>
      <c r="F10" s="144" t="inlineStr">
        <is>
          <t>Provider of self storage platform and services to provide rent stores in many different sizes for both individuals and businesses. The company's self storage offers rent storage of between 1-30 square meters for both individuals and businesses and has more than 3600 storage spaces distributed in nine plants in seven locations, enabling users to store their belongings safe and secure.</t>
        </is>
      </c>
      <c r="G10" s="145" t="inlineStr">
        <is>
          <t>Business Products and Services (B2B)</t>
        </is>
      </c>
      <c r="H10" s="146" t="inlineStr">
        <is>
          <t>Commercial Services</t>
        </is>
      </c>
      <c r="I10" s="147" t="inlineStr">
        <is>
          <t>Logistics</t>
        </is>
      </c>
      <c r="J10" s="148" t="inlineStr">
        <is>
          <t>Logistics*; Other Commercial Services</t>
        </is>
      </c>
      <c r="K10" s="149" t="inlineStr">
        <is>
          <t/>
        </is>
      </c>
      <c r="L10" s="150" t="inlineStr">
        <is>
          <t>Venture Capital-Backed</t>
        </is>
      </c>
      <c r="M10" s="151" t="n">
        <v>37.76</v>
      </c>
      <c r="N10" s="152" t="inlineStr">
        <is>
          <t>Generating Revenue</t>
        </is>
      </c>
      <c r="O10" s="153" t="inlineStr">
        <is>
          <t>Privately Held (backing)</t>
        </is>
      </c>
      <c r="P10" s="154" t="inlineStr">
        <is>
          <t>Venture Capital</t>
        </is>
      </c>
      <c r="Q10" s="155" t="inlineStr">
        <is>
          <t>www.24storage.se</t>
        </is>
      </c>
      <c r="R10" s="156" t="n">
        <v>7.0</v>
      </c>
      <c r="S10" s="157" t="inlineStr">
        <is>
          <t/>
        </is>
      </c>
      <c r="T10" s="158" t="inlineStr">
        <is>
          <t/>
        </is>
      </c>
      <c r="U10" s="159" t="n">
        <v>2015.0</v>
      </c>
      <c r="V10" s="160" t="inlineStr">
        <is>
          <t/>
        </is>
      </c>
      <c r="W10" s="161" t="inlineStr">
        <is>
          <t/>
        </is>
      </c>
      <c r="X10" s="162" t="inlineStr">
        <is>
          <t/>
        </is>
      </c>
      <c r="Y10" s="163" t="n">
        <v>2.48057</v>
      </c>
      <c r="Z10" s="164" t="inlineStr">
        <is>
          <t/>
        </is>
      </c>
      <c r="AA10" s="165" t="n">
        <v>0.33074</v>
      </c>
      <c r="AB10" s="166" t="inlineStr">
        <is>
          <t/>
        </is>
      </c>
      <c r="AC10" s="167" t="n">
        <v>1.11166</v>
      </c>
      <c r="AD10" s="168" t="inlineStr">
        <is>
          <t>FY 2015</t>
        </is>
      </c>
      <c r="AE10" s="169" t="inlineStr">
        <is>
          <t>55269-01P</t>
        </is>
      </c>
      <c r="AF10" s="170" t="inlineStr">
        <is>
          <t>Michael Fogelberg</t>
        </is>
      </c>
      <c r="AG10" s="171" t="inlineStr">
        <is>
          <t>Founder, Chief Executive Officer and Board Member</t>
        </is>
      </c>
      <c r="AH10" s="172" t="inlineStr">
        <is>
          <t>michael.fogelberg@24storage.com</t>
        </is>
      </c>
      <c r="AI10" s="173" t="inlineStr">
        <is>
          <t>+46 (0)070-658 77 75</t>
        </is>
      </c>
      <c r="AJ10" s="174" t="inlineStr">
        <is>
          <t>Stockholm, Sweden</t>
        </is>
      </c>
      <c r="AK10" s="175" t="inlineStr">
        <is>
          <t>Kungsgatan 8 (KG10)</t>
        </is>
      </c>
      <c r="AL10" s="176" t="inlineStr">
        <is>
          <t/>
        </is>
      </c>
      <c r="AM10" s="177" t="inlineStr">
        <is>
          <t>Stockholm</t>
        </is>
      </c>
      <c r="AN10" s="178" t="inlineStr">
        <is>
          <t/>
        </is>
      </c>
      <c r="AO10" s="179" t="inlineStr">
        <is>
          <t>111 43</t>
        </is>
      </c>
      <c r="AP10" s="180" t="inlineStr">
        <is>
          <t>Sweden</t>
        </is>
      </c>
      <c r="AQ10" s="181" t="inlineStr">
        <is>
          <t>+46 (0)020-670 670</t>
        </is>
      </c>
      <c r="AR10" s="182" t="inlineStr">
        <is>
          <t/>
        </is>
      </c>
      <c r="AS10" s="183" t="inlineStr">
        <is>
          <t>info@24storage.se</t>
        </is>
      </c>
      <c r="AT10" s="184" t="inlineStr">
        <is>
          <t>Europe</t>
        </is>
      </c>
      <c r="AU10" s="185" t="inlineStr">
        <is>
          <t>Northern Europe</t>
        </is>
      </c>
      <c r="AV10" s="186" t="inlineStr">
        <is>
          <t>The company raised SEK 250 million of funding through a combination of debt and equity on February 20, 2017. SEK 50 million of venture funding was provided by Ernströmgruppen, Per Josefsson Invest, Eklöf Invest, Carl Rosvall, Fredrik Tilander, Jorgen Tilander, Martin Wattin and Staffan Persson. SEK 200 million of loan was provided by Collector Bank. The funds will be used for further expansion of the property portfolio and the development of its own system platform.</t>
        </is>
      </c>
      <c r="AW10" s="187" t="inlineStr">
        <is>
          <t>Backstage Invest AB, Carl Rosvall, Eklöf Invest, Ernströmgruppen, Fredrik Tilander, Jorgen Tilander, Martin Wattin, Per Josefsson Invest, Staffan Persson</t>
        </is>
      </c>
      <c r="AX10" s="188" t="n">
        <v>9.0</v>
      </c>
      <c r="AY10" s="189" t="inlineStr">
        <is>
          <t/>
        </is>
      </c>
      <c r="AZ10" s="190" t="inlineStr">
        <is>
          <t/>
        </is>
      </c>
      <c r="BA10" s="191" t="inlineStr">
        <is>
          <t/>
        </is>
      </c>
      <c r="BB10" s="192" t="inlineStr">
        <is>
          <t>Ernströmgruppen (www.ernstromgruppen.com)</t>
        </is>
      </c>
      <c r="BC10" s="193" t="inlineStr">
        <is>
          <t/>
        </is>
      </c>
      <c r="BD10" s="194" t="inlineStr">
        <is>
          <t/>
        </is>
      </c>
      <c r="BE10" s="195" t="inlineStr">
        <is>
          <t/>
        </is>
      </c>
      <c r="BF10" s="196" t="inlineStr">
        <is>
          <t>Collector Ventures</t>
        </is>
      </c>
      <c r="BG10" s="197" t="n">
        <v>42125.0</v>
      </c>
      <c r="BH10" s="198" t="n">
        <v>3.31</v>
      </c>
      <c r="BI10" s="199" t="inlineStr">
        <is>
          <t>Actual</t>
        </is>
      </c>
      <c r="BJ10" s="200" t="inlineStr">
        <is>
          <t/>
        </is>
      </c>
      <c r="BK10" s="201" t="inlineStr">
        <is>
          <t/>
        </is>
      </c>
      <c r="BL10" s="202" t="inlineStr">
        <is>
          <t>Early Stage VC</t>
        </is>
      </c>
      <c r="BM10" s="203" t="inlineStr">
        <is>
          <t/>
        </is>
      </c>
      <c r="BN10" s="204" t="inlineStr">
        <is>
          <t/>
        </is>
      </c>
      <c r="BO10" s="205" t="inlineStr">
        <is>
          <t>Venture Capital</t>
        </is>
      </c>
      <c r="BP10" s="206" t="inlineStr">
        <is>
          <t/>
        </is>
      </c>
      <c r="BQ10" s="207" t="inlineStr">
        <is>
          <t/>
        </is>
      </c>
      <c r="BR10" s="208" t="inlineStr">
        <is>
          <t/>
        </is>
      </c>
      <c r="BS10" s="209" t="inlineStr">
        <is>
          <t>Completed</t>
        </is>
      </c>
      <c r="BT10" s="210" t="n">
        <v>42786.0</v>
      </c>
      <c r="BU10" s="211" t="n">
        <v>26.39</v>
      </c>
      <c r="BV10" s="212" t="inlineStr">
        <is>
          <t>Actual</t>
        </is>
      </c>
      <c r="BW10" s="213" t="inlineStr">
        <is>
          <t/>
        </is>
      </c>
      <c r="BX10" s="214" t="inlineStr">
        <is>
          <t/>
        </is>
      </c>
      <c r="BY10" s="215" t="inlineStr">
        <is>
          <t>Early Stage VC</t>
        </is>
      </c>
      <c r="BZ10" s="216" t="inlineStr">
        <is>
          <t/>
        </is>
      </c>
      <c r="CA10" s="217" t="inlineStr">
        <is>
          <t/>
        </is>
      </c>
      <c r="CB10" s="218" t="inlineStr">
        <is>
          <t>Venture Capital</t>
        </is>
      </c>
      <c r="CC10" s="219" t="inlineStr">
        <is>
          <t>Loan</t>
        </is>
      </c>
      <c r="CD10" s="220" t="inlineStr">
        <is>
          <t/>
        </is>
      </c>
      <c r="CE10" s="221" t="inlineStr">
        <is>
          <t/>
        </is>
      </c>
      <c r="CF10" s="222" t="inlineStr">
        <is>
          <t>Completed</t>
        </is>
      </c>
      <c r="CG10" s="223" t="inlineStr">
        <is>
          <t>-1,93%</t>
        </is>
      </c>
      <c r="CH10" s="224" t="inlineStr">
        <is>
          <t>3</t>
        </is>
      </c>
      <c r="CI10" s="225" t="inlineStr">
        <is>
          <t>0,00%</t>
        </is>
      </c>
      <c r="CJ10" s="226" t="inlineStr">
        <is>
          <t>0,00%</t>
        </is>
      </c>
      <c r="CK10" s="227" t="inlineStr">
        <is>
          <t>-3,86%</t>
        </is>
      </c>
      <c r="CL10" s="228" t="inlineStr">
        <is>
          <t>2</t>
        </is>
      </c>
      <c r="CM10" s="229" t="inlineStr">
        <is>
          <t>0,00%</t>
        </is>
      </c>
      <c r="CN10" s="230" t="inlineStr">
        <is>
          <t>19</t>
        </is>
      </c>
      <c r="CO10" s="231" t="inlineStr">
        <is>
          <t>-3,86%</t>
        </is>
      </c>
      <c r="CP10" s="232" t="inlineStr">
        <is>
          <t>9</t>
        </is>
      </c>
      <c r="CQ10" s="233" t="inlineStr">
        <is>
          <t/>
        </is>
      </c>
      <c r="CR10" s="234" t="inlineStr">
        <is>
          <t/>
        </is>
      </c>
      <c r="CS10" s="235" t="inlineStr">
        <is>
          <t>0,00%</t>
        </is>
      </c>
      <c r="CT10" s="236" t="inlineStr">
        <is>
          <t>18</t>
        </is>
      </c>
      <c r="CU10" s="237" t="inlineStr">
        <is>
          <t>0,00%</t>
        </is>
      </c>
      <c r="CV10" s="238" t="inlineStr">
        <is>
          <t>20</t>
        </is>
      </c>
      <c r="CW10" s="239" t="inlineStr">
        <is>
          <t>1,16x</t>
        </is>
      </c>
      <c r="CX10" s="240" t="inlineStr">
        <is>
          <t>52</t>
        </is>
      </c>
      <c r="CY10" s="241" t="inlineStr">
        <is>
          <t>0,00x</t>
        </is>
      </c>
      <c r="CZ10" s="242" t="inlineStr">
        <is>
          <t>-0,11%</t>
        </is>
      </c>
      <c r="DA10" s="243" t="inlineStr">
        <is>
          <t>2,31x</t>
        </is>
      </c>
      <c r="DB10" s="244" t="inlineStr">
        <is>
          <t>69</t>
        </is>
      </c>
      <c r="DC10" s="245" t="inlineStr">
        <is>
          <t>0,01x</t>
        </is>
      </c>
      <c r="DD10" s="246" t="inlineStr">
        <is>
          <t>2</t>
        </is>
      </c>
      <c r="DE10" s="247" t="inlineStr">
        <is>
          <t>2,31x</t>
        </is>
      </c>
      <c r="DF10" s="248" t="inlineStr">
        <is>
          <t>66</t>
        </is>
      </c>
      <c r="DG10" s="249" t="inlineStr">
        <is>
          <t/>
        </is>
      </c>
      <c r="DH10" s="250" t="inlineStr">
        <is>
          <t/>
        </is>
      </c>
      <c r="DI10" s="251" t="inlineStr">
        <is>
          <t>0,01x</t>
        </is>
      </c>
      <c r="DJ10" s="252" t="inlineStr">
        <is>
          <t>2</t>
        </is>
      </c>
      <c r="DK10" s="253" t="inlineStr">
        <is>
          <t>0,01x</t>
        </is>
      </c>
      <c r="DL10" s="254" t="inlineStr">
        <is>
          <t>2</t>
        </is>
      </c>
      <c r="DM10" s="255" t="inlineStr">
        <is>
          <t>1.469</t>
        </is>
      </c>
      <c r="DN10" s="256" t="inlineStr">
        <is>
          <t>-142</t>
        </is>
      </c>
      <c r="DO10" s="257" t="inlineStr">
        <is>
          <t>-8,81%</t>
        </is>
      </c>
      <c r="DP10" s="258" t="inlineStr">
        <is>
          <t>7</t>
        </is>
      </c>
      <c r="DQ10" s="259" t="inlineStr">
        <is>
          <t>0</t>
        </is>
      </c>
      <c r="DR10" s="260" t="inlineStr">
        <is>
          <t>0,00%</t>
        </is>
      </c>
      <c r="DS10" s="261" t="inlineStr">
        <is>
          <t/>
        </is>
      </c>
      <c r="DT10" s="262" t="inlineStr">
        <is>
          <t/>
        </is>
      </c>
      <c r="DU10" s="263" t="inlineStr">
        <is>
          <t/>
        </is>
      </c>
      <c r="DV10" s="264" t="inlineStr">
        <is>
          <t>5</t>
        </is>
      </c>
      <c r="DW10" s="265" t="inlineStr">
        <is>
          <t>0</t>
        </is>
      </c>
      <c r="DX10" s="266" t="inlineStr">
        <is>
          <t>0,00%</t>
        </is>
      </c>
      <c r="DY10" s="267" t="inlineStr">
        <is>
          <t>PitchBook Research</t>
        </is>
      </c>
      <c r="DZ10" s="786">
        <f>HYPERLINK("https://my.pitchbook.com?c=126697-60", "View company online")</f>
      </c>
    </row>
    <row r="11">
      <c r="A11" s="9" t="inlineStr">
        <is>
          <t>60359-86</t>
        </is>
      </c>
      <c r="B11" s="10" t="inlineStr">
        <is>
          <t>2Can</t>
        </is>
      </c>
      <c r="C11" s="11" t="inlineStr">
        <is>
          <t/>
        </is>
      </c>
      <c r="D11" s="12" t="inlineStr">
        <is>
          <t/>
        </is>
      </c>
      <c r="E11" s="13" t="inlineStr">
        <is>
          <t>60359-86</t>
        </is>
      </c>
      <c r="F11" s="14" t="inlineStr">
        <is>
          <t>Developer of a mobile point of sale technology designed to accept Visa and MasterCard payments. The company's mobile point of sale technology includes an attachable reader device that helps to process bank card transactions for a flat fee, enabling users to accept payments with their iOS and Android phones anywhere and anytime.</t>
        </is>
      </c>
      <c r="G11" s="15" t="inlineStr">
        <is>
          <t>Information Technology</t>
        </is>
      </c>
      <c r="H11" s="16" t="inlineStr">
        <is>
          <t>Software</t>
        </is>
      </c>
      <c r="I11" s="17" t="inlineStr">
        <is>
          <t>Financial Software</t>
        </is>
      </c>
      <c r="J11" s="18" t="inlineStr">
        <is>
          <t>Financial Software*; Application Software; Vertical Market Software</t>
        </is>
      </c>
      <c r="K11" s="19" t="inlineStr">
        <is>
          <t>FinTech, Mobile</t>
        </is>
      </c>
      <c r="L11" s="20" t="inlineStr">
        <is>
          <t>Venture Capital-Backed</t>
        </is>
      </c>
      <c r="M11" s="21" t="n">
        <v>10.67</v>
      </c>
      <c r="N11" s="22" t="inlineStr">
        <is>
          <t>Generating Revenue</t>
        </is>
      </c>
      <c r="O11" s="23" t="inlineStr">
        <is>
          <t>Privately Held (backing)</t>
        </is>
      </c>
      <c r="P11" s="24" t="inlineStr">
        <is>
          <t>Venture Capital</t>
        </is>
      </c>
      <c r="Q11" s="25" t="inlineStr">
        <is>
          <t>www.2can.ru</t>
        </is>
      </c>
      <c r="R11" s="26" t="n">
        <v>21.0</v>
      </c>
      <c r="S11" s="27" t="inlineStr">
        <is>
          <t/>
        </is>
      </c>
      <c r="T11" s="28" t="inlineStr">
        <is>
          <t/>
        </is>
      </c>
      <c r="U11" s="29" t="n">
        <v>2012.0</v>
      </c>
      <c r="V11" s="30" t="inlineStr">
        <is>
          <t/>
        </is>
      </c>
      <c r="W11" s="31" t="inlineStr">
        <is>
          <t/>
        </is>
      </c>
      <c r="X11" s="32" t="inlineStr">
        <is>
          <t/>
        </is>
      </c>
      <c r="Y11" s="33" t="n">
        <v>1.03396</v>
      </c>
      <c r="Z11" s="34" t="inlineStr">
        <is>
          <t/>
        </is>
      </c>
      <c r="AA11" s="35" t="n">
        <v>-1.347</v>
      </c>
      <c r="AB11" s="36" t="inlineStr">
        <is>
          <t/>
        </is>
      </c>
      <c r="AC11" s="37" t="inlineStr">
        <is>
          <t/>
        </is>
      </c>
      <c r="AD11" s="38" t="inlineStr">
        <is>
          <t>FY 2016</t>
        </is>
      </c>
      <c r="AE11" s="39" t="inlineStr">
        <is>
          <t>115669-09P</t>
        </is>
      </c>
      <c r="AF11" s="40" t="inlineStr">
        <is>
          <t>Dmitry Bogdashev</t>
        </is>
      </c>
      <c r="AG11" s="41" t="inlineStr">
        <is>
          <t>Chief Executive Officer</t>
        </is>
      </c>
      <c r="AH11" s="42" t="inlineStr">
        <is>
          <t>bogdashev@smart-fin.ru</t>
        </is>
      </c>
      <c r="AI11" s="43" t="inlineStr">
        <is>
          <t>+7 (8)800 505 2226</t>
        </is>
      </c>
      <c r="AJ11" s="44" t="inlineStr">
        <is>
          <t>Moscow, Russia</t>
        </is>
      </c>
      <c r="AK11" s="45" t="inlineStr">
        <is>
          <t>Andropova av.</t>
        </is>
      </c>
      <c r="AL11" s="46" t="inlineStr">
        <is>
          <t>18k7, floor 8</t>
        </is>
      </c>
      <c r="AM11" s="47" t="inlineStr">
        <is>
          <t>Moscow</t>
        </is>
      </c>
      <c r="AN11" s="48" t="inlineStr">
        <is>
          <t/>
        </is>
      </c>
      <c r="AO11" s="49" t="inlineStr">
        <is>
          <t>115432</t>
        </is>
      </c>
      <c r="AP11" s="50" t="inlineStr">
        <is>
          <t>Russia</t>
        </is>
      </c>
      <c r="AQ11" s="51" t="inlineStr">
        <is>
          <t>+7 (8)800 505 2226</t>
        </is>
      </c>
      <c r="AR11" s="52" t="inlineStr">
        <is>
          <t/>
        </is>
      </c>
      <c r="AS11" s="53" t="inlineStr">
        <is>
          <t/>
        </is>
      </c>
      <c r="AT11" s="54" t="inlineStr">
        <is>
          <t>Europe</t>
        </is>
      </c>
      <c r="AU11" s="55" t="inlineStr">
        <is>
          <t>Eastern Europe</t>
        </is>
      </c>
      <c r="AV11" s="56" t="inlineStr">
        <is>
          <t>The company raised $3 million of venture funding from Da Vinci Capital Management and InVenture Partners on July 25, 2017. Earlier, the company raised $3 million of Series C venture funding from Almaz Capital, InVenture Partners and ESN Group on September 28, 2015.</t>
        </is>
      </c>
      <c r="AW11" s="57" t="inlineStr">
        <is>
          <t>Almaz Capital, Da Vinci Capital Management, ESN Group, InVenture Partners</t>
        </is>
      </c>
      <c r="AX11" s="58" t="n">
        <v>4.0</v>
      </c>
      <c r="AY11" s="59" t="inlineStr">
        <is>
          <t/>
        </is>
      </c>
      <c r="AZ11" s="60" t="inlineStr">
        <is>
          <t/>
        </is>
      </c>
      <c r="BA11" s="61" t="inlineStr">
        <is>
          <t/>
        </is>
      </c>
      <c r="BB11" s="62" t="inlineStr">
        <is>
          <t>Almaz Capital (www.almazcapital.com), Da Vinci Capital Management (www.dvcap.com), InVenture Partners (www.inventurepartners.com)</t>
        </is>
      </c>
      <c r="BC11" s="63" t="inlineStr">
        <is>
          <t/>
        </is>
      </c>
      <c r="BD11" s="64" t="inlineStr">
        <is>
          <t/>
        </is>
      </c>
      <c r="BE11" s="65" t="inlineStr">
        <is>
          <t/>
        </is>
      </c>
      <c r="BF11" s="66" t="inlineStr">
        <is>
          <t/>
        </is>
      </c>
      <c r="BG11" s="67" t="n">
        <v>41190.0</v>
      </c>
      <c r="BH11" s="68" t="n">
        <v>1.77</v>
      </c>
      <c r="BI11" s="69" t="inlineStr">
        <is>
          <t>Actual</t>
        </is>
      </c>
      <c r="BJ11" s="70" t="inlineStr">
        <is>
          <t/>
        </is>
      </c>
      <c r="BK11" s="71" t="inlineStr">
        <is>
          <t/>
        </is>
      </c>
      <c r="BL11" s="72" t="inlineStr">
        <is>
          <t>Early Stage VC</t>
        </is>
      </c>
      <c r="BM11" s="73" t="inlineStr">
        <is>
          <t>Series A</t>
        </is>
      </c>
      <c r="BN11" s="74" t="inlineStr">
        <is>
          <t/>
        </is>
      </c>
      <c r="BO11" s="75" t="inlineStr">
        <is>
          <t>Venture Capital</t>
        </is>
      </c>
      <c r="BP11" s="76" t="inlineStr">
        <is>
          <t/>
        </is>
      </c>
      <c r="BQ11" s="77" t="inlineStr">
        <is>
          <t/>
        </is>
      </c>
      <c r="BR11" s="78" t="inlineStr">
        <is>
          <t/>
        </is>
      </c>
      <c r="BS11" s="79" t="inlineStr">
        <is>
          <t>Completed</t>
        </is>
      </c>
      <c r="BT11" s="80" t="n">
        <v>42941.0</v>
      </c>
      <c r="BU11" s="81" t="n">
        <v>2.61</v>
      </c>
      <c r="BV11" s="82" t="inlineStr">
        <is>
          <t>Actual</t>
        </is>
      </c>
      <c r="BW11" s="83" t="inlineStr">
        <is>
          <t/>
        </is>
      </c>
      <c r="BX11" s="84" t="inlineStr">
        <is>
          <t/>
        </is>
      </c>
      <c r="BY11" s="85" t="inlineStr">
        <is>
          <t>Later Stage VC</t>
        </is>
      </c>
      <c r="BZ11" s="86" t="inlineStr">
        <is>
          <t/>
        </is>
      </c>
      <c r="CA11" s="87" t="inlineStr">
        <is>
          <t/>
        </is>
      </c>
      <c r="CB11" s="88" t="inlineStr">
        <is>
          <t>Venture Capital</t>
        </is>
      </c>
      <c r="CC11" s="89" t="inlineStr">
        <is>
          <t/>
        </is>
      </c>
      <c r="CD11" s="90" t="inlineStr">
        <is>
          <t/>
        </is>
      </c>
      <c r="CE11" s="91" t="inlineStr">
        <is>
          <t/>
        </is>
      </c>
      <c r="CF11" s="92" t="inlineStr">
        <is>
          <t>Completed</t>
        </is>
      </c>
      <c r="CG11" s="93" t="inlineStr">
        <is>
          <t>0,21%</t>
        </is>
      </c>
      <c r="CH11" s="94" t="inlineStr">
        <is>
          <t>78</t>
        </is>
      </c>
      <c r="CI11" s="95" t="inlineStr">
        <is>
          <t>0,10%</t>
        </is>
      </c>
      <c r="CJ11" s="96" t="inlineStr">
        <is>
          <t>89,52%</t>
        </is>
      </c>
      <c r="CK11" s="97" t="inlineStr">
        <is>
          <t>0,41%</t>
        </is>
      </c>
      <c r="CL11" s="98" t="inlineStr">
        <is>
          <t>83</t>
        </is>
      </c>
      <c r="CM11" s="99" t="inlineStr">
        <is>
          <t>0,00%</t>
        </is>
      </c>
      <c r="CN11" s="100" t="inlineStr">
        <is>
          <t>19</t>
        </is>
      </c>
      <c r="CO11" s="101" t="inlineStr">
        <is>
          <t>0,24%</t>
        </is>
      </c>
      <c r="CP11" s="102" t="inlineStr">
        <is>
          <t>80</t>
        </is>
      </c>
      <c r="CQ11" s="103" t="inlineStr">
        <is>
          <t>0,59%</t>
        </is>
      </c>
      <c r="CR11" s="104" t="inlineStr">
        <is>
          <t>87</t>
        </is>
      </c>
      <c r="CS11" s="105" t="inlineStr">
        <is>
          <t>0,00%</t>
        </is>
      </c>
      <c r="CT11" s="106" t="inlineStr">
        <is>
          <t>18</t>
        </is>
      </c>
      <c r="CU11" s="107" t="inlineStr">
        <is>
          <t>0,00%</t>
        </is>
      </c>
      <c r="CV11" s="108" t="inlineStr">
        <is>
          <t>20</t>
        </is>
      </c>
      <c r="CW11" s="109" t="inlineStr">
        <is>
          <t>6,92x</t>
        </is>
      </c>
      <c r="CX11" s="110" t="inlineStr">
        <is>
          <t>83</t>
        </is>
      </c>
      <c r="CY11" s="111" t="inlineStr">
        <is>
          <t>-1,34x</t>
        </is>
      </c>
      <c r="CZ11" s="112" t="inlineStr">
        <is>
          <t>-16,19%</t>
        </is>
      </c>
      <c r="DA11" s="113" t="inlineStr">
        <is>
          <t>11,42x</t>
        </is>
      </c>
      <c r="DB11" s="114" t="inlineStr">
        <is>
          <t>89</t>
        </is>
      </c>
      <c r="DC11" s="115" t="inlineStr">
        <is>
          <t>2,42x</t>
        </is>
      </c>
      <c r="DD11" s="116" t="inlineStr">
        <is>
          <t>65</t>
        </is>
      </c>
      <c r="DE11" s="117" t="inlineStr">
        <is>
          <t>14,14x</t>
        </is>
      </c>
      <c r="DF11" s="118" t="inlineStr">
        <is>
          <t>86</t>
        </is>
      </c>
      <c r="DG11" s="119" t="inlineStr">
        <is>
          <t>8,69x</t>
        </is>
      </c>
      <c r="DH11" s="120" t="inlineStr">
        <is>
          <t>84</t>
        </is>
      </c>
      <c r="DI11" s="121" t="inlineStr">
        <is>
          <t>3,78x</t>
        </is>
      </c>
      <c r="DJ11" s="122" t="inlineStr">
        <is>
          <t>71</t>
        </is>
      </c>
      <c r="DK11" s="123" t="inlineStr">
        <is>
          <t>1,05x</t>
        </is>
      </c>
      <c r="DL11" s="124" t="inlineStr">
        <is>
          <t>51</t>
        </is>
      </c>
      <c r="DM11" s="125" t="inlineStr">
        <is>
          <t>8.630</t>
        </is>
      </c>
      <c r="DN11" s="126" t="inlineStr">
        <is>
          <t>192</t>
        </is>
      </c>
      <c r="DO11" s="127" t="inlineStr">
        <is>
          <t>2,28%</t>
        </is>
      </c>
      <c r="DP11" s="128" t="inlineStr">
        <is>
          <t>3.025</t>
        </is>
      </c>
      <c r="DQ11" s="129" t="inlineStr">
        <is>
          <t>1</t>
        </is>
      </c>
      <c r="DR11" s="130" t="inlineStr">
        <is>
          <t>0,03%</t>
        </is>
      </c>
      <c r="DS11" s="131" t="inlineStr">
        <is>
          <t>313</t>
        </is>
      </c>
      <c r="DT11" s="132" t="inlineStr">
        <is>
          <t>-1</t>
        </is>
      </c>
      <c r="DU11" s="133" t="inlineStr">
        <is>
          <t>-0,32%</t>
        </is>
      </c>
      <c r="DV11" s="134" t="inlineStr">
        <is>
          <t>360</t>
        </is>
      </c>
      <c r="DW11" s="135" t="inlineStr">
        <is>
          <t>1</t>
        </is>
      </c>
      <c r="DX11" s="136" t="inlineStr">
        <is>
          <t>0,28%</t>
        </is>
      </c>
      <c r="DY11" s="137" t="inlineStr">
        <is>
          <t>PitchBook Research</t>
        </is>
      </c>
      <c r="DZ11" s="785">
        <f>HYPERLINK("https://my.pitchbook.com?c=60359-86", "View company online")</f>
      </c>
    </row>
    <row r="12">
      <c r="A12" s="139" t="inlineStr">
        <is>
          <t>81674-02</t>
        </is>
      </c>
      <c r="B12" s="140" t="inlineStr">
        <is>
          <t>360imprimir</t>
        </is>
      </c>
      <c r="C12" s="141" t="inlineStr">
        <is>
          <t/>
        </is>
      </c>
      <c r="D12" s="142" t="inlineStr">
        <is>
          <t/>
        </is>
      </c>
      <c r="E12" s="143" t="inlineStr">
        <is>
          <t>81674-02</t>
        </is>
      </c>
      <c r="F12" s="144" t="inlineStr">
        <is>
          <t>Provider of an online designing and printing platform. The company's software platform enables customers to design their products with a high level of customization on the website and uses its printing division to deliver the finished product.</t>
        </is>
      </c>
      <c r="G12" s="145" t="inlineStr">
        <is>
          <t>Information Technology</t>
        </is>
      </c>
      <c r="H12" s="146" t="inlineStr">
        <is>
          <t>Software</t>
        </is>
      </c>
      <c r="I12" s="147" t="inlineStr">
        <is>
          <t>Social/Platform Software</t>
        </is>
      </c>
      <c r="J12" s="148" t="inlineStr">
        <is>
          <t>Social/Platform Software*</t>
        </is>
      </c>
      <c r="K12" s="149" t="inlineStr">
        <is>
          <t/>
        </is>
      </c>
      <c r="L12" s="150" t="inlineStr">
        <is>
          <t>Venture Capital-Backed</t>
        </is>
      </c>
      <c r="M12" s="151" t="n">
        <v>7.25</v>
      </c>
      <c r="N12" s="152" t="inlineStr">
        <is>
          <t>Generating Revenue</t>
        </is>
      </c>
      <c r="O12" s="153" t="inlineStr">
        <is>
          <t>Privately Held (backing)</t>
        </is>
      </c>
      <c r="P12" s="154" t="inlineStr">
        <is>
          <t>Venture Capital</t>
        </is>
      </c>
      <c r="Q12" s="155" t="inlineStr">
        <is>
          <t>www.360imprimir.pt</t>
        </is>
      </c>
      <c r="R12" s="156" t="n">
        <v>120.0</v>
      </c>
      <c r="S12" s="157" t="inlineStr">
        <is>
          <t/>
        </is>
      </c>
      <c r="T12" s="158" t="inlineStr">
        <is>
          <t/>
        </is>
      </c>
      <c r="U12" s="159" t="n">
        <v>2013.0</v>
      </c>
      <c r="V12" s="160" t="inlineStr">
        <is>
          <t/>
        </is>
      </c>
      <c r="W12" s="161" t="inlineStr">
        <is>
          <t/>
        </is>
      </c>
      <c r="X12" s="162" t="inlineStr">
        <is>
          <t/>
        </is>
      </c>
      <c r="Y12" s="163" t="n">
        <v>6.00457</v>
      </c>
      <c r="Z12" s="164" t="inlineStr">
        <is>
          <t/>
        </is>
      </c>
      <c r="AA12" s="165" t="inlineStr">
        <is>
          <t/>
        </is>
      </c>
      <c r="AB12" s="166" t="inlineStr">
        <is>
          <t/>
        </is>
      </c>
      <c r="AC12" s="167" t="inlineStr">
        <is>
          <t/>
        </is>
      </c>
      <c r="AD12" s="168" t="inlineStr">
        <is>
          <t>FY 2016</t>
        </is>
      </c>
      <c r="AE12" s="169" t="inlineStr">
        <is>
          <t>82306-72P</t>
        </is>
      </c>
      <c r="AF12" s="170" t="inlineStr">
        <is>
          <t>Diogo Silva</t>
        </is>
      </c>
      <c r="AG12" s="171" t="inlineStr">
        <is>
          <t>Software Developer, Partner &amp; Co-Founder</t>
        </is>
      </c>
      <c r="AH12" s="172" t="inlineStr">
        <is>
          <t>diogo.silva@360imprimir.pt</t>
        </is>
      </c>
      <c r="AI12" s="173" t="inlineStr">
        <is>
          <t>+351 21 145 0353</t>
        </is>
      </c>
      <c r="AJ12" s="174" t="inlineStr">
        <is>
          <t>Torres Vedras, Portugal</t>
        </is>
      </c>
      <c r="AK12" s="175" t="inlineStr">
        <is>
          <t>Rua Principal, n.º3</t>
        </is>
      </c>
      <c r="AL12" s="176" t="inlineStr">
        <is>
          <t>Póvoa de Além</t>
        </is>
      </c>
      <c r="AM12" s="177" t="inlineStr">
        <is>
          <t>Torres Vedras</t>
        </is>
      </c>
      <c r="AN12" s="178" t="inlineStr">
        <is>
          <t/>
        </is>
      </c>
      <c r="AO12" s="179" t="inlineStr">
        <is>
          <t>2560-046</t>
        </is>
      </c>
      <c r="AP12" s="180" t="inlineStr">
        <is>
          <t>Portugal</t>
        </is>
      </c>
      <c r="AQ12" s="181" t="inlineStr">
        <is>
          <t>+351 21 145 0353</t>
        </is>
      </c>
      <c r="AR12" s="182" t="inlineStr">
        <is>
          <t/>
        </is>
      </c>
      <c r="AS12" s="183" t="inlineStr">
        <is>
          <t/>
        </is>
      </c>
      <c r="AT12" s="184" t="inlineStr">
        <is>
          <t>Europe</t>
        </is>
      </c>
      <c r="AU12" s="185" t="inlineStr">
        <is>
          <t>Southern Europe</t>
        </is>
      </c>
      <c r="AV12" s="186" t="inlineStr">
        <is>
          <t>The company raised EUR 4 million of Series B venture funding from lead investor Pathena and Omnes Capital on April 24, 2015. The funds raised will be used to accelerate the company's international expansion and further develop the product offerings.</t>
        </is>
      </c>
      <c r="AW12" s="187" t="inlineStr">
        <is>
          <t>Lisbon Challenge, Omnes Capital, Pathena, Shilling Capital Partners, Startup Lisboa</t>
        </is>
      </c>
      <c r="AX12" s="188" t="n">
        <v>5.0</v>
      </c>
      <c r="AY12" s="189" t="inlineStr">
        <is>
          <t/>
        </is>
      </c>
      <c r="AZ12" s="190" t="inlineStr">
        <is>
          <t/>
        </is>
      </c>
      <c r="BA12" s="191" t="inlineStr">
        <is>
          <t/>
        </is>
      </c>
      <c r="BB12" s="192" t="inlineStr">
        <is>
          <t>Lisbon Challenge (www.lisbon-challenge.com), Omnes Capital (www.omnescapital.com), Pathena (www.pathena.com), Shilling Capital Partners (www.shillingcapital.com), Startup Lisboa (www.startuplisboa.com)</t>
        </is>
      </c>
      <c r="BC12" s="193" t="inlineStr">
        <is>
          <t/>
        </is>
      </c>
      <c r="BD12" s="194" t="inlineStr">
        <is>
          <t/>
        </is>
      </c>
      <c r="BE12" s="195" t="inlineStr">
        <is>
          <t/>
        </is>
      </c>
      <c r="BF12" s="196" t="inlineStr">
        <is>
          <t/>
        </is>
      </c>
      <c r="BG12" s="197" t="n">
        <v>41759.0</v>
      </c>
      <c r="BH12" s="198" t="inlineStr">
        <is>
          <t/>
        </is>
      </c>
      <c r="BI12" s="199" t="inlineStr">
        <is>
          <t/>
        </is>
      </c>
      <c r="BJ12" s="200" t="inlineStr">
        <is>
          <t/>
        </is>
      </c>
      <c r="BK12" s="201" t="inlineStr">
        <is>
          <t/>
        </is>
      </c>
      <c r="BL12" s="202" t="inlineStr">
        <is>
          <t>Accelerator/Incubator</t>
        </is>
      </c>
      <c r="BM12" s="203" t="inlineStr">
        <is>
          <t/>
        </is>
      </c>
      <c r="BN12" s="204" t="inlineStr">
        <is>
          <t/>
        </is>
      </c>
      <c r="BO12" s="205" t="inlineStr">
        <is>
          <t>Venture Capital</t>
        </is>
      </c>
      <c r="BP12" s="206" t="inlineStr">
        <is>
          <t/>
        </is>
      </c>
      <c r="BQ12" s="207" t="inlineStr">
        <is>
          <t/>
        </is>
      </c>
      <c r="BR12" s="208" t="inlineStr">
        <is>
          <t/>
        </is>
      </c>
      <c r="BS12" s="209" t="inlineStr">
        <is>
          <t>Completed</t>
        </is>
      </c>
      <c r="BT12" s="210" t="n">
        <v>42849.0</v>
      </c>
      <c r="BU12" s="211" t="n">
        <v>4.0</v>
      </c>
      <c r="BV12" s="212" t="inlineStr">
        <is>
          <t>Actual</t>
        </is>
      </c>
      <c r="BW12" s="213" t="inlineStr">
        <is>
          <t/>
        </is>
      </c>
      <c r="BX12" s="214" t="inlineStr">
        <is>
          <t/>
        </is>
      </c>
      <c r="BY12" s="215" t="inlineStr">
        <is>
          <t>Early Stage VC</t>
        </is>
      </c>
      <c r="BZ12" s="216" t="inlineStr">
        <is>
          <t>Series B</t>
        </is>
      </c>
      <c r="CA12" s="217" t="inlineStr">
        <is>
          <t/>
        </is>
      </c>
      <c r="CB12" s="218" t="inlineStr">
        <is>
          <t>Venture Capital</t>
        </is>
      </c>
      <c r="CC12" s="219" t="inlineStr">
        <is>
          <t/>
        </is>
      </c>
      <c r="CD12" s="220" t="inlineStr">
        <is>
          <t/>
        </is>
      </c>
      <c r="CE12" s="221" t="inlineStr">
        <is>
          <t/>
        </is>
      </c>
      <c r="CF12" s="222" t="inlineStr">
        <is>
          <t>Completed</t>
        </is>
      </c>
      <c r="CG12" s="223" t="inlineStr">
        <is>
          <t>0,46%</t>
        </is>
      </c>
      <c r="CH12" s="224" t="inlineStr">
        <is>
          <t>83</t>
        </is>
      </c>
      <c r="CI12" s="225" t="inlineStr">
        <is>
          <t>0,31%</t>
        </is>
      </c>
      <c r="CJ12" s="226" t="inlineStr">
        <is>
          <t>216,53%</t>
        </is>
      </c>
      <c r="CK12" s="227" t="inlineStr">
        <is>
          <t>-0,03%</t>
        </is>
      </c>
      <c r="CL12" s="228" t="inlineStr">
        <is>
          <t>18</t>
        </is>
      </c>
      <c r="CM12" s="229" t="inlineStr">
        <is>
          <t>0,94%</t>
        </is>
      </c>
      <c r="CN12" s="230" t="inlineStr">
        <is>
          <t>96</t>
        </is>
      </c>
      <c r="CO12" s="231" t="inlineStr">
        <is>
          <t>-0,06%</t>
        </is>
      </c>
      <c r="CP12" s="232" t="inlineStr">
        <is>
          <t>25</t>
        </is>
      </c>
      <c r="CQ12" s="233" t="inlineStr">
        <is>
          <t>0,01%</t>
        </is>
      </c>
      <c r="CR12" s="234" t="inlineStr">
        <is>
          <t>82</t>
        </is>
      </c>
      <c r="CS12" s="235" t="inlineStr">
        <is>
          <t>1,85%</t>
        </is>
      </c>
      <c r="CT12" s="236" t="inlineStr">
        <is>
          <t>98</t>
        </is>
      </c>
      <c r="CU12" s="237" t="inlineStr">
        <is>
          <t>0,02%</t>
        </is>
      </c>
      <c r="CV12" s="238" t="inlineStr">
        <is>
          <t>57</t>
        </is>
      </c>
      <c r="CW12" s="239" t="inlineStr">
        <is>
          <t>168,70x</t>
        </is>
      </c>
      <c r="CX12" s="240" t="inlineStr">
        <is>
          <t>99</t>
        </is>
      </c>
      <c r="CY12" s="241" t="inlineStr">
        <is>
          <t>25,09x</t>
        </is>
      </c>
      <c r="CZ12" s="242" t="inlineStr">
        <is>
          <t>17,47%</t>
        </is>
      </c>
      <c r="DA12" s="243" t="inlineStr">
        <is>
          <t>44,15x</t>
        </is>
      </c>
      <c r="DB12" s="244" t="inlineStr">
        <is>
          <t>96</t>
        </is>
      </c>
      <c r="DC12" s="245" t="inlineStr">
        <is>
          <t>293,26x</t>
        </is>
      </c>
      <c r="DD12" s="246" t="inlineStr">
        <is>
          <t>99</t>
        </is>
      </c>
      <c r="DE12" s="247" t="inlineStr">
        <is>
          <t>84,52x</t>
        </is>
      </c>
      <c r="DF12" s="248" t="inlineStr">
        <is>
          <t>95</t>
        </is>
      </c>
      <c r="DG12" s="249" t="inlineStr">
        <is>
          <t>3,78x</t>
        </is>
      </c>
      <c r="DH12" s="250" t="inlineStr">
        <is>
          <t>75</t>
        </is>
      </c>
      <c r="DI12" s="251" t="inlineStr">
        <is>
          <t>585,03x</t>
        </is>
      </c>
      <c r="DJ12" s="252" t="inlineStr">
        <is>
          <t>99</t>
        </is>
      </c>
      <c r="DK12" s="253" t="inlineStr">
        <is>
          <t>1,48x</t>
        </is>
      </c>
      <c r="DL12" s="254" t="inlineStr">
        <is>
          <t>58</t>
        </is>
      </c>
      <c r="DM12" s="255" t="inlineStr">
        <is>
          <t>51.806</t>
        </is>
      </c>
      <c r="DN12" s="256" t="inlineStr">
        <is>
          <t>512</t>
        </is>
      </c>
      <c r="DO12" s="257" t="inlineStr">
        <is>
          <t>1,00%</t>
        </is>
      </c>
      <c r="DP12" s="258" t="inlineStr">
        <is>
          <t>432.002</t>
        </is>
      </c>
      <c r="DQ12" s="259" t="inlineStr">
        <is>
          <t>37.775</t>
        </is>
      </c>
      <c r="DR12" s="260" t="inlineStr">
        <is>
          <t>9,58%</t>
        </is>
      </c>
      <c r="DS12" s="261" t="inlineStr">
        <is>
          <t>135</t>
        </is>
      </c>
      <c r="DT12" s="262" t="inlineStr">
        <is>
          <t>1</t>
        </is>
      </c>
      <c r="DU12" s="263" t="inlineStr">
        <is>
          <t>0,75%</t>
        </is>
      </c>
      <c r="DV12" s="264" t="inlineStr">
        <is>
          <t>509</t>
        </is>
      </c>
      <c r="DW12" s="265" t="inlineStr">
        <is>
          <t>1</t>
        </is>
      </c>
      <c r="DX12" s="266" t="inlineStr">
        <is>
          <t>0,20%</t>
        </is>
      </c>
      <c r="DY12" s="267" t="inlineStr">
        <is>
          <t>PitchBook Research</t>
        </is>
      </c>
      <c r="DZ12" s="786">
        <f>HYPERLINK("https://my.pitchbook.com?c=81674-02", "View company online")</f>
      </c>
    </row>
    <row r="13">
      <c r="A13" s="9" t="inlineStr">
        <is>
          <t>58634-74</t>
        </is>
      </c>
      <c r="B13" s="10" t="inlineStr">
        <is>
          <t>3D Hubs</t>
        </is>
      </c>
      <c r="C13" s="11" t="inlineStr">
        <is>
          <t/>
        </is>
      </c>
      <c r="D13" s="12" t="inlineStr">
        <is>
          <t/>
        </is>
      </c>
      <c r="E13" s="13" t="inlineStr">
        <is>
          <t>58634-74</t>
        </is>
      </c>
      <c r="F13" s="14" t="inlineStr">
        <is>
          <t>Developer of a three dimensional printing production platform. The company provides an online platform connecting three dimensional printer owners with locally based clients. The service is designed to enable owners of three dimensional printers to generate additional income with their printing technology.</t>
        </is>
      </c>
      <c r="G13" s="15" t="inlineStr">
        <is>
          <t>Business Products and Services (B2B)</t>
        </is>
      </c>
      <c r="H13" s="16" t="inlineStr">
        <is>
          <t>Commercial Services</t>
        </is>
      </c>
      <c r="I13" s="17" t="inlineStr">
        <is>
          <t>Printing Services (B2B)</t>
        </is>
      </c>
      <c r="J13" s="18" t="inlineStr">
        <is>
          <t>Printing Services (B2B)*; Social/Platform Software</t>
        </is>
      </c>
      <c r="K13" s="19" t="inlineStr">
        <is>
          <t>3D Printing</t>
        </is>
      </c>
      <c r="L13" s="20" t="inlineStr">
        <is>
          <t>Venture Capital-Backed</t>
        </is>
      </c>
      <c r="M13" s="21" t="n">
        <v>9.83</v>
      </c>
      <c r="N13" s="22" t="inlineStr">
        <is>
          <t>Generating Revenue</t>
        </is>
      </c>
      <c r="O13" s="23" t="inlineStr">
        <is>
          <t>Privately Held (backing)</t>
        </is>
      </c>
      <c r="P13" s="24" t="inlineStr">
        <is>
          <t>Venture Capital</t>
        </is>
      </c>
      <c r="Q13" s="25" t="inlineStr">
        <is>
          <t>www.3dhubs.com</t>
        </is>
      </c>
      <c r="R13" s="26" t="n">
        <v>85.0</v>
      </c>
      <c r="S13" s="27" t="inlineStr">
        <is>
          <t/>
        </is>
      </c>
      <c r="T13" s="28" t="inlineStr">
        <is>
          <t/>
        </is>
      </c>
      <c r="U13" s="29" t="n">
        <v>2013.0</v>
      </c>
      <c r="V13" s="30" t="inlineStr">
        <is>
          <t/>
        </is>
      </c>
      <c r="W13" s="31" t="inlineStr">
        <is>
          <t/>
        </is>
      </c>
      <c r="X13" s="32" t="inlineStr">
        <is>
          <t/>
        </is>
      </c>
      <c r="Y13" s="33" t="inlineStr">
        <is>
          <t/>
        </is>
      </c>
      <c r="Z13" s="34" t="inlineStr">
        <is>
          <t/>
        </is>
      </c>
      <c r="AA13" s="35" t="inlineStr">
        <is>
          <t/>
        </is>
      </c>
      <c r="AB13" s="36" t="inlineStr">
        <is>
          <t/>
        </is>
      </c>
      <c r="AC13" s="37" t="inlineStr">
        <is>
          <t/>
        </is>
      </c>
      <c r="AD13" s="38" t="inlineStr">
        <is>
          <t/>
        </is>
      </c>
      <c r="AE13" s="39" t="inlineStr">
        <is>
          <t>53148-61P</t>
        </is>
      </c>
      <c r="AF13" s="40" t="inlineStr">
        <is>
          <t>Abram de Zwart</t>
        </is>
      </c>
      <c r="AG13" s="41" t="inlineStr">
        <is>
          <t>Co-Founder, Chief Executive Officer &amp; Board Member</t>
        </is>
      </c>
      <c r="AH13" s="42" t="inlineStr">
        <is>
          <t>bram@3dhubs.com</t>
        </is>
      </c>
      <c r="AI13" s="43" t="inlineStr">
        <is>
          <t>+31 (0)20 261 1900</t>
        </is>
      </c>
      <c r="AJ13" s="44" t="inlineStr">
        <is>
          <t>Amsterdam, Netherlands</t>
        </is>
      </c>
      <c r="AK13" s="45" t="inlineStr">
        <is>
          <t>Herengracht 182</t>
        </is>
      </c>
      <c r="AL13" s="46" t="inlineStr">
        <is>
          <t/>
        </is>
      </c>
      <c r="AM13" s="47" t="inlineStr">
        <is>
          <t>Amsterdam</t>
        </is>
      </c>
      <c r="AN13" s="48" t="inlineStr">
        <is>
          <t/>
        </is>
      </c>
      <c r="AO13" s="49" t="inlineStr">
        <is>
          <t>1016 BR</t>
        </is>
      </c>
      <c r="AP13" s="50" t="inlineStr">
        <is>
          <t>Netherlands</t>
        </is>
      </c>
      <c r="AQ13" s="51" t="inlineStr">
        <is>
          <t>+31 (0)20 261 1900</t>
        </is>
      </c>
      <c r="AR13" s="52" t="inlineStr">
        <is>
          <t/>
        </is>
      </c>
      <c r="AS13" s="53" t="inlineStr">
        <is>
          <t>hello@3dhubs.com</t>
        </is>
      </c>
      <c r="AT13" s="54" t="inlineStr">
        <is>
          <t>Europe</t>
        </is>
      </c>
      <c r="AU13" s="55" t="inlineStr">
        <is>
          <t>Western Europe</t>
        </is>
      </c>
      <c r="AV13" s="56" t="inlineStr">
        <is>
          <t>The company raised $6.99 million of Series B venture funding led by EQT Ventures on July 13, 2016. Balderton Capital, Stichting DOEN, Arthur Kosten and Marcel Beemsterboer also participated. The company will use its new financing to continue making it easier for professionals to access local 3D printing services via an on-demand, online platform.</t>
        </is>
      </c>
      <c r="AW13" s="57" t="inlineStr">
        <is>
          <t>Arthur Kosten, Balderton Capital, DOEN Foundation, EQT Ventures, Marcel Beemsterboer, Michiel Dekkers, RockStart Accelerator, Sander van der Blonk, Zeeburg Investments</t>
        </is>
      </c>
      <c r="AX13" s="58" t="n">
        <v>9.0</v>
      </c>
      <c r="AY13" s="59" t="inlineStr">
        <is>
          <t/>
        </is>
      </c>
      <c r="AZ13" s="60" t="inlineStr">
        <is>
          <t/>
        </is>
      </c>
      <c r="BA13" s="61" t="inlineStr">
        <is>
          <t/>
        </is>
      </c>
      <c r="BB13" s="62" t="inlineStr">
        <is>
          <t>Balderton Capital (www.balderton.com), DOEN Foundation (www.doen.nl), EQT Ventures (www.eqtventures.com), RockStart Accelerator (www.rockstart.com)</t>
        </is>
      </c>
      <c r="BC13" s="63" t="inlineStr">
        <is>
          <t/>
        </is>
      </c>
      <c r="BD13" s="64" t="inlineStr">
        <is>
          <t/>
        </is>
      </c>
      <c r="BE13" s="65" t="inlineStr">
        <is>
          <t>Cooley (Legal Advisor)</t>
        </is>
      </c>
      <c r="BF13" s="66" t="inlineStr">
        <is>
          <t>Cooley (Legal Advisor)</t>
        </is>
      </c>
      <c r="BG13" s="67" t="n">
        <v>41365.0</v>
      </c>
      <c r="BH13" s="68" t="n">
        <v>0.02</v>
      </c>
      <c r="BI13" s="69" t="inlineStr">
        <is>
          <t>Actual</t>
        </is>
      </c>
      <c r="BJ13" s="70" t="inlineStr">
        <is>
          <t/>
        </is>
      </c>
      <c r="BK13" s="71" t="inlineStr">
        <is>
          <t/>
        </is>
      </c>
      <c r="BL13" s="72" t="inlineStr">
        <is>
          <t>Accelerator/Incubator</t>
        </is>
      </c>
      <c r="BM13" s="73" t="inlineStr">
        <is>
          <t/>
        </is>
      </c>
      <c r="BN13" s="74" t="inlineStr">
        <is>
          <t/>
        </is>
      </c>
      <c r="BO13" s="75" t="inlineStr">
        <is>
          <t>Other</t>
        </is>
      </c>
      <c r="BP13" s="76" t="inlineStr">
        <is>
          <t/>
        </is>
      </c>
      <c r="BQ13" s="77" t="inlineStr">
        <is>
          <t/>
        </is>
      </c>
      <c r="BR13" s="78" t="inlineStr">
        <is>
          <t/>
        </is>
      </c>
      <c r="BS13" s="79" t="inlineStr">
        <is>
          <t>Completed</t>
        </is>
      </c>
      <c r="BT13" s="80" t="n">
        <v>42564.0</v>
      </c>
      <c r="BU13" s="81" t="n">
        <v>6.33</v>
      </c>
      <c r="BV13" s="82" t="inlineStr">
        <is>
          <t>Actual</t>
        </is>
      </c>
      <c r="BW13" s="83" t="inlineStr">
        <is>
          <t/>
        </is>
      </c>
      <c r="BX13" s="84" t="inlineStr">
        <is>
          <t/>
        </is>
      </c>
      <c r="BY13" s="85" t="inlineStr">
        <is>
          <t>Early Stage VC</t>
        </is>
      </c>
      <c r="BZ13" s="86" t="inlineStr">
        <is>
          <t>Series B</t>
        </is>
      </c>
      <c r="CA13" s="87" t="inlineStr">
        <is>
          <t/>
        </is>
      </c>
      <c r="CB13" s="88" t="inlineStr">
        <is>
          <t>Venture Capital</t>
        </is>
      </c>
      <c r="CC13" s="89" t="inlineStr">
        <is>
          <t/>
        </is>
      </c>
      <c r="CD13" s="90" t="inlineStr">
        <is>
          <t/>
        </is>
      </c>
      <c r="CE13" s="91" t="inlineStr">
        <is>
          <t/>
        </is>
      </c>
      <c r="CF13" s="92" t="inlineStr">
        <is>
          <t>Completed</t>
        </is>
      </c>
      <c r="CG13" s="93" t="inlineStr">
        <is>
          <t>0,20%</t>
        </is>
      </c>
      <c r="CH13" s="94" t="inlineStr">
        <is>
          <t>78</t>
        </is>
      </c>
      <c r="CI13" s="95" t="inlineStr">
        <is>
          <t>-0,02%</t>
        </is>
      </c>
      <c r="CJ13" s="96" t="inlineStr">
        <is>
          <t>-8,17%</t>
        </is>
      </c>
      <c r="CK13" s="97" t="inlineStr">
        <is>
          <t>0,17%</t>
        </is>
      </c>
      <c r="CL13" s="98" t="inlineStr">
        <is>
          <t>81</t>
        </is>
      </c>
      <c r="CM13" s="99" t="inlineStr">
        <is>
          <t>0,24%</t>
        </is>
      </c>
      <c r="CN13" s="100" t="inlineStr">
        <is>
          <t>77</t>
        </is>
      </c>
      <c r="CO13" s="101" t="inlineStr">
        <is>
          <t>-0,43%</t>
        </is>
      </c>
      <c r="CP13" s="102" t="inlineStr">
        <is>
          <t>23</t>
        </is>
      </c>
      <c r="CQ13" s="103" t="inlineStr">
        <is>
          <t>0,76%</t>
        </is>
      </c>
      <c r="CR13" s="104" t="inlineStr">
        <is>
          <t>88</t>
        </is>
      </c>
      <c r="CS13" s="105" t="inlineStr">
        <is>
          <t>0,16%</t>
        </is>
      </c>
      <c r="CT13" s="106" t="inlineStr">
        <is>
          <t>66</t>
        </is>
      </c>
      <c r="CU13" s="107" t="inlineStr">
        <is>
          <t>0,33%</t>
        </is>
      </c>
      <c r="CV13" s="108" t="inlineStr">
        <is>
          <t>86</t>
        </is>
      </c>
      <c r="CW13" s="109" t="inlineStr">
        <is>
          <t>245,42x</t>
        </is>
      </c>
      <c r="CX13" s="110" t="inlineStr">
        <is>
          <t>99</t>
        </is>
      </c>
      <c r="CY13" s="111" t="inlineStr">
        <is>
          <t>1,73x</t>
        </is>
      </c>
      <c r="CZ13" s="112" t="inlineStr">
        <is>
          <t>0,71%</t>
        </is>
      </c>
      <c r="DA13" s="113" t="inlineStr">
        <is>
          <t>427,51x</t>
        </is>
      </c>
      <c r="DB13" s="114" t="inlineStr">
        <is>
          <t>100</t>
        </is>
      </c>
      <c r="DC13" s="115" t="inlineStr">
        <is>
          <t>63,33x</t>
        </is>
      </c>
      <c r="DD13" s="116" t="inlineStr">
        <is>
          <t>95</t>
        </is>
      </c>
      <c r="DE13" s="117" t="inlineStr">
        <is>
          <t>693,94x</t>
        </is>
      </c>
      <c r="DF13" s="118" t="inlineStr">
        <is>
          <t>99</t>
        </is>
      </c>
      <c r="DG13" s="119" t="inlineStr">
        <is>
          <t>161,08x</t>
        </is>
      </c>
      <c r="DH13" s="120" t="inlineStr">
        <is>
          <t>99</t>
        </is>
      </c>
      <c r="DI13" s="121" t="inlineStr">
        <is>
          <t>53,30x</t>
        </is>
      </c>
      <c r="DJ13" s="122" t="inlineStr">
        <is>
          <t>93</t>
        </is>
      </c>
      <c r="DK13" s="123" t="inlineStr">
        <is>
          <t>73,37x</t>
        </is>
      </c>
      <c r="DL13" s="124" t="inlineStr">
        <is>
          <t>97</t>
        </is>
      </c>
      <c r="DM13" s="125" t="inlineStr">
        <is>
          <t>428.455</t>
        </is>
      </c>
      <c r="DN13" s="126" t="inlineStr">
        <is>
          <t>-5.041</t>
        </is>
      </c>
      <c r="DO13" s="127" t="inlineStr">
        <is>
          <t>-1,16%</t>
        </is>
      </c>
      <c r="DP13" s="128" t="inlineStr">
        <is>
          <t>42.566</t>
        </is>
      </c>
      <c r="DQ13" s="129" t="inlineStr">
        <is>
          <t>56</t>
        </is>
      </c>
      <c r="DR13" s="130" t="inlineStr">
        <is>
          <t>0,13%</t>
        </is>
      </c>
      <c r="DS13" s="131" t="inlineStr">
        <is>
          <t>5.801</t>
        </is>
      </c>
      <c r="DT13" s="132" t="inlineStr">
        <is>
          <t>7</t>
        </is>
      </c>
      <c r="DU13" s="133" t="inlineStr">
        <is>
          <t>0,12%</t>
        </is>
      </c>
      <c r="DV13" s="134" t="inlineStr">
        <is>
          <t>25.151</t>
        </is>
      </c>
      <c r="DW13" s="135" t="inlineStr">
        <is>
          <t>64</t>
        </is>
      </c>
      <c r="DX13" s="136" t="inlineStr">
        <is>
          <t>0,26%</t>
        </is>
      </c>
      <c r="DY13" s="137" t="inlineStr">
        <is>
          <t>PitchBook Research</t>
        </is>
      </c>
      <c r="DZ13" s="785">
        <f>HYPERLINK("https://my.pitchbook.com?c=58634-74", "View company online")</f>
      </c>
    </row>
    <row r="14">
      <c r="A14" s="139" t="inlineStr">
        <is>
          <t>172624-96</t>
        </is>
      </c>
      <c r="B14" s="140" t="inlineStr">
        <is>
          <t>A Cloud Guru</t>
        </is>
      </c>
      <c r="C14" s="141" t="inlineStr">
        <is>
          <t/>
        </is>
      </c>
      <c r="D14" s="142" t="inlineStr">
        <is>
          <t>acloudguru</t>
        </is>
      </c>
      <c r="E14" s="143" t="inlineStr">
        <is>
          <t>172624-96</t>
        </is>
      </c>
      <c r="F14" s="144" t="inlineStr">
        <is>
          <t>Operator of a cloud computing training platform intended to make cloud certification training available to as many people as possible. The company's online cloud training platform offers cloud computing training courses for engineers to make them ready for their AWS certification exams, enabling students to prepare for Amazon Web Services and companies to level up their team.</t>
        </is>
      </c>
      <c r="G14" s="145" t="inlineStr">
        <is>
          <t>Information Technology</t>
        </is>
      </c>
      <c r="H14" s="146" t="inlineStr">
        <is>
          <t>Software</t>
        </is>
      </c>
      <c r="I14" s="147" t="inlineStr">
        <is>
          <t>Educational Software</t>
        </is>
      </c>
      <c r="J14" s="148" t="inlineStr">
        <is>
          <t>Educational Software*; Environmental Services (B2B); Educational and Training Services (B2C)</t>
        </is>
      </c>
      <c r="K14" s="149" t="inlineStr">
        <is>
          <t>EdTech</t>
        </is>
      </c>
      <c r="L14" s="150" t="inlineStr">
        <is>
          <t>Venture Capital-Backed</t>
        </is>
      </c>
      <c r="M14" s="151" t="n">
        <v>6.08</v>
      </c>
      <c r="N14" s="152" t="inlineStr">
        <is>
          <t>Profitable</t>
        </is>
      </c>
      <c r="O14" s="153" t="inlineStr">
        <is>
          <t>Privately Held (backing)</t>
        </is>
      </c>
      <c r="P14" s="154" t="inlineStr">
        <is>
          <t>Venture Capital</t>
        </is>
      </c>
      <c r="Q14" s="155" t="inlineStr">
        <is>
          <t>acloud.guru</t>
        </is>
      </c>
      <c r="R14" s="156" t="inlineStr">
        <is>
          <t/>
        </is>
      </c>
      <c r="S14" s="157" t="inlineStr">
        <is>
          <t/>
        </is>
      </c>
      <c r="T14" s="158" t="inlineStr">
        <is>
          <t/>
        </is>
      </c>
      <c r="U14" s="159" t="n">
        <v>2015.0</v>
      </c>
      <c r="V14" s="160" t="inlineStr">
        <is>
          <t/>
        </is>
      </c>
      <c r="W14" s="161" t="inlineStr">
        <is>
          <t/>
        </is>
      </c>
      <c r="X14" s="162" t="inlineStr">
        <is>
          <t/>
        </is>
      </c>
      <c r="Y14" s="163" t="inlineStr">
        <is>
          <t/>
        </is>
      </c>
      <c r="Z14" s="164" t="inlineStr">
        <is>
          <t/>
        </is>
      </c>
      <c r="AA14" s="165" t="inlineStr">
        <is>
          <t/>
        </is>
      </c>
      <c r="AB14" s="166" t="inlineStr">
        <is>
          <t/>
        </is>
      </c>
      <c r="AC14" s="167" t="inlineStr">
        <is>
          <t/>
        </is>
      </c>
      <c r="AD14" s="168" t="inlineStr">
        <is>
          <t/>
        </is>
      </c>
      <c r="AE14" s="169" t="inlineStr">
        <is>
          <t>168014-89P</t>
        </is>
      </c>
      <c r="AF14" s="170" t="inlineStr">
        <is>
          <t>Ryan Kroonenburg</t>
        </is>
      </c>
      <c r="AG14" s="171" t="inlineStr">
        <is>
          <t>Co-Founder &amp; Solutions Architect</t>
        </is>
      </c>
      <c r="AH14" s="172" t="inlineStr">
        <is>
          <t>ryan@acloud.guru</t>
        </is>
      </c>
      <c r="AI14" s="173" t="inlineStr">
        <is>
          <t/>
        </is>
      </c>
      <c r="AJ14" s="174" t="inlineStr">
        <is>
          <t>London, United Kingdom</t>
        </is>
      </c>
      <c r="AK14" s="175" t="inlineStr">
        <is>
          <t>Carnac Place, Cams Hall Estate</t>
        </is>
      </c>
      <c r="AL14" s="176" t="inlineStr">
        <is>
          <t>Fareham, Hampshire</t>
        </is>
      </c>
      <c r="AM14" s="177" t="inlineStr">
        <is>
          <t>London</t>
        </is>
      </c>
      <c r="AN14" s="178" t="inlineStr">
        <is>
          <t>England</t>
        </is>
      </c>
      <c r="AO14" s="179" t="inlineStr">
        <is>
          <t>PO16 8UY</t>
        </is>
      </c>
      <c r="AP14" s="180" t="inlineStr">
        <is>
          <t>United Kingdom</t>
        </is>
      </c>
      <c r="AQ14" s="181" t="inlineStr">
        <is>
          <t/>
        </is>
      </c>
      <c r="AR14" s="182" t="inlineStr">
        <is>
          <t/>
        </is>
      </c>
      <c r="AS14" s="183" t="inlineStr">
        <is>
          <t/>
        </is>
      </c>
      <c r="AT14" s="184" t="inlineStr">
        <is>
          <t>Europe</t>
        </is>
      </c>
      <c r="AU14" s="185" t="inlineStr">
        <is>
          <t>Western Europe</t>
        </is>
      </c>
      <c r="AV14" s="186" t="inlineStr">
        <is>
          <t>The company raised $7 million of Series A funding from Elephant Venture Capital on July 31, 2017. The company intends to use the funds to expand their training catalog to encompass all major cloud vendors and related technologies in addition to their comprehensive catalog of Amazon Web Services training, introduce certification-prep courses for both Google Cloud Platform and Microsoft Azure and expand training courses for Salesforce and Linux, grow the user base to one million students and expand the US team.</t>
        </is>
      </c>
      <c r="AW14" s="187" t="inlineStr">
        <is>
          <t>Elephant Partners</t>
        </is>
      </c>
      <c r="AX14" s="188" t="n">
        <v>1.0</v>
      </c>
      <c r="AY14" s="189" t="inlineStr">
        <is>
          <t/>
        </is>
      </c>
      <c r="AZ14" s="190" t="inlineStr">
        <is>
          <t/>
        </is>
      </c>
      <c r="BA14" s="191" t="inlineStr">
        <is>
          <t/>
        </is>
      </c>
      <c r="BB14" s="192" t="inlineStr">
        <is>
          <t>Elephant Partners (www.elephantvc.com)</t>
        </is>
      </c>
      <c r="BC14" s="193" t="inlineStr">
        <is>
          <t/>
        </is>
      </c>
      <c r="BD14" s="194" t="inlineStr">
        <is>
          <t/>
        </is>
      </c>
      <c r="BE14" s="195" t="inlineStr">
        <is>
          <t/>
        </is>
      </c>
      <c r="BF14" s="196" t="inlineStr">
        <is>
          <t/>
        </is>
      </c>
      <c r="BG14" s="197" t="n">
        <v>42947.0</v>
      </c>
      <c r="BH14" s="198" t="n">
        <v>6.08</v>
      </c>
      <c r="BI14" s="199" t="inlineStr">
        <is>
          <t>Actual</t>
        </is>
      </c>
      <c r="BJ14" s="200" t="inlineStr">
        <is>
          <t/>
        </is>
      </c>
      <c r="BK14" s="201" t="inlineStr">
        <is>
          <t/>
        </is>
      </c>
      <c r="BL14" s="202" t="inlineStr">
        <is>
          <t>Early Stage VC</t>
        </is>
      </c>
      <c r="BM14" s="203" t="inlineStr">
        <is>
          <t>Series A</t>
        </is>
      </c>
      <c r="BN14" s="204" t="inlineStr">
        <is>
          <t/>
        </is>
      </c>
      <c r="BO14" s="205" t="inlineStr">
        <is>
          <t>Venture Capital</t>
        </is>
      </c>
      <c r="BP14" s="206" t="inlineStr">
        <is>
          <t/>
        </is>
      </c>
      <c r="BQ14" s="207" t="inlineStr">
        <is>
          <t/>
        </is>
      </c>
      <c r="BR14" s="208" t="inlineStr">
        <is>
          <t/>
        </is>
      </c>
      <c r="BS14" s="209" t="inlineStr">
        <is>
          <t>Completed</t>
        </is>
      </c>
      <c r="BT14" s="210" t="n">
        <v>42947.0</v>
      </c>
      <c r="BU14" s="211" t="n">
        <v>6.08</v>
      </c>
      <c r="BV14" s="212" t="inlineStr">
        <is>
          <t>Actual</t>
        </is>
      </c>
      <c r="BW14" s="213" t="inlineStr">
        <is>
          <t/>
        </is>
      </c>
      <c r="BX14" s="214" t="inlineStr">
        <is>
          <t/>
        </is>
      </c>
      <c r="BY14" s="215" t="inlineStr">
        <is>
          <t>Early Stage VC</t>
        </is>
      </c>
      <c r="BZ14" s="216" t="inlineStr">
        <is>
          <t>Series A</t>
        </is>
      </c>
      <c r="CA14" s="217" t="inlineStr">
        <is>
          <t/>
        </is>
      </c>
      <c r="CB14" s="218" t="inlineStr">
        <is>
          <t>Venture Capital</t>
        </is>
      </c>
      <c r="CC14" s="219" t="inlineStr">
        <is>
          <t/>
        </is>
      </c>
      <c r="CD14" s="220" t="inlineStr">
        <is>
          <t/>
        </is>
      </c>
      <c r="CE14" s="221" t="inlineStr">
        <is>
          <t/>
        </is>
      </c>
      <c r="CF14" s="222" t="inlineStr">
        <is>
          <t>Completed</t>
        </is>
      </c>
      <c r="CG14" s="223" t="inlineStr">
        <is>
          <t>0,71%</t>
        </is>
      </c>
      <c r="CH14" s="224" t="inlineStr">
        <is>
          <t>86</t>
        </is>
      </c>
      <c r="CI14" s="225" t="inlineStr">
        <is>
          <t>-0,13%</t>
        </is>
      </c>
      <c r="CJ14" s="226" t="inlineStr">
        <is>
          <t>-15,46%</t>
        </is>
      </c>
      <c r="CK14" s="227" t="inlineStr">
        <is>
          <t>0,22%</t>
        </is>
      </c>
      <c r="CL14" s="228" t="inlineStr">
        <is>
          <t>82</t>
        </is>
      </c>
      <c r="CM14" s="229" t="inlineStr">
        <is>
          <t>1,20%</t>
        </is>
      </c>
      <c r="CN14" s="230" t="inlineStr">
        <is>
          <t>97</t>
        </is>
      </c>
      <c r="CO14" s="231" t="inlineStr">
        <is>
          <t>0,45%</t>
        </is>
      </c>
      <c r="CP14" s="232" t="inlineStr">
        <is>
          <t>81</t>
        </is>
      </c>
      <c r="CQ14" s="233" t="inlineStr">
        <is>
          <t>0,00%</t>
        </is>
      </c>
      <c r="CR14" s="234" t="inlineStr">
        <is>
          <t>13</t>
        </is>
      </c>
      <c r="CS14" s="235" t="inlineStr">
        <is>
          <t>1,00%</t>
        </is>
      </c>
      <c r="CT14" s="236" t="inlineStr">
        <is>
          <t>95</t>
        </is>
      </c>
      <c r="CU14" s="237" t="inlineStr">
        <is>
          <t>1,41%</t>
        </is>
      </c>
      <c r="CV14" s="238" t="inlineStr">
        <is>
          <t>98</t>
        </is>
      </c>
      <c r="CW14" s="239" t="inlineStr">
        <is>
          <t>80,08x</t>
        </is>
      </c>
      <c r="CX14" s="240" t="inlineStr">
        <is>
          <t>97</t>
        </is>
      </c>
      <c r="CY14" s="241" t="inlineStr">
        <is>
          <t>-7,52x</t>
        </is>
      </c>
      <c r="CZ14" s="242" t="inlineStr">
        <is>
          <t>-8,59%</t>
        </is>
      </c>
      <c r="DA14" s="243" t="inlineStr">
        <is>
          <t>137,70x</t>
        </is>
      </c>
      <c r="DB14" s="244" t="inlineStr">
        <is>
          <t>98</t>
        </is>
      </c>
      <c r="DC14" s="245" t="inlineStr">
        <is>
          <t>22,46x</t>
        </is>
      </c>
      <c r="DD14" s="246" t="inlineStr">
        <is>
          <t>90</t>
        </is>
      </c>
      <c r="DE14" s="247" t="inlineStr">
        <is>
          <t>275,18x</t>
        </is>
      </c>
      <c r="DF14" s="248" t="inlineStr">
        <is>
          <t>98</t>
        </is>
      </c>
      <c r="DG14" s="249" t="inlineStr">
        <is>
          <t>0,22x</t>
        </is>
      </c>
      <c r="DH14" s="250" t="inlineStr">
        <is>
          <t>22</t>
        </is>
      </c>
      <c r="DI14" s="251" t="inlineStr">
        <is>
          <t>6,23x</t>
        </is>
      </c>
      <c r="DJ14" s="252" t="inlineStr">
        <is>
          <t>77</t>
        </is>
      </c>
      <c r="DK14" s="253" t="inlineStr">
        <is>
          <t>38,70x</t>
        </is>
      </c>
      <c r="DL14" s="254" t="inlineStr">
        <is>
          <t>95</t>
        </is>
      </c>
      <c r="DM14" s="255" t="inlineStr">
        <is>
          <t>169.907</t>
        </is>
      </c>
      <c r="DN14" s="256" t="inlineStr">
        <is>
          <t>-2.016</t>
        </is>
      </c>
      <c r="DO14" s="257" t="inlineStr">
        <is>
          <t>-1,17%</t>
        </is>
      </c>
      <c r="DP14" s="258" t="inlineStr">
        <is>
          <t>4.958</t>
        </is>
      </c>
      <c r="DQ14" s="259" t="inlineStr">
        <is>
          <t>40</t>
        </is>
      </c>
      <c r="DR14" s="260" t="inlineStr">
        <is>
          <t>0,81%</t>
        </is>
      </c>
      <c r="DS14" s="261" t="inlineStr">
        <is>
          <t>8</t>
        </is>
      </c>
      <c r="DT14" s="262" t="inlineStr">
        <is>
          <t>-1</t>
        </is>
      </c>
      <c r="DU14" s="263" t="inlineStr">
        <is>
          <t>-11,11%</t>
        </is>
      </c>
      <c r="DV14" s="264" t="inlineStr">
        <is>
          <t>13.207</t>
        </is>
      </c>
      <c r="DW14" s="265" t="inlineStr">
        <is>
          <t>159</t>
        </is>
      </c>
      <c r="DX14" s="266" t="inlineStr">
        <is>
          <t>1,22%</t>
        </is>
      </c>
      <c r="DY14" s="267" t="inlineStr">
        <is>
          <t>PitchBook Research</t>
        </is>
      </c>
      <c r="DZ14" s="786">
        <f>HYPERLINK("https://my.pitchbook.com?c=172624-96", "View company online")</f>
      </c>
    </row>
    <row r="15">
      <c r="A15" s="9" t="inlineStr">
        <is>
          <t>108577-54</t>
        </is>
      </c>
      <c r="B15" s="10" t="inlineStr">
        <is>
          <t>Acast</t>
        </is>
      </c>
      <c r="C15" s="11" t="inlineStr">
        <is>
          <t>Acast Stories</t>
        </is>
      </c>
      <c r="D15" s="12" t="inlineStr">
        <is>
          <t/>
        </is>
      </c>
      <c r="E15" s="13" t="inlineStr">
        <is>
          <t>108577-54</t>
        </is>
      </c>
      <c r="F15" s="14" t="inlineStr">
        <is>
          <t>Provider of a curated platform designed to facilitate podcasts. The company's curated platform provides a multidimensional and social application for audio on demand and podcasts enabling users to discover podcasts through friends and recommendations and experience them.</t>
        </is>
      </c>
      <c r="G15" s="15" t="inlineStr">
        <is>
          <t>Information Technology</t>
        </is>
      </c>
      <c r="H15" s="16" t="inlineStr">
        <is>
          <t>Software</t>
        </is>
      </c>
      <c r="I15" s="17" t="inlineStr">
        <is>
          <t>Application Software</t>
        </is>
      </c>
      <c r="J15" s="18" t="inlineStr">
        <is>
          <t>Application Software*; Entertainment Software; Social/Platform Software</t>
        </is>
      </c>
      <c r="K15" s="19" t="inlineStr">
        <is>
          <t>Mobile</t>
        </is>
      </c>
      <c r="L15" s="20" t="inlineStr">
        <is>
          <t>Venture Capital-Backed</t>
        </is>
      </c>
      <c r="M15" s="21" t="n">
        <v>7.58</v>
      </c>
      <c r="N15" s="22" t="inlineStr">
        <is>
          <t>Generating Revenue</t>
        </is>
      </c>
      <c r="O15" s="23" t="inlineStr">
        <is>
          <t>Privately Held (backing)</t>
        </is>
      </c>
      <c r="P15" s="24" t="inlineStr">
        <is>
          <t>Venture Capital</t>
        </is>
      </c>
      <c r="Q15" s="25" t="inlineStr">
        <is>
          <t>www.acast.com</t>
        </is>
      </c>
      <c r="R15" s="26" t="n">
        <v>39.0</v>
      </c>
      <c r="S15" s="27" t="inlineStr">
        <is>
          <t/>
        </is>
      </c>
      <c r="T15" s="28" t="inlineStr">
        <is>
          <t/>
        </is>
      </c>
      <c r="U15" s="29" t="n">
        <v>2013.0</v>
      </c>
      <c r="V15" s="30" t="inlineStr">
        <is>
          <t/>
        </is>
      </c>
      <c r="W15" s="31" t="inlineStr">
        <is>
          <r>
            <rPr>
              <b/>
              <color rgb="ff26854d"/>
              <rFont val="Arial"/>
              <sz val="8.0"/>
            </rPr>
            <t>Deal</t>
          </r>
          <r>
            <rPr>
              <color rgb="ff707070"/>
              <rFont val="Arial"/>
              <sz val="7.0"/>
            </rPr>
            <t xml:space="preserve"> NEW  </t>
          </r>
          <r>
            <rPr>
              <color rgb="ff000000"/>
              <rFont val="Arial"/>
              <sz val="8.0"/>
            </rPr>
            <t>Grant, 2017</t>
          </r>
          <r>
            <rPr>
              <color rgb="ff707070"/>
              <rFont val="Arial"/>
              <sz val="7.0"/>
            </rPr>
            <t xml:space="preserve"> Completed</t>
          </r>
        </is>
      </c>
      <c r="X15" s="32" t="inlineStr">
        <is>
          <r>
            <rPr>
              <b/>
              <color rgb="ff26854d"/>
              <rFont val="Arial"/>
              <sz val="8.0"/>
            </rPr>
            <t>Deal</t>
          </r>
          <r>
            <rPr>
              <color rgb="ff707070"/>
              <rFont val="Arial"/>
              <sz val="7.0"/>
            </rPr>
            <t xml:space="preserve"> NEW  </t>
          </r>
          <r>
            <rPr>
              <color rgb="ff000000"/>
              <rFont val="Arial"/>
              <sz val="8.0"/>
            </rPr>
            <t>Grant, 2017</t>
          </r>
          <r>
            <rPr>
              <color rgb="ff707070"/>
              <rFont val="Arial"/>
              <sz val="7.0"/>
            </rPr>
            <t xml:space="preserve"> Completed</t>
          </r>
        </is>
      </c>
      <c r="Y15" s="33" t="n">
        <v>1.79152</v>
      </c>
      <c r="Z15" s="34" t="inlineStr">
        <is>
          <t/>
        </is>
      </c>
      <c r="AA15" s="35" t="n">
        <v>-3.69329</v>
      </c>
      <c r="AB15" s="36" t="inlineStr">
        <is>
          <t/>
        </is>
      </c>
      <c r="AC15" s="37" t="n">
        <v>-3.65655</v>
      </c>
      <c r="AD15" s="38" t="inlineStr">
        <is>
          <t>FY 2015</t>
        </is>
      </c>
      <c r="AE15" s="39" t="inlineStr">
        <is>
          <t>96801-94P</t>
        </is>
      </c>
      <c r="AF15" s="40" t="inlineStr">
        <is>
          <t>Måns Ulvestam</t>
        </is>
      </c>
      <c r="AG15" s="41" t="inlineStr">
        <is>
          <t>Co-Founder &amp; Chief Executive Officer</t>
        </is>
      </c>
      <c r="AH15" s="42" t="inlineStr">
        <is>
          <t>mans@acast.com</t>
        </is>
      </c>
      <c r="AI15" s="43" t="inlineStr">
        <is>
          <t/>
        </is>
      </c>
      <c r="AJ15" s="44" t="inlineStr">
        <is>
          <t>Stockholm, Sweden</t>
        </is>
      </c>
      <c r="AK15" s="45" t="inlineStr">
        <is>
          <t>Kungsgatan 12</t>
        </is>
      </c>
      <c r="AL15" s="46" t="inlineStr">
        <is>
          <t/>
        </is>
      </c>
      <c r="AM15" s="47" t="inlineStr">
        <is>
          <t>Stockholm</t>
        </is>
      </c>
      <c r="AN15" s="48" t="inlineStr">
        <is>
          <t/>
        </is>
      </c>
      <c r="AO15" s="49" t="inlineStr">
        <is>
          <t>111 35</t>
        </is>
      </c>
      <c r="AP15" s="50" t="inlineStr">
        <is>
          <t>Sweden</t>
        </is>
      </c>
      <c r="AQ15" s="51" t="inlineStr">
        <is>
          <t/>
        </is>
      </c>
      <c r="AR15" s="52" t="inlineStr">
        <is>
          <t/>
        </is>
      </c>
      <c r="AS15" s="53" t="inlineStr">
        <is>
          <t>hello@acast.com</t>
        </is>
      </c>
      <c r="AT15" s="54" t="inlineStr">
        <is>
          <t>Europe</t>
        </is>
      </c>
      <c r="AU15" s="55" t="inlineStr">
        <is>
          <t>Northern Europe</t>
        </is>
      </c>
      <c r="AV15" s="56" t="inlineStr">
        <is>
          <t>The company received an EUR 2.22 million grant from Horizon 2020 on July 3, 2017.</t>
        </is>
      </c>
      <c r="AW15" s="57" t="inlineStr">
        <is>
          <t>Alfven &amp; Didrikson, Bonnier Growth Media, Horizon 2020, MOOR Capital</t>
        </is>
      </c>
      <c r="AX15" s="58" t="n">
        <v>4.0</v>
      </c>
      <c r="AY15" s="59" t="inlineStr">
        <is>
          <t/>
        </is>
      </c>
      <c r="AZ15" s="60" t="inlineStr">
        <is>
          <t/>
        </is>
      </c>
      <c r="BA15" s="61" t="inlineStr">
        <is>
          <t/>
        </is>
      </c>
      <c r="BB15" s="62" t="inlineStr">
        <is>
          <t>Alfven &amp; Didrikson (www.alfvendidrikson.com), Bonnier Growth Media (www.bonniergrowthmedia.com), MOOR Capital (www.moorcap.com)</t>
        </is>
      </c>
      <c r="BC15" s="63" t="inlineStr">
        <is>
          <t/>
        </is>
      </c>
      <c r="BD15" s="64" t="inlineStr">
        <is>
          <t/>
        </is>
      </c>
      <c r="BE15" s="65" t="inlineStr">
        <is>
          <t/>
        </is>
      </c>
      <c r="BF15" s="66" t="inlineStr">
        <is>
          <t/>
        </is>
      </c>
      <c r="BG15" s="67" t="n">
        <v>41680.0</v>
      </c>
      <c r="BH15" s="68" t="inlineStr">
        <is>
          <t/>
        </is>
      </c>
      <c r="BI15" s="69" t="inlineStr">
        <is>
          <t/>
        </is>
      </c>
      <c r="BJ15" s="70" t="inlineStr">
        <is>
          <t/>
        </is>
      </c>
      <c r="BK15" s="71" t="inlineStr">
        <is>
          <t/>
        </is>
      </c>
      <c r="BL15" s="72" t="inlineStr">
        <is>
          <t>Seed Round</t>
        </is>
      </c>
      <c r="BM15" s="73" t="inlineStr">
        <is>
          <t>Seed</t>
        </is>
      </c>
      <c r="BN15" s="74" t="inlineStr">
        <is>
          <t/>
        </is>
      </c>
      <c r="BO15" s="75" t="inlineStr">
        <is>
          <t>Other</t>
        </is>
      </c>
      <c r="BP15" s="76" t="inlineStr">
        <is>
          <t/>
        </is>
      </c>
      <c r="BQ15" s="77" t="inlineStr">
        <is>
          <t/>
        </is>
      </c>
      <c r="BR15" s="78" t="inlineStr">
        <is>
          <t/>
        </is>
      </c>
      <c r="BS15" s="79" t="inlineStr">
        <is>
          <t>Completed</t>
        </is>
      </c>
      <c r="BT15" s="80" t="n">
        <v>42919.0</v>
      </c>
      <c r="BU15" s="81" t="n">
        <v>2.22</v>
      </c>
      <c r="BV15" s="82" t="inlineStr">
        <is>
          <t>Actual</t>
        </is>
      </c>
      <c r="BW15" s="83" t="inlineStr">
        <is>
          <t/>
        </is>
      </c>
      <c r="BX15" s="84" t="inlineStr">
        <is>
          <t/>
        </is>
      </c>
      <c r="BY15" s="85" t="inlineStr">
        <is>
          <t>Grant</t>
        </is>
      </c>
      <c r="BZ15" s="86" t="inlineStr">
        <is>
          <t/>
        </is>
      </c>
      <c r="CA15" s="87" t="inlineStr">
        <is>
          <t/>
        </is>
      </c>
      <c r="CB15" s="88" t="inlineStr">
        <is>
          <t>Other</t>
        </is>
      </c>
      <c r="CC15" s="89" t="inlineStr">
        <is>
          <t/>
        </is>
      </c>
      <c r="CD15" s="90" t="inlineStr">
        <is>
          <t/>
        </is>
      </c>
      <c r="CE15" s="91" t="inlineStr">
        <is>
          <t/>
        </is>
      </c>
      <c r="CF15" s="92" t="inlineStr">
        <is>
          <t>Completed</t>
        </is>
      </c>
      <c r="CG15" s="93" t="inlineStr">
        <is>
          <t>1,68%</t>
        </is>
      </c>
      <c r="CH15" s="94" t="inlineStr">
        <is>
          <t>92</t>
        </is>
      </c>
      <c r="CI15" s="95" t="inlineStr">
        <is>
          <t>0,38%</t>
        </is>
      </c>
      <c r="CJ15" s="96" t="inlineStr">
        <is>
          <t>28,85%</t>
        </is>
      </c>
      <c r="CK15" s="97" t="inlineStr">
        <is>
          <t>0,77%</t>
        </is>
      </c>
      <c r="CL15" s="98" t="inlineStr">
        <is>
          <t>85</t>
        </is>
      </c>
      <c r="CM15" s="99" t="inlineStr">
        <is>
          <t>0,59%</t>
        </is>
      </c>
      <c r="CN15" s="100" t="inlineStr">
        <is>
          <t>92</t>
        </is>
      </c>
      <c r="CO15" s="101" t="inlineStr">
        <is>
          <t>0,07%</t>
        </is>
      </c>
      <c r="CP15" s="102" t="inlineStr">
        <is>
          <t>79</t>
        </is>
      </c>
      <c r="CQ15" s="103" t="inlineStr">
        <is>
          <t>1,48%</t>
        </is>
      </c>
      <c r="CR15" s="104" t="inlineStr">
        <is>
          <t>90</t>
        </is>
      </c>
      <c r="CS15" s="105" t="inlineStr">
        <is>
          <t>0,58%</t>
        </is>
      </c>
      <c r="CT15" s="106" t="inlineStr">
        <is>
          <t>89</t>
        </is>
      </c>
      <c r="CU15" s="107" t="inlineStr">
        <is>
          <t>0,60%</t>
        </is>
      </c>
      <c r="CV15" s="108" t="inlineStr">
        <is>
          <t>94</t>
        </is>
      </c>
      <c r="CW15" s="109" t="inlineStr">
        <is>
          <t>110,78x</t>
        </is>
      </c>
      <c r="CX15" s="110" t="inlineStr">
        <is>
          <t>98</t>
        </is>
      </c>
      <c r="CY15" s="111" t="inlineStr">
        <is>
          <t>1,13x</t>
        </is>
      </c>
      <c r="CZ15" s="112" t="inlineStr">
        <is>
          <t>1,03%</t>
        </is>
      </c>
      <c r="DA15" s="113" t="inlineStr">
        <is>
          <t>323,17x</t>
        </is>
      </c>
      <c r="DB15" s="114" t="inlineStr">
        <is>
          <t>99</t>
        </is>
      </c>
      <c r="DC15" s="115" t="inlineStr">
        <is>
          <t>7,74x</t>
        </is>
      </c>
      <c r="DD15" s="116" t="inlineStr">
        <is>
          <t>81</t>
        </is>
      </c>
      <c r="DE15" s="117" t="inlineStr">
        <is>
          <t>463,12x</t>
        </is>
      </c>
      <c r="DF15" s="118" t="inlineStr">
        <is>
          <t>99</t>
        </is>
      </c>
      <c r="DG15" s="119" t="inlineStr">
        <is>
          <t>183,22x</t>
        </is>
      </c>
      <c r="DH15" s="120" t="inlineStr">
        <is>
          <t>100</t>
        </is>
      </c>
      <c r="DI15" s="121" t="inlineStr">
        <is>
          <t>3,89x</t>
        </is>
      </c>
      <c r="DJ15" s="122" t="inlineStr">
        <is>
          <t>72</t>
        </is>
      </c>
      <c r="DK15" s="123" t="inlineStr">
        <is>
          <t>11,59x</t>
        </is>
      </c>
      <c r="DL15" s="124" t="inlineStr">
        <is>
          <t>87</t>
        </is>
      </c>
      <c r="DM15" s="125" t="inlineStr">
        <is>
          <t>284.559</t>
        </is>
      </c>
      <c r="DN15" s="126" t="inlineStr">
        <is>
          <t>776</t>
        </is>
      </c>
      <c r="DO15" s="127" t="inlineStr">
        <is>
          <t>0,27%</t>
        </is>
      </c>
      <c r="DP15" s="128" t="inlineStr">
        <is>
          <t>3.100</t>
        </is>
      </c>
      <c r="DQ15" s="129" t="inlineStr">
        <is>
          <t>23</t>
        </is>
      </c>
      <c r="DR15" s="130" t="inlineStr">
        <is>
          <t>0,75%</t>
        </is>
      </c>
      <c r="DS15" s="131" t="inlineStr">
        <is>
          <t>6.578</t>
        </is>
      </c>
      <c r="DT15" s="132" t="inlineStr">
        <is>
          <t>48</t>
        </is>
      </c>
      <c r="DU15" s="133" t="inlineStr">
        <is>
          <t>0,74%</t>
        </is>
      </c>
      <c r="DV15" s="134" t="inlineStr">
        <is>
          <t>3.964</t>
        </is>
      </c>
      <c r="DW15" s="135" t="inlineStr">
        <is>
          <t>8</t>
        </is>
      </c>
      <c r="DX15" s="136" t="inlineStr">
        <is>
          <t>0,20%</t>
        </is>
      </c>
      <c r="DY15" s="137" t="inlineStr">
        <is>
          <t>PitchBook Research</t>
        </is>
      </c>
      <c r="DZ15" s="785">
        <f>HYPERLINK("https://my.pitchbook.com?c=108577-54", "View company online")</f>
      </c>
    </row>
    <row r="16">
      <c r="A16" s="139" t="inlineStr">
        <is>
          <t>64576-81</t>
        </is>
      </c>
      <c r="B16" s="140" t="inlineStr">
        <is>
          <t>AccessPay</t>
        </is>
      </c>
      <c r="C16" s="141" t="inlineStr">
        <is>
          <t/>
        </is>
      </c>
      <c r="D16" s="142" t="inlineStr">
        <is>
          <t/>
        </is>
      </c>
      <c r="E16" s="143" t="inlineStr">
        <is>
          <t>64576-81</t>
        </is>
      </c>
      <c r="F16" s="144" t="inlineStr">
        <is>
          <t>Developer of a cloud-based payment management platform designed to transform the way business payments are sent and received. The company's AccessPay platform offers services for Single Euro Payments Area (SEPA) credit transfers, direct debits and multi-bank cash management, enabling businesses to make payments easier and more secure.</t>
        </is>
      </c>
      <c r="G16" s="145" t="inlineStr">
        <is>
          <t>Information Technology</t>
        </is>
      </c>
      <c r="H16" s="146" t="inlineStr">
        <is>
          <t>Software</t>
        </is>
      </c>
      <c r="I16" s="147" t="inlineStr">
        <is>
          <t>Financial Software</t>
        </is>
      </c>
      <c r="J16" s="148" t="inlineStr">
        <is>
          <t>Financial Software*; Other Financial Services</t>
        </is>
      </c>
      <c r="K16" s="149" t="inlineStr">
        <is>
          <t>FinTech, SaaS</t>
        </is>
      </c>
      <c r="L16" s="150" t="inlineStr">
        <is>
          <t>Venture Capital-Backed</t>
        </is>
      </c>
      <c r="M16" s="151" t="n">
        <v>10.8</v>
      </c>
      <c r="N16" s="152" t="inlineStr">
        <is>
          <t>Generating Revenue</t>
        </is>
      </c>
      <c r="O16" s="153" t="inlineStr">
        <is>
          <t>Privately Held (backing)</t>
        </is>
      </c>
      <c r="P16" s="154" t="inlineStr">
        <is>
          <t>Venture Capital</t>
        </is>
      </c>
      <c r="Q16" s="155" t="inlineStr">
        <is>
          <t>www.accesspay.com</t>
        </is>
      </c>
      <c r="R16" s="156" t="n">
        <v>35.0</v>
      </c>
      <c r="S16" s="157" t="inlineStr">
        <is>
          <t/>
        </is>
      </c>
      <c r="T16" s="158" t="inlineStr">
        <is>
          <t/>
        </is>
      </c>
      <c r="U16" s="159" t="n">
        <v>2012.0</v>
      </c>
      <c r="V16" s="160" t="inlineStr">
        <is>
          <t/>
        </is>
      </c>
      <c r="W16" s="161" t="inlineStr">
        <is>
          <t/>
        </is>
      </c>
      <c r="X16" s="162" t="inlineStr">
        <is>
          <t/>
        </is>
      </c>
      <c r="Y16" s="163" t="n">
        <v>2.80388</v>
      </c>
      <c r="Z16" s="164" t="n">
        <v>1.97206</v>
      </c>
      <c r="AA16" s="165" t="n">
        <v>-1.16828</v>
      </c>
      <c r="AB16" s="166" t="inlineStr">
        <is>
          <t/>
        </is>
      </c>
      <c r="AC16" s="167" t="n">
        <v>-1.6169</v>
      </c>
      <c r="AD16" s="168" t="inlineStr">
        <is>
          <t>FY 2017</t>
        </is>
      </c>
      <c r="AE16" s="169" t="inlineStr">
        <is>
          <t>96700-96P</t>
        </is>
      </c>
      <c r="AF16" s="170" t="inlineStr">
        <is>
          <t>Ali Moiyed</t>
        </is>
      </c>
      <c r="AG16" s="171" t="inlineStr">
        <is>
          <t>Founder, President &amp; Chairman</t>
        </is>
      </c>
      <c r="AH16" s="172" t="inlineStr">
        <is>
          <t>ali@accesspay.com</t>
        </is>
      </c>
      <c r="AI16" s="173" t="inlineStr">
        <is>
          <t>+44 (0)20 3282 7152</t>
        </is>
      </c>
      <c r="AJ16" s="174" t="inlineStr">
        <is>
          <t>Manchester, United Kingdom</t>
        </is>
      </c>
      <c r="AK16" s="175" t="inlineStr">
        <is>
          <t>City Tower</t>
        </is>
      </c>
      <c r="AL16" s="176" t="inlineStr">
        <is>
          <t>Piccadilly Plaza</t>
        </is>
      </c>
      <c r="AM16" s="177" t="inlineStr">
        <is>
          <t>Manchester</t>
        </is>
      </c>
      <c r="AN16" s="178" t="inlineStr">
        <is>
          <t>England</t>
        </is>
      </c>
      <c r="AO16" s="179" t="inlineStr">
        <is>
          <t>M1 4BT</t>
        </is>
      </c>
      <c r="AP16" s="180" t="inlineStr">
        <is>
          <t>United Kingdom</t>
        </is>
      </c>
      <c r="AQ16" s="181" t="inlineStr">
        <is>
          <t>+44 (0)20 3282 7152</t>
        </is>
      </c>
      <c r="AR16" s="182" t="inlineStr">
        <is>
          <t/>
        </is>
      </c>
      <c r="AS16" s="183" t="inlineStr">
        <is>
          <t>info@accesspay.com</t>
        </is>
      </c>
      <c r="AT16" s="184" t="inlineStr">
        <is>
          <t>Europe</t>
        </is>
      </c>
      <c r="AU16" s="185" t="inlineStr">
        <is>
          <t>Western Europe</t>
        </is>
      </c>
      <c r="AV16" s="186" t="inlineStr">
        <is>
          <t>The company received GBP 2 million of debt financing from Clydesdale Bank on April 13, 2017. The company is using the proceeds to triple the staff base in Manchester (up to 60 new members of staff, including developers, sales, operations and marketing, before the end of 2017) and open a US office.</t>
        </is>
      </c>
      <c r="AW16" s="187" t="inlineStr">
        <is>
          <t>Route 66 Ventures, True Ventures</t>
        </is>
      </c>
      <c r="AX16" s="188" t="n">
        <v>2.0</v>
      </c>
      <c r="AY16" s="189" t="inlineStr">
        <is>
          <t/>
        </is>
      </c>
      <c r="AZ16" s="190" t="inlineStr">
        <is>
          <t/>
        </is>
      </c>
      <c r="BA16" s="191" t="inlineStr">
        <is>
          <t/>
        </is>
      </c>
      <c r="BB16" s="192" t="inlineStr">
        <is>
          <t>Route 66 Ventures (www.route66ventures.com), True Ventures (www.trueventures.com)</t>
        </is>
      </c>
      <c r="BC16" s="193" t="inlineStr">
        <is>
          <t/>
        </is>
      </c>
      <c r="BD16" s="194" t="inlineStr">
        <is>
          <t/>
        </is>
      </c>
      <c r="BE16" s="195" t="inlineStr">
        <is>
          <t>KPMG (Auditor), Barclays Bank (Auditor)</t>
        </is>
      </c>
      <c r="BF16" s="196" t="inlineStr">
        <is>
          <t>Clydesdale Bank, Barclays</t>
        </is>
      </c>
      <c r="BG16" s="197" t="n">
        <v>41116.0</v>
      </c>
      <c r="BH16" s="198" t="n">
        <v>1.06</v>
      </c>
      <c r="BI16" s="199" t="inlineStr">
        <is>
          <t>Actual</t>
        </is>
      </c>
      <c r="BJ16" s="200" t="inlineStr">
        <is>
          <t/>
        </is>
      </c>
      <c r="BK16" s="201" t="inlineStr">
        <is>
          <t/>
        </is>
      </c>
      <c r="BL16" s="202" t="inlineStr">
        <is>
          <t>Early Stage VC</t>
        </is>
      </c>
      <c r="BM16" s="203" t="inlineStr">
        <is>
          <t/>
        </is>
      </c>
      <c r="BN16" s="204" t="inlineStr">
        <is>
          <t/>
        </is>
      </c>
      <c r="BO16" s="205" t="inlineStr">
        <is>
          <t>Venture Capital</t>
        </is>
      </c>
      <c r="BP16" s="206" t="inlineStr">
        <is>
          <t/>
        </is>
      </c>
      <c r="BQ16" s="207" t="inlineStr">
        <is>
          <t/>
        </is>
      </c>
      <c r="BR16" s="208" t="inlineStr">
        <is>
          <t/>
        </is>
      </c>
      <c r="BS16" s="209" t="inlineStr">
        <is>
          <t>Completed</t>
        </is>
      </c>
      <c r="BT16" s="210" t="n">
        <v>42838.0</v>
      </c>
      <c r="BU16" s="211" t="n">
        <v>2.36</v>
      </c>
      <c r="BV16" s="212" t="inlineStr">
        <is>
          <t>Actual</t>
        </is>
      </c>
      <c r="BW16" s="213" t="inlineStr">
        <is>
          <t/>
        </is>
      </c>
      <c r="BX16" s="214" t="inlineStr">
        <is>
          <t/>
        </is>
      </c>
      <c r="BY16" s="215" t="inlineStr">
        <is>
          <t>Debt - General</t>
        </is>
      </c>
      <c r="BZ16" s="216" t="inlineStr">
        <is>
          <t/>
        </is>
      </c>
      <c r="CA16" s="217" t="inlineStr">
        <is>
          <t/>
        </is>
      </c>
      <c r="CB16" s="218" t="inlineStr">
        <is>
          <t>Debt</t>
        </is>
      </c>
      <c r="CC16" s="219" t="inlineStr">
        <is>
          <t>Other Debt</t>
        </is>
      </c>
      <c r="CD16" s="220" t="inlineStr">
        <is>
          <t/>
        </is>
      </c>
      <c r="CE16" s="221" t="inlineStr">
        <is>
          <t/>
        </is>
      </c>
      <c r="CF16" s="222" t="inlineStr">
        <is>
          <t>Completed</t>
        </is>
      </c>
      <c r="CG16" s="223" t="inlineStr">
        <is>
          <t>-0,22%</t>
        </is>
      </c>
      <c r="CH16" s="224" t="inlineStr">
        <is>
          <t>12</t>
        </is>
      </c>
      <c r="CI16" s="225" t="inlineStr">
        <is>
          <t>-0,05%</t>
        </is>
      </c>
      <c r="CJ16" s="226" t="inlineStr">
        <is>
          <t>-30,68%</t>
        </is>
      </c>
      <c r="CK16" s="227" t="inlineStr">
        <is>
          <t>-1,10%</t>
        </is>
      </c>
      <c r="CL16" s="228" t="inlineStr">
        <is>
          <t>8</t>
        </is>
      </c>
      <c r="CM16" s="229" t="inlineStr">
        <is>
          <t>0,66%</t>
        </is>
      </c>
      <c r="CN16" s="230" t="inlineStr">
        <is>
          <t>93</t>
        </is>
      </c>
      <c r="CO16" s="231" t="inlineStr">
        <is>
          <t>-2,91%</t>
        </is>
      </c>
      <c r="CP16" s="232" t="inlineStr">
        <is>
          <t>12</t>
        </is>
      </c>
      <c r="CQ16" s="233" t="inlineStr">
        <is>
          <t>0,71%</t>
        </is>
      </c>
      <c r="CR16" s="234" t="inlineStr">
        <is>
          <t>87</t>
        </is>
      </c>
      <c r="CS16" s="235" t="inlineStr">
        <is>
          <t>0,62%</t>
        </is>
      </c>
      <c r="CT16" s="236" t="inlineStr">
        <is>
          <t>90</t>
        </is>
      </c>
      <c r="CU16" s="237" t="inlineStr">
        <is>
          <t>0,70%</t>
        </is>
      </c>
      <c r="CV16" s="238" t="inlineStr">
        <is>
          <t>95</t>
        </is>
      </c>
      <c r="CW16" s="239" t="inlineStr">
        <is>
          <t>5,66x</t>
        </is>
      </c>
      <c r="CX16" s="240" t="inlineStr">
        <is>
          <t>80</t>
        </is>
      </c>
      <c r="CY16" s="241" t="inlineStr">
        <is>
          <t>0,15x</t>
        </is>
      </c>
      <c r="CZ16" s="242" t="inlineStr">
        <is>
          <t>2,67%</t>
        </is>
      </c>
      <c r="DA16" s="243" t="inlineStr">
        <is>
          <t>7,59x</t>
        </is>
      </c>
      <c r="DB16" s="244" t="inlineStr">
        <is>
          <t>85</t>
        </is>
      </c>
      <c r="DC16" s="245" t="inlineStr">
        <is>
          <t>3,74x</t>
        </is>
      </c>
      <c r="DD16" s="246" t="inlineStr">
        <is>
          <t>72</t>
        </is>
      </c>
      <c r="DE16" s="247" t="inlineStr">
        <is>
          <t>3,02x</t>
        </is>
      </c>
      <c r="DF16" s="248" t="inlineStr">
        <is>
          <t>70</t>
        </is>
      </c>
      <c r="DG16" s="249" t="inlineStr">
        <is>
          <t>12,17x</t>
        </is>
      </c>
      <c r="DH16" s="250" t="inlineStr">
        <is>
          <t>88</t>
        </is>
      </c>
      <c r="DI16" s="251" t="inlineStr">
        <is>
          <t>0,21x</t>
        </is>
      </c>
      <c r="DJ16" s="252" t="inlineStr">
        <is>
          <t>24</t>
        </is>
      </c>
      <c r="DK16" s="253" t="inlineStr">
        <is>
          <t>7,27x</t>
        </is>
      </c>
      <c r="DL16" s="254" t="inlineStr">
        <is>
          <t>83</t>
        </is>
      </c>
      <c r="DM16" s="255" t="inlineStr">
        <is>
          <t>1.909</t>
        </is>
      </c>
      <c r="DN16" s="256" t="inlineStr">
        <is>
          <t>-165</t>
        </is>
      </c>
      <c r="DO16" s="257" t="inlineStr">
        <is>
          <t>-7,96%</t>
        </is>
      </c>
      <c r="DP16" s="258" t="inlineStr">
        <is>
          <t>165</t>
        </is>
      </c>
      <c r="DQ16" s="259" t="inlineStr">
        <is>
          <t>1</t>
        </is>
      </c>
      <c r="DR16" s="260" t="inlineStr">
        <is>
          <t>0,61%</t>
        </is>
      </c>
      <c r="DS16" s="261" t="inlineStr">
        <is>
          <t>436</t>
        </is>
      </c>
      <c r="DT16" s="262" t="inlineStr">
        <is>
          <t>3</t>
        </is>
      </c>
      <c r="DU16" s="263" t="inlineStr">
        <is>
          <t>0,69%</t>
        </is>
      </c>
      <c r="DV16" s="264" t="inlineStr">
        <is>
          <t>2.491</t>
        </is>
      </c>
      <c r="DW16" s="265" t="inlineStr">
        <is>
          <t>17</t>
        </is>
      </c>
      <c r="DX16" s="266" t="inlineStr">
        <is>
          <t>0,69%</t>
        </is>
      </c>
      <c r="DY16" s="267" t="inlineStr">
        <is>
          <t>PitchBook Research</t>
        </is>
      </c>
      <c r="DZ16" s="786">
        <f>HYPERLINK("https://my.pitchbook.com?c=64576-81", "View company online")</f>
      </c>
    </row>
    <row r="17">
      <c r="A17" s="9" t="inlineStr">
        <is>
          <t>167047-57</t>
        </is>
      </c>
      <c r="B17" s="10" t="inlineStr">
        <is>
          <t>Achilles Therapeutics</t>
        </is>
      </c>
      <c r="C17" s="11" t="inlineStr">
        <is>
          <t>AchillesTx</t>
        </is>
      </c>
      <c r="D17" s="12" t="inlineStr">
        <is>
          <t/>
        </is>
      </c>
      <c r="E17" s="13" t="inlineStr">
        <is>
          <t>167047-57</t>
        </is>
      </c>
      <c r="F17" s="14" t="inlineStr">
        <is>
          <t>Developer of immunotherapies for cancer. The company develops patient-specific therapies to target truncal neo-antigens ans protein markers unique to each individual that harness the immune system to destroy cancer cells.</t>
        </is>
      </c>
      <c r="G17" s="15" t="inlineStr">
        <is>
          <t>Healthcare</t>
        </is>
      </c>
      <c r="H17" s="16" t="inlineStr">
        <is>
          <t>Pharmaceuticals and Biotechnology</t>
        </is>
      </c>
      <c r="I17" s="17" t="inlineStr">
        <is>
          <t>Biotechnology</t>
        </is>
      </c>
      <c r="J17" s="18" t="inlineStr">
        <is>
          <t>Biotechnology*</t>
        </is>
      </c>
      <c r="K17" s="19" t="inlineStr">
        <is>
          <t>Life Sciences, Oncology</t>
        </is>
      </c>
      <c r="L17" s="20" t="inlineStr">
        <is>
          <t>Venture Capital-Backed</t>
        </is>
      </c>
      <c r="M17" s="21" t="n">
        <v>14.8</v>
      </c>
      <c r="N17" s="22" t="inlineStr">
        <is>
          <t>Startup</t>
        </is>
      </c>
      <c r="O17" s="23" t="inlineStr">
        <is>
          <t>Privately Held (backing)</t>
        </is>
      </c>
      <c r="P17" s="24" t="inlineStr">
        <is>
          <t>Venture Capital</t>
        </is>
      </c>
      <c r="Q17" s="25" t="inlineStr">
        <is>
          <t>achillestx.com</t>
        </is>
      </c>
      <c r="R17" s="26" t="n">
        <v>9.0</v>
      </c>
      <c r="S17" s="27" t="inlineStr">
        <is>
          <t/>
        </is>
      </c>
      <c r="T17" s="28" t="inlineStr">
        <is>
          <t/>
        </is>
      </c>
      <c r="U17" s="29" t="n">
        <v>2016.0</v>
      </c>
      <c r="V17" s="30" t="inlineStr">
        <is>
          <t/>
        </is>
      </c>
      <c r="W17" s="31" t="inlineStr">
        <is>
          <t/>
        </is>
      </c>
      <c r="X17" s="32" t="inlineStr">
        <is>
          <t/>
        </is>
      </c>
      <c r="Y17" s="33" t="inlineStr">
        <is>
          <t/>
        </is>
      </c>
      <c r="Z17" s="34" t="inlineStr">
        <is>
          <t/>
        </is>
      </c>
      <c r="AA17" s="35" t="inlineStr">
        <is>
          <t/>
        </is>
      </c>
      <c r="AB17" s="36" t="inlineStr">
        <is>
          <t/>
        </is>
      </c>
      <c r="AC17" s="37" t="inlineStr">
        <is>
          <t/>
        </is>
      </c>
      <c r="AD17" s="38" t="inlineStr">
        <is>
          <t/>
        </is>
      </c>
      <c r="AE17" s="39" t="inlineStr">
        <is>
          <t>63947-80P</t>
        </is>
      </c>
      <c r="AF17" s="40" t="inlineStr">
        <is>
          <t>Christopher Ashton</t>
        </is>
      </c>
      <c r="AG17" s="41" t="inlineStr">
        <is>
          <t>Chief Executive Officer &amp; Board Member</t>
        </is>
      </c>
      <c r="AH17" s="42" t="inlineStr">
        <is>
          <t>christopher@pulmagen.com</t>
        </is>
      </c>
      <c r="AI17" s="43" t="inlineStr">
        <is>
          <t>+44 (0)17 5325 1345</t>
        </is>
      </c>
      <c r="AJ17" s="44" t="inlineStr">
        <is>
          <t>London, United Kingdom</t>
        </is>
      </c>
      <c r="AK17" s="45" t="inlineStr">
        <is>
          <t>C/o Syncona Partners</t>
        </is>
      </c>
      <c r="AL17" s="46" t="inlineStr">
        <is>
          <t>215 Euston Road</t>
        </is>
      </c>
      <c r="AM17" s="47" t="inlineStr">
        <is>
          <t>London</t>
        </is>
      </c>
      <c r="AN17" s="48" t="inlineStr">
        <is>
          <t>England</t>
        </is>
      </c>
      <c r="AO17" s="49" t="inlineStr">
        <is>
          <t>NW1 2BE</t>
        </is>
      </c>
      <c r="AP17" s="50" t="inlineStr">
        <is>
          <t>United Kingdom</t>
        </is>
      </c>
      <c r="AQ17" s="51" t="inlineStr">
        <is>
          <t>+44 (0)20 7611 2031</t>
        </is>
      </c>
      <c r="AR17" s="52" t="inlineStr">
        <is>
          <t>+44 (0)20 7611 2032</t>
        </is>
      </c>
      <c r="AS17" s="53" t="inlineStr">
        <is>
          <t>info@achillestx.com</t>
        </is>
      </c>
      <c r="AT17" s="54" t="inlineStr">
        <is>
          <t>Europe</t>
        </is>
      </c>
      <c r="AU17" s="55" t="inlineStr">
        <is>
          <t>Western Europe</t>
        </is>
      </c>
      <c r="AV17" s="56" t="inlineStr">
        <is>
          <t>The company raised GBP 13.2 million of Series A venture funding in a deal led by Syncona Partners on October 5, 2016. Cancer Research Technology and University College London also participated in the round.</t>
        </is>
      </c>
      <c r="AW17" s="57" t="inlineStr">
        <is>
          <t>Albion Capital, Cancer Research Technology, Sixth Element Capital, Syncona, University College London</t>
        </is>
      </c>
      <c r="AX17" s="58" t="n">
        <v>5.0</v>
      </c>
      <c r="AY17" s="59" t="inlineStr">
        <is>
          <t/>
        </is>
      </c>
      <c r="AZ17" s="60" t="inlineStr">
        <is>
          <t/>
        </is>
      </c>
      <c r="BA17" s="61" t="inlineStr">
        <is>
          <t/>
        </is>
      </c>
      <c r="BB17" s="62" t="inlineStr">
        <is>
          <t>Cancer Research Technology (commercial.cancerresearchuk.org), Sixth Element Capital (www.sixthelementcapital.com), Syncona (www.synconaltd.com), University College London (www.ucl.ac.uk)</t>
        </is>
      </c>
      <c r="BC17" s="63" t="inlineStr">
        <is>
          <t/>
        </is>
      </c>
      <c r="BD17" s="64" t="inlineStr">
        <is>
          <t/>
        </is>
      </c>
      <c r="BE17" s="65" t="inlineStr">
        <is>
          <t/>
        </is>
      </c>
      <c r="BF17" s="66" t="inlineStr">
        <is>
          <t/>
        </is>
      </c>
      <c r="BG17" s="67" t="n">
        <v>42648.0</v>
      </c>
      <c r="BH17" s="68" t="n">
        <v>14.8</v>
      </c>
      <c r="BI17" s="69" t="inlineStr">
        <is>
          <t>Actual</t>
        </is>
      </c>
      <c r="BJ17" s="70" t="inlineStr">
        <is>
          <t/>
        </is>
      </c>
      <c r="BK17" s="71" t="inlineStr">
        <is>
          <t/>
        </is>
      </c>
      <c r="BL17" s="72" t="inlineStr">
        <is>
          <t>Early Stage VC</t>
        </is>
      </c>
      <c r="BM17" s="73" t="inlineStr">
        <is>
          <t>Series A</t>
        </is>
      </c>
      <c r="BN17" s="74" t="inlineStr">
        <is>
          <t/>
        </is>
      </c>
      <c r="BO17" s="75" t="inlineStr">
        <is>
          <t>Venture Capital</t>
        </is>
      </c>
      <c r="BP17" s="76" t="inlineStr">
        <is>
          <t/>
        </is>
      </c>
      <c r="BQ17" s="77" t="inlineStr">
        <is>
          <t/>
        </is>
      </c>
      <c r="BR17" s="78" t="inlineStr">
        <is>
          <t/>
        </is>
      </c>
      <c r="BS17" s="79" t="inlineStr">
        <is>
          <t>Completed</t>
        </is>
      </c>
      <c r="BT17" s="80" t="n">
        <v>42648.0</v>
      </c>
      <c r="BU17" s="81" t="n">
        <v>14.8</v>
      </c>
      <c r="BV17" s="82" t="inlineStr">
        <is>
          <t>Actual</t>
        </is>
      </c>
      <c r="BW17" s="83" t="inlineStr">
        <is>
          <t/>
        </is>
      </c>
      <c r="BX17" s="84" t="inlineStr">
        <is>
          <t/>
        </is>
      </c>
      <c r="BY17" s="85" t="inlineStr">
        <is>
          <t>Early Stage VC</t>
        </is>
      </c>
      <c r="BZ17" s="86" t="inlineStr">
        <is>
          <t>Series A</t>
        </is>
      </c>
      <c r="CA17" s="87" t="inlineStr">
        <is>
          <t/>
        </is>
      </c>
      <c r="CB17" s="88" t="inlineStr">
        <is>
          <t>Venture Capital</t>
        </is>
      </c>
      <c r="CC17" s="89" t="inlineStr">
        <is>
          <t/>
        </is>
      </c>
      <c r="CD17" s="90" t="inlineStr">
        <is>
          <t/>
        </is>
      </c>
      <c r="CE17" s="91" t="inlineStr">
        <is>
          <t/>
        </is>
      </c>
      <c r="CF17" s="92" t="inlineStr">
        <is>
          <t>Completed</t>
        </is>
      </c>
      <c r="CG17" s="93" t="inlineStr">
        <is>
          <t/>
        </is>
      </c>
      <c r="CH17" s="94" t="inlineStr">
        <is>
          <t/>
        </is>
      </c>
      <c r="CI17" s="95" t="inlineStr">
        <is>
          <t/>
        </is>
      </c>
      <c r="CJ17" s="96" t="inlineStr">
        <is>
          <t/>
        </is>
      </c>
      <c r="CK17" s="97" t="inlineStr">
        <is>
          <t/>
        </is>
      </c>
      <c r="CL17" s="98" t="inlineStr">
        <is>
          <t/>
        </is>
      </c>
      <c r="CM17" s="99" t="inlineStr">
        <is>
          <t/>
        </is>
      </c>
      <c r="CN17" s="100" t="inlineStr">
        <is>
          <t/>
        </is>
      </c>
      <c r="CO17" s="101" t="inlineStr">
        <is>
          <t/>
        </is>
      </c>
      <c r="CP17" s="102" t="inlineStr">
        <is>
          <t/>
        </is>
      </c>
      <c r="CQ17" s="103" t="inlineStr">
        <is>
          <t/>
        </is>
      </c>
      <c r="CR17" s="104" t="inlineStr">
        <is>
          <t/>
        </is>
      </c>
      <c r="CS17" s="105" t="inlineStr">
        <is>
          <t/>
        </is>
      </c>
      <c r="CT17" s="106" t="inlineStr">
        <is>
          <t/>
        </is>
      </c>
      <c r="CU17" s="107" t="inlineStr">
        <is>
          <t/>
        </is>
      </c>
      <c r="CV17" s="108" t="inlineStr">
        <is>
          <t/>
        </is>
      </c>
      <c r="CW17" s="109" t="inlineStr">
        <is>
          <t/>
        </is>
      </c>
      <c r="CX17" s="110" t="inlineStr">
        <is>
          <t/>
        </is>
      </c>
      <c r="CY17" s="111" t="inlineStr">
        <is>
          <t/>
        </is>
      </c>
      <c r="CZ17" s="112" t="inlineStr">
        <is>
          <t/>
        </is>
      </c>
      <c r="DA17" s="113" t="inlineStr">
        <is>
          <t/>
        </is>
      </c>
      <c r="DB17" s="114" t="inlineStr">
        <is>
          <t/>
        </is>
      </c>
      <c r="DC17" s="115" t="inlineStr">
        <is>
          <t/>
        </is>
      </c>
      <c r="DD17" s="116" t="inlineStr">
        <is>
          <t/>
        </is>
      </c>
      <c r="DE17" s="117" t="inlineStr">
        <is>
          <t/>
        </is>
      </c>
      <c r="DF17" s="118" t="inlineStr">
        <is>
          <t/>
        </is>
      </c>
      <c r="DG17" s="119" t="inlineStr">
        <is>
          <t/>
        </is>
      </c>
      <c r="DH17" s="120" t="inlineStr">
        <is>
          <t/>
        </is>
      </c>
      <c r="DI17" s="121" t="inlineStr">
        <is>
          <t/>
        </is>
      </c>
      <c r="DJ17" s="122" t="inlineStr">
        <is>
          <t/>
        </is>
      </c>
      <c r="DK17" s="123" t="inlineStr">
        <is>
          <t/>
        </is>
      </c>
      <c r="DL17" s="124" t="inlineStr">
        <is>
          <t/>
        </is>
      </c>
      <c r="DM17" s="125" t="inlineStr">
        <is>
          <t/>
        </is>
      </c>
      <c r="DN17" s="126" t="inlineStr">
        <is>
          <t/>
        </is>
      </c>
      <c r="DO17" s="127" t="inlineStr">
        <is>
          <t/>
        </is>
      </c>
      <c r="DP17" s="128" t="inlineStr">
        <is>
          <t/>
        </is>
      </c>
      <c r="DQ17" s="129" t="inlineStr">
        <is>
          <t/>
        </is>
      </c>
      <c r="DR17" s="130" t="inlineStr">
        <is>
          <t/>
        </is>
      </c>
      <c r="DS17" s="131" t="inlineStr">
        <is>
          <t/>
        </is>
      </c>
      <c r="DT17" s="132" t="inlineStr">
        <is>
          <t/>
        </is>
      </c>
      <c r="DU17" s="133" t="inlineStr">
        <is>
          <t/>
        </is>
      </c>
      <c r="DV17" s="134" t="inlineStr">
        <is>
          <t/>
        </is>
      </c>
      <c r="DW17" s="135" t="inlineStr">
        <is>
          <t/>
        </is>
      </c>
      <c r="DX17" s="136" t="inlineStr">
        <is>
          <t/>
        </is>
      </c>
      <c r="DY17" s="137" t="inlineStr">
        <is>
          <t>PitchBook Research</t>
        </is>
      </c>
      <c r="DZ17" s="785">
        <f>HYPERLINK("https://my.pitchbook.com?c=167047-57", "View company online")</f>
      </c>
    </row>
    <row r="18">
      <c r="A18" s="139" t="inlineStr">
        <is>
          <t>58006-72</t>
        </is>
      </c>
      <c r="B18" s="140" t="inlineStr">
        <is>
          <t>Adbrain</t>
        </is>
      </c>
      <c r="C18" s="141" t="inlineStr">
        <is>
          <t/>
        </is>
      </c>
      <c r="D18" s="142" t="inlineStr">
        <is>
          <t/>
        </is>
      </c>
      <c r="E18" s="143" t="inlineStr">
        <is>
          <t>58006-72</t>
        </is>
      </c>
      <c r="F18" s="144" t="inlineStr">
        <is>
          <t>Developer of a data intelligence platform designed to offer intelligent identity resolution technology to create advanced customer ID maps. The company's data intelligence platform helps users to regain control of their customer relationships as well as creates an actionable single customer view that drives tangible ROI and provides deep insights into how behavior is changing in the world of the Internet of Things (IoT), without infringing on privacy concerns, enabling marketers to understand and engage with their customer across any device, channel and platform, including offline to online, and connected television.</t>
        </is>
      </c>
      <c r="G18" s="145" t="inlineStr">
        <is>
          <t>Business Products and Services (B2B)</t>
        </is>
      </c>
      <c r="H18" s="146" t="inlineStr">
        <is>
          <t>Commercial Services</t>
        </is>
      </c>
      <c r="I18" s="147" t="inlineStr">
        <is>
          <t>Media and Information Services (B2B)</t>
        </is>
      </c>
      <c r="J18" s="148" t="inlineStr">
        <is>
          <t>Media and Information Services (B2B)*</t>
        </is>
      </c>
      <c r="K18" s="149" t="inlineStr">
        <is>
          <t>AdTech, Internet of Things, Marketing Tech, SaaS</t>
        </is>
      </c>
      <c r="L18" s="150" t="inlineStr">
        <is>
          <t>Venture Capital-Backed</t>
        </is>
      </c>
      <c r="M18" s="151" t="n">
        <v>15.4</v>
      </c>
      <c r="N18" s="152" t="inlineStr">
        <is>
          <t>Generating Revenue</t>
        </is>
      </c>
      <c r="O18" s="153" t="inlineStr">
        <is>
          <t>Privately Held (backing)</t>
        </is>
      </c>
      <c r="P18" s="154" t="inlineStr">
        <is>
          <t>Venture Capital</t>
        </is>
      </c>
      <c r="Q18" s="155" t="inlineStr">
        <is>
          <t>www.adbrain.com</t>
        </is>
      </c>
      <c r="R18" s="156" t="n">
        <v>44.0</v>
      </c>
      <c r="S18" s="157" t="inlineStr">
        <is>
          <t/>
        </is>
      </c>
      <c r="T18" s="158" t="inlineStr">
        <is>
          <t/>
        </is>
      </c>
      <c r="U18" s="159" t="n">
        <v>2012.0</v>
      </c>
      <c r="V18" s="160" t="inlineStr">
        <is>
          <t/>
        </is>
      </c>
      <c r="W18" s="161" t="inlineStr">
        <is>
          <t/>
        </is>
      </c>
      <c r="X18" s="162" t="inlineStr">
        <is>
          <t/>
        </is>
      </c>
      <c r="Y18" s="163" t="inlineStr">
        <is>
          <t/>
        </is>
      </c>
      <c r="Z18" s="164" t="inlineStr">
        <is>
          <t/>
        </is>
      </c>
      <c r="AA18" s="165" t="inlineStr">
        <is>
          <t/>
        </is>
      </c>
      <c r="AB18" s="166" t="inlineStr">
        <is>
          <t/>
        </is>
      </c>
      <c r="AC18" s="167" t="inlineStr">
        <is>
          <t/>
        </is>
      </c>
      <c r="AD18" s="168" t="inlineStr">
        <is>
          <t/>
        </is>
      </c>
      <c r="AE18" s="169" t="inlineStr">
        <is>
          <t>54570-97P</t>
        </is>
      </c>
      <c r="AF18" s="170" t="inlineStr">
        <is>
          <t>Gareth Davies</t>
        </is>
      </c>
      <c r="AG18" s="171" t="inlineStr">
        <is>
          <t>Co-Founder, Board Member &amp; Chief Executive Officer</t>
        </is>
      </c>
      <c r="AH18" s="172" t="inlineStr">
        <is>
          <t>gareth@adbrain.com</t>
        </is>
      </c>
      <c r="AI18" s="173" t="inlineStr">
        <is>
          <t/>
        </is>
      </c>
      <c r="AJ18" s="174" t="inlineStr">
        <is>
          <t>London, United Kingdom</t>
        </is>
      </c>
      <c r="AK18" s="175" t="inlineStr">
        <is>
          <t>201 Borough High Street</t>
        </is>
      </c>
      <c r="AL18" s="176" t="inlineStr">
        <is>
          <t/>
        </is>
      </c>
      <c r="AM18" s="177" t="inlineStr">
        <is>
          <t>London</t>
        </is>
      </c>
      <c r="AN18" s="178" t="inlineStr">
        <is>
          <t>England</t>
        </is>
      </c>
      <c r="AO18" s="179" t="inlineStr">
        <is>
          <t>SE1 1JA</t>
        </is>
      </c>
      <c r="AP18" s="180" t="inlineStr">
        <is>
          <t>United Kingdom</t>
        </is>
      </c>
      <c r="AQ18" s="181" t="inlineStr">
        <is>
          <t/>
        </is>
      </c>
      <c r="AR18" s="182" t="inlineStr">
        <is>
          <t/>
        </is>
      </c>
      <c r="AS18" s="183" t="inlineStr">
        <is>
          <t>info@adbrain.com</t>
        </is>
      </c>
      <c r="AT18" s="184" t="inlineStr">
        <is>
          <t>Europe</t>
        </is>
      </c>
      <c r="AU18" s="185" t="inlineStr">
        <is>
          <t>Western Europe</t>
        </is>
      </c>
      <c r="AV18" s="186" t="inlineStr">
        <is>
          <t>The company raised $2 million of venture funding from Octopus Ventures and other undisclosed investors on May 22, 2017.</t>
        </is>
      </c>
      <c r="AW18" s="187" t="inlineStr">
        <is>
          <t>Anil Hansjee, Beacon Capital, Christopher Mairs, Cisco Investments, Entrepreneur First, Firestartr, Innova Kapital, Isabel Fox, Ivan Mazour, Kreos Capital, Mobile Value Partners, Nicholas Hynes, Nihal Mehta, Notion Capital, Octopus Ventures, Rabin Yaghoubi</t>
        </is>
      </c>
      <c r="AX18" s="188" t="n">
        <v>16.0</v>
      </c>
      <c r="AY18" s="189" t="inlineStr">
        <is>
          <t/>
        </is>
      </c>
      <c r="AZ18" s="190" t="inlineStr">
        <is>
          <t/>
        </is>
      </c>
      <c r="BA18" s="191" t="inlineStr">
        <is>
          <t/>
        </is>
      </c>
      <c r="BB18" s="192" t="inlineStr">
        <is>
          <t>Anil Hansjee (about.me/ahansjee), Beacon Capital (www.beaconcapital.co.uk), Cisco Investments (www.ciscoinvestments.com), Entrepreneur First (www.joinef.com), Firestartr (www.firestartr.co), Innova Kapital (www.innovakapital.com), Ivan Mazour (www.ivanmazour.com), Kreos Capital (www.kreoscapital.com), Mobile Value Partners (www.mvpglobal.com), Notion Capital (www.notioncapital.com), Octopus Ventures (www.octopusventures.com)</t>
        </is>
      </c>
      <c r="BC18" s="193" t="inlineStr">
        <is>
          <t/>
        </is>
      </c>
      <c r="BD18" s="194" t="inlineStr">
        <is>
          <t/>
        </is>
      </c>
      <c r="BE18" s="195" t="inlineStr">
        <is>
          <t>Albany Partners (Consulting), Founders Keepers (Consulting)</t>
        </is>
      </c>
      <c r="BF18" s="196" t="inlineStr">
        <is>
          <t>Kreos Capital</t>
        </is>
      </c>
      <c r="BG18" s="197" t="n">
        <v>41472.0</v>
      </c>
      <c r="BH18" s="198" t="n">
        <v>1.45</v>
      </c>
      <c r="BI18" s="199" t="inlineStr">
        <is>
          <t>Actual</t>
        </is>
      </c>
      <c r="BJ18" s="200" t="inlineStr">
        <is>
          <t/>
        </is>
      </c>
      <c r="BK18" s="201" t="inlineStr">
        <is>
          <t/>
        </is>
      </c>
      <c r="BL18" s="202" t="inlineStr">
        <is>
          <t>Seed Round</t>
        </is>
      </c>
      <c r="BM18" s="203" t="inlineStr">
        <is>
          <t>Seed</t>
        </is>
      </c>
      <c r="BN18" s="204" t="inlineStr">
        <is>
          <t/>
        </is>
      </c>
      <c r="BO18" s="205" t="inlineStr">
        <is>
          <t>Venture Capital</t>
        </is>
      </c>
      <c r="BP18" s="206" t="inlineStr">
        <is>
          <t/>
        </is>
      </c>
      <c r="BQ18" s="207" t="inlineStr">
        <is>
          <t/>
        </is>
      </c>
      <c r="BR18" s="208" t="inlineStr">
        <is>
          <t/>
        </is>
      </c>
      <c r="BS18" s="209" t="inlineStr">
        <is>
          <t>Completed</t>
        </is>
      </c>
      <c r="BT18" s="210" t="n">
        <v>42877.0</v>
      </c>
      <c r="BU18" s="211" t="n">
        <v>1.81</v>
      </c>
      <c r="BV18" s="212" t="inlineStr">
        <is>
          <t>Actual</t>
        </is>
      </c>
      <c r="BW18" s="213" t="inlineStr">
        <is>
          <t/>
        </is>
      </c>
      <c r="BX18" s="214" t="inlineStr">
        <is>
          <t/>
        </is>
      </c>
      <c r="BY18" s="215" t="inlineStr">
        <is>
          <t>Later Stage VC</t>
        </is>
      </c>
      <c r="BZ18" s="216" t="inlineStr">
        <is>
          <t/>
        </is>
      </c>
      <c r="CA18" s="217" t="inlineStr">
        <is>
          <t/>
        </is>
      </c>
      <c r="CB18" s="218" t="inlineStr">
        <is>
          <t>Venture Capital</t>
        </is>
      </c>
      <c r="CC18" s="219" t="inlineStr">
        <is>
          <t/>
        </is>
      </c>
      <c r="CD18" s="220" t="inlineStr">
        <is>
          <t/>
        </is>
      </c>
      <c r="CE18" s="221" t="inlineStr">
        <is>
          <t/>
        </is>
      </c>
      <c r="CF18" s="222" t="inlineStr">
        <is>
          <t>Completed</t>
        </is>
      </c>
      <c r="CG18" s="223" t="inlineStr">
        <is>
          <t>-2,55%</t>
        </is>
      </c>
      <c r="CH18" s="224" t="inlineStr">
        <is>
          <t>2</t>
        </is>
      </c>
      <c r="CI18" s="225" t="inlineStr">
        <is>
          <t>0,09%</t>
        </is>
      </c>
      <c r="CJ18" s="226" t="inlineStr">
        <is>
          <t>3,40%</t>
        </is>
      </c>
      <c r="CK18" s="227" t="inlineStr">
        <is>
          <t>-5,17%</t>
        </is>
      </c>
      <c r="CL18" s="228" t="inlineStr">
        <is>
          <t>1</t>
        </is>
      </c>
      <c r="CM18" s="229" t="inlineStr">
        <is>
          <t>0,07%</t>
        </is>
      </c>
      <c r="CN18" s="230" t="inlineStr">
        <is>
          <t>56</t>
        </is>
      </c>
      <c r="CO18" s="231" t="inlineStr">
        <is>
          <t>-11,63%</t>
        </is>
      </c>
      <c r="CP18" s="232" t="inlineStr">
        <is>
          <t>1</t>
        </is>
      </c>
      <c r="CQ18" s="233" t="inlineStr">
        <is>
          <t>1,29%</t>
        </is>
      </c>
      <c r="CR18" s="234" t="inlineStr">
        <is>
          <t>89</t>
        </is>
      </c>
      <c r="CS18" s="235" t="inlineStr">
        <is>
          <t>0,00%</t>
        </is>
      </c>
      <c r="CT18" s="236" t="inlineStr">
        <is>
          <t>18</t>
        </is>
      </c>
      <c r="CU18" s="237" t="inlineStr">
        <is>
          <t>0,14%</t>
        </is>
      </c>
      <c r="CV18" s="238" t="inlineStr">
        <is>
          <t>72</t>
        </is>
      </c>
      <c r="CW18" s="239" t="inlineStr">
        <is>
          <t>3,46x</t>
        </is>
      </c>
      <c r="CX18" s="240" t="inlineStr">
        <is>
          <t>74</t>
        </is>
      </c>
      <c r="CY18" s="241" t="inlineStr">
        <is>
          <t>0,03x</t>
        </is>
      </c>
      <c r="CZ18" s="242" t="inlineStr">
        <is>
          <t>1,01%</t>
        </is>
      </c>
      <c r="DA18" s="243" t="inlineStr">
        <is>
          <t>4,56x</t>
        </is>
      </c>
      <c r="DB18" s="244" t="inlineStr">
        <is>
          <t>79</t>
        </is>
      </c>
      <c r="DC18" s="245" t="inlineStr">
        <is>
          <t>2,35x</t>
        </is>
      </c>
      <c r="DD18" s="246" t="inlineStr">
        <is>
          <t>64</t>
        </is>
      </c>
      <c r="DE18" s="247" t="inlineStr">
        <is>
          <t>2,28x</t>
        </is>
      </c>
      <c r="DF18" s="248" t="inlineStr">
        <is>
          <t>66</t>
        </is>
      </c>
      <c r="DG18" s="249" t="inlineStr">
        <is>
          <t>6,83x</t>
        </is>
      </c>
      <c r="DH18" s="250" t="inlineStr">
        <is>
          <t>82</t>
        </is>
      </c>
      <c r="DI18" s="251" t="inlineStr">
        <is>
          <t>0,14x</t>
        </is>
      </c>
      <c r="DJ18" s="252" t="inlineStr">
        <is>
          <t>18</t>
        </is>
      </c>
      <c r="DK18" s="253" t="inlineStr">
        <is>
          <t>4,57x</t>
        </is>
      </c>
      <c r="DL18" s="254" t="inlineStr">
        <is>
          <t>77</t>
        </is>
      </c>
      <c r="DM18" s="255" t="inlineStr">
        <is>
          <t>1.574</t>
        </is>
      </c>
      <c r="DN18" s="256" t="inlineStr">
        <is>
          <t>-513</t>
        </is>
      </c>
      <c r="DO18" s="257" t="inlineStr">
        <is>
          <t>-24,58%</t>
        </is>
      </c>
      <c r="DP18" s="258" t="inlineStr">
        <is>
          <t>112</t>
        </is>
      </c>
      <c r="DQ18" s="259" t="inlineStr">
        <is>
          <t>0</t>
        </is>
      </c>
      <c r="DR18" s="260" t="inlineStr">
        <is>
          <t>0,00%</t>
        </is>
      </c>
      <c r="DS18" s="261" t="inlineStr">
        <is>
          <t>248</t>
        </is>
      </c>
      <c r="DT18" s="262" t="inlineStr">
        <is>
          <t>-2</t>
        </is>
      </c>
      <c r="DU18" s="263" t="inlineStr">
        <is>
          <t>-0,80%</t>
        </is>
      </c>
      <c r="DV18" s="264" t="inlineStr">
        <is>
          <t>1.566</t>
        </is>
      </c>
      <c r="DW18" s="265" t="inlineStr">
        <is>
          <t>0</t>
        </is>
      </c>
      <c r="DX18" s="266" t="inlineStr">
        <is>
          <t>0,00%</t>
        </is>
      </c>
      <c r="DY18" s="267" t="inlineStr">
        <is>
          <t>PitchBook Research</t>
        </is>
      </c>
      <c r="DZ18" s="786">
        <f>HYPERLINK("https://my.pitchbook.com?c=58006-72", "View company online")</f>
      </c>
    </row>
    <row r="19">
      <c r="A19" s="9" t="inlineStr">
        <is>
          <t>54120-79</t>
        </is>
      </c>
      <c r="B19" s="10" t="inlineStr">
        <is>
          <t>ADC Therapeutics</t>
        </is>
      </c>
      <c r="C19" s="11" t="inlineStr">
        <is>
          <t/>
        </is>
      </c>
      <c r="D19" s="12" t="inlineStr">
        <is>
          <t/>
        </is>
      </c>
      <c r="E19" s="13" t="inlineStr">
        <is>
          <t>54120-79</t>
        </is>
      </c>
      <c r="F19" s="14" t="inlineStr">
        <is>
          <t>Developer of antibody drug conjugate (ADC) products. The company is developing proprietary antibody and non-antibody drug conjugate products that target hematological cancers and tumor cells. It specializes in the development of targeted drug constructs which combine monoclonal antibodies specific to surface antigens on particular tumor cells with a novel class of highly potent pyrrolobenzodiazepine (PBD)-based warheads.</t>
        </is>
      </c>
      <c r="G19" s="15" t="inlineStr">
        <is>
          <t>Healthcare</t>
        </is>
      </c>
      <c r="H19" s="16" t="inlineStr">
        <is>
          <t>Pharmaceuticals and Biotechnology</t>
        </is>
      </c>
      <c r="I19" s="17" t="inlineStr">
        <is>
          <t>Drug Discovery</t>
        </is>
      </c>
      <c r="J19" s="18" t="inlineStr">
        <is>
          <t>Drug Discovery*; Drug Delivery; Pharmaceuticals</t>
        </is>
      </c>
      <c r="K19" s="19" t="inlineStr">
        <is>
          <t>Life Sciences, Oncology</t>
        </is>
      </c>
      <c r="L19" s="20" t="inlineStr">
        <is>
          <t>Venture Capital-Backed</t>
        </is>
      </c>
      <c r="M19" s="21" t="n">
        <v>233.45</v>
      </c>
      <c r="N19" s="22" t="inlineStr">
        <is>
          <t>Clinical Trials - Phase 1</t>
        </is>
      </c>
      <c r="O19" s="23" t="inlineStr">
        <is>
          <t>Privately Held (backing)</t>
        </is>
      </c>
      <c r="P19" s="24" t="inlineStr">
        <is>
          <t>Venture Capital</t>
        </is>
      </c>
      <c r="Q19" s="25" t="inlineStr">
        <is>
          <t>www.adctherapeutics.com</t>
        </is>
      </c>
      <c r="R19" s="26" t="n">
        <v>14.0</v>
      </c>
      <c r="S19" s="27" t="inlineStr">
        <is>
          <t/>
        </is>
      </c>
      <c r="T19" s="28" t="inlineStr">
        <is>
          <t/>
        </is>
      </c>
      <c r="U19" s="29" t="n">
        <v>2012.0</v>
      </c>
      <c r="V19" s="30" t="inlineStr">
        <is>
          <t/>
        </is>
      </c>
      <c r="W19" s="31" t="inlineStr">
        <is>
          <t/>
        </is>
      </c>
      <c r="X19" s="32" t="inlineStr">
        <is>
          <t/>
        </is>
      </c>
      <c r="Y19" s="33" t="inlineStr">
        <is>
          <t/>
        </is>
      </c>
      <c r="Z19" s="34" t="inlineStr">
        <is>
          <t/>
        </is>
      </c>
      <c r="AA19" s="35" t="inlineStr">
        <is>
          <t/>
        </is>
      </c>
      <c r="AB19" s="36" t="inlineStr">
        <is>
          <t/>
        </is>
      </c>
      <c r="AC19" s="37" t="inlineStr">
        <is>
          <t/>
        </is>
      </c>
      <c r="AD19" s="38" t="inlineStr">
        <is>
          <t/>
        </is>
      </c>
      <c r="AE19" s="39" t="inlineStr">
        <is>
          <t>54955-45P</t>
        </is>
      </c>
      <c r="AF19" s="40" t="inlineStr">
        <is>
          <t>Stuart Barlow</t>
        </is>
      </c>
      <c r="AG19" s="41" t="inlineStr">
        <is>
          <t>Chief Accounting Officer &amp; Group Treasurer</t>
        </is>
      </c>
      <c r="AH19" s="42" t="inlineStr">
        <is>
          <t>sbarlow@adctherapeutics.com</t>
        </is>
      </c>
      <c r="AI19" s="43" t="inlineStr">
        <is>
          <t>+41 (0)21 653 0200</t>
        </is>
      </c>
      <c r="AJ19" s="44" t="inlineStr">
        <is>
          <t>Epalinges, Switzerland</t>
        </is>
      </c>
      <c r="AK19" s="45" t="inlineStr">
        <is>
          <t>Route de la Corniche 3B</t>
        </is>
      </c>
      <c r="AL19" s="46" t="inlineStr">
        <is>
          <t/>
        </is>
      </c>
      <c r="AM19" s="47" t="inlineStr">
        <is>
          <t>Epalinges</t>
        </is>
      </c>
      <c r="AN19" s="48" t="inlineStr">
        <is>
          <t/>
        </is>
      </c>
      <c r="AO19" s="49" t="inlineStr">
        <is>
          <t>1066</t>
        </is>
      </c>
      <c r="AP19" s="50" t="inlineStr">
        <is>
          <t>Switzerland</t>
        </is>
      </c>
      <c r="AQ19" s="51" t="inlineStr">
        <is>
          <t>+41 (0)21 653 0200</t>
        </is>
      </c>
      <c r="AR19" s="52" t="inlineStr">
        <is>
          <t/>
        </is>
      </c>
      <c r="AS19" s="53" t="inlineStr">
        <is>
          <t>info@adctherapeutics.com</t>
        </is>
      </c>
      <c r="AT19" s="54" t="inlineStr">
        <is>
          <t>Europe</t>
        </is>
      </c>
      <c r="AU19" s="55" t="inlineStr">
        <is>
          <t>Western Europe</t>
        </is>
      </c>
      <c r="AV19" s="56" t="inlineStr">
        <is>
          <t>The company raised $105 million of venture funding from Auven Therapeutics, Wild Family Office, EG Capital Advisors and AstraZeneca on October 18, 2016. The funds will be used to accelerate the progress of company's pipeline in clinical development and to fund commercial manufacturing processes for its lead programs.</t>
        </is>
      </c>
      <c r="AW19" s="57" t="inlineStr">
        <is>
          <t>AstraZeneca, Auven Therapeutics, Cancer Research Technology, EG Capital Advisors, ET Capital, MedImmune Ventures, Wild Family Office</t>
        </is>
      </c>
      <c r="AX19" s="58" t="n">
        <v>7.0</v>
      </c>
      <c r="AY19" s="59" t="inlineStr">
        <is>
          <t/>
        </is>
      </c>
      <c r="AZ19" s="60" t="inlineStr">
        <is>
          <t/>
        </is>
      </c>
      <c r="BA19" s="61" t="inlineStr">
        <is>
          <t/>
        </is>
      </c>
      <c r="BB19" s="62" t="inlineStr">
        <is>
          <t>AstraZeneca (www.astrazeneca.com), Auven Therapeutics (www.auventherapeutics.com), Cancer Research Technology (commercial.cancerresearchuk.org), EG Capital Advisors (www.egcapitaladvisors.com), ET Capital (www.etcapital.com), MedImmune Ventures (www.medimmuneventures.com)</t>
        </is>
      </c>
      <c r="BC19" s="63" t="inlineStr">
        <is>
          <t/>
        </is>
      </c>
      <c r="BD19" s="64" t="inlineStr">
        <is>
          <t/>
        </is>
      </c>
      <c r="BE19" s="65" t="inlineStr">
        <is>
          <t/>
        </is>
      </c>
      <c r="BF19" s="66" t="inlineStr">
        <is>
          <t>Homburger (Legal Advisor), Vischer (Legal Advisor)</t>
        </is>
      </c>
      <c r="BG19" s="67" t="n">
        <v>40994.0</v>
      </c>
      <c r="BH19" s="68" t="n">
        <v>37.84</v>
      </c>
      <c r="BI19" s="69" t="inlineStr">
        <is>
          <t>Actual</t>
        </is>
      </c>
      <c r="BJ19" s="70" t="inlineStr">
        <is>
          <t/>
        </is>
      </c>
      <c r="BK19" s="71" t="inlineStr">
        <is>
          <t/>
        </is>
      </c>
      <c r="BL19" s="72" t="inlineStr">
        <is>
          <t>Early Stage VC</t>
        </is>
      </c>
      <c r="BM19" s="73" t="inlineStr">
        <is>
          <t/>
        </is>
      </c>
      <c r="BN19" s="74" t="inlineStr">
        <is>
          <t/>
        </is>
      </c>
      <c r="BO19" s="75" t="inlineStr">
        <is>
          <t>Venture Capital</t>
        </is>
      </c>
      <c r="BP19" s="76" t="inlineStr">
        <is>
          <t/>
        </is>
      </c>
      <c r="BQ19" s="77" t="inlineStr">
        <is>
          <t/>
        </is>
      </c>
      <c r="BR19" s="78" t="inlineStr">
        <is>
          <t/>
        </is>
      </c>
      <c r="BS19" s="79" t="inlineStr">
        <is>
          <t>Completed</t>
        </is>
      </c>
      <c r="BT19" s="80" t="n">
        <v>42661.0</v>
      </c>
      <c r="BU19" s="81" t="n">
        <v>95.07</v>
      </c>
      <c r="BV19" s="82" t="inlineStr">
        <is>
          <t>Actual</t>
        </is>
      </c>
      <c r="BW19" s="83" t="inlineStr">
        <is>
          <t/>
        </is>
      </c>
      <c r="BX19" s="84" t="inlineStr">
        <is>
          <t/>
        </is>
      </c>
      <c r="BY19" s="85" t="inlineStr">
        <is>
          <t>Early Stage VC</t>
        </is>
      </c>
      <c r="BZ19" s="86" t="inlineStr">
        <is>
          <t/>
        </is>
      </c>
      <c r="CA19" s="87" t="inlineStr">
        <is>
          <t/>
        </is>
      </c>
      <c r="CB19" s="88" t="inlineStr">
        <is>
          <t>Venture Capital</t>
        </is>
      </c>
      <c r="CC19" s="89" t="inlineStr">
        <is>
          <t/>
        </is>
      </c>
      <c r="CD19" s="90" t="inlineStr">
        <is>
          <t/>
        </is>
      </c>
      <c r="CE19" s="91" t="inlineStr">
        <is>
          <t/>
        </is>
      </c>
      <c r="CF19" s="92" t="inlineStr">
        <is>
          <t>Completed</t>
        </is>
      </c>
      <c r="CG19" s="93" t="inlineStr">
        <is>
          <t>0,00%</t>
        </is>
      </c>
      <c r="CH19" s="94" t="inlineStr">
        <is>
          <t>23</t>
        </is>
      </c>
      <c r="CI19" s="95" t="inlineStr">
        <is>
          <t>0,00%</t>
        </is>
      </c>
      <c r="CJ19" s="96" t="inlineStr">
        <is>
          <t>0,00%</t>
        </is>
      </c>
      <c r="CK19" s="97" t="inlineStr">
        <is>
          <t>0,00%</t>
        </is>
      </c>
      <c r="CL19" s="98" t="inlineStr">
        <is>
          <t>18</t>
        </is>
      </c>
      <c r="CM19" s="99" t="inlineStr">
        <is>
          <t/>
        </is>
      </c>
      <c r="CN19" s="100" t="inlineStr">
        <is>
          <t/>
        </is>
      </c>
      <c r="CO19" s="101" t="inlineStr">
        <is>
          <t>0,00%</t>
        </is>
      </c>
      <c r="CP19" s="102" t="inlineStr">
        <is>
          <t>26</t>
        </is>
      </c>
      <c r="CQ19" s="103" t="inlineStr">
        <is>
          <t>0,00%</t>
        </is>
      </c>
      <c r="CR19" s="104" t="inlineStr">
        <is>
          <t>13</t>
        </is>
      </c>
      <c r="CS19" s="105" t="inlineStr">
        <is>
          <t/>
        </is>
      </c>
      <c r="CT19" s="106" t="inlineStr">
        <is>
          <t/>
        </is>
      </c>
      <c r="CU19" s="107" t="inlineStr">
        <is>
          <t/>
        </is>
      </c>
      <c r="CV19" s="108" t="inlineStr">
        <is>
          <t/>
        </is>
      </c>
      <c r="CW19" s="109" t="inlineStr">
        <is>
          <t>1,76x</t>
        </is>
      </c>
      <c r="CX19" s="110" t="inlineStr">
        <is>
          <t>62</t>
        </is>
      </c>
      <c r="CY19" s="111" t="inlineStr">
        <is>
          <t>0,04x</t>
        </is>
      </c>
      <c r="CZ19" s="112" t="inlineStr">
        <is>
          <t>2,05%</t>
        </is>
      </c>
      <c r="DA19" s="113" t="inlineStr">
        <is>
          <t>1,76x</t>
        </is>
      </c>
      <c r="DB19" s="114" t="inlineStr">
        <is>
          <t>64</t>
        </is>
      </c>
      <c r="DC19" s="115" t="inlineStr">
        <is>
          <t/>
        </is>
      </c>
      <c r="DD19" s="116" t="inlineStr">
        <is>
          <t/>
        </is>
      </c>
      <c r="DE19" s="117" t="inlineStr">
        <is>
          <t>0,91x</t>
        </is>
      </c>
      <c r="DF19" s="118" t="inlineStr">
        <is>
          <t>49</t>
        </is>
      </c>
      <c r="DG19" s="119" t="inlineStr">
        <is>
          <t>2,61x</t>
        </is>
      </c>
      <c r="DH19" s="120" t="inlineStr">
        <is>
          <t>69</t>
        </is>
      </c>
      <c r="DI19" s="121" t="inlineStr">
        <is>
          <t/>
        </is>
      </c>
      <c r="DJ19" s="122" t="inlineStr">
        <is>
          <t/>
        </is>
      </c>
      <c r="DK19" s="123" t="inlineStr">
        <is>
          <t/>
        </is>
      </c>
      <c r="DL19" s="124" t="inlineStr">
        <is>
          <t/>
        </is>
      </c>
      <c r="DM19" s="125" t="inlineStr">
        <is>
          <t>535</t>
        </is>
      </c>
      <c r="DN19" s="126" t="inlineStr">
        <is>
          <t>68</t>
        </is>
      </c>
      <c r="DO19" s="127" t="inlineStr">
        <is>
          <t>14,56%</t>
        </is>
      </c>
      <c r="DP19" s="128" t="inlineStr">
        <is>
          <t/>
        </is>
      </c>
      <c r="DQ19" s="129" t="inlineStr">
        <is>
          <t/>
        </is>
      </c>
      <c r="DR19" s="130" t="inlineStr">
        <is>
          <t/>
        </is>
      </c>
      <c r="DS19" s="131" t="inlineStr">
        <is>
          <t>94</t>
        </is>
      </c>
      <c r="DT19" s="132" t="inlineStr">
        <is>
          <t>0</t>
        </is>
      </c>
      <c r="DU19" s="133" t="inlineStr">
        <is>
          <t>0,00%</t>
        </is>
      </c>
      <c r="DV19" s="134" t="inlineStr">
        <is>
          <t/>
        </is>
      </c>
      <c r="DW19" s="135" t="inlineStr">
        <is>
          <t/>
        </is>
      </c>
      <c r="DX19" s="136" t="inlineStr">
        <is>
          <t/>
        </is>
      </c>
      <c r="DY19" s="137" t="inlineStr">
        <is>
          <t>PitchBook Research</t>
        </is>
      </c>
      <c r="DZ19" s="785">
        <f>HYPERLINK("https://my.pitchbook.com?c=54120-79", "View company online")</f>
      </c>
    </row>
    <row r="20">
      <c r="A20" s="139" t="inlineStr">
        <is>
          <t>54540-10</t>
        </is>
      </c>
      <c r="B20" s="140" t="inlineStr">
        <is>
          <t>adjust</t>
        </is>
      </c>
      <c r="C20" s="141" t="inlineStr">
        <is>
          <t>Adeven</t>
        </is>
      </c>
      <c r="D20" s="142" t="inlineStr">
        <is>
          <t/>
        </is>
      </c>
      <c r="E20" s="143" t="inlineStr">
        <is>
          <t>54540-10</t>
        </is>
      </c>
      <c r="F20" s="144" t="inlineStr">
        <is>
          <t>Developer of a business intelligence platform designed to track mobile application marketing. The company's business intelligence platform combines attribution for advertising sources with advanced in-app analytics and store statistics for marketing insights and offers advanced analytics and store statistics such as rankings, ratings and reviews, enabling advertisers and agencies to run mobile campaigns across digital channels.</t>
        </is>
      </c>
      <c r="G20" s="145" t="inlineStr">
        <is>
          <t>Information Technology</t>
        </is>
      </c>
      <c r="H20" s="146" t="inlineStr">
        <is>
          <t>Software</t>
        </is>
      </c>
      <c r="I20" s="147" t="inlineStr">
        <is>
          <t>Business/Productivity Software</t>
        </is>
      </c>
      <c r="J20" s="148" t="inlineStr">
        <is>
          <t>Business/Productivity Software*; Media and Information Services (B2B); Database Software</t>
        </is>
      </c>
      <c r="K20" s="149" t="inlineStr">
        <is>
          <t>Marketing Tech, Mobile</t>
        </is>
      </c>
      <c r="L20" s="150" t="inlineStr">
        <is>
          <t>Venture Capital-Backed</t>
        </is>
      </c>
      <c r="M20" s="151" t="n">
        <v>24.29</v>
      </c>
      <c r="N20" s="152" t="inlineStr">
        <is>
          <t>Profitable</t>
        </is>
      </c>
      <c r="O20" s="153" t="inlineStr">
        <is>
          <t>Privately Held (backing)</t>
        </is>
      </c>
      <c r="P20" s="154" t="inlineStr">
        <is>
          <t>Venture Capital</t>
        </is>
      </c>
      <c r="Q20" s="155" t="inlineStr">
        <is>
          <t>www.adjust.com</t>
        </is>
      </c>
      <c r="R20" s="156" t="n">
        <v>55.0</v>
      </c>
      <c r="S20" s="157" t="inlineStr">
        <is>
          <t/>
        </is>
      </c>
      <c r="T20" s="158" t="inlineStr">
        <is>
          <t/>
        </is>
      </c>
      <c r="U20" s="159" t="n">
        <v>2012.0</v>
      </c>
      <c r="V20" s="160" t="inlineStr">
        <is>
          <t/>
        </is>
      </c>
      <c r="W20" s="161" t="inlineStr">
        <is>
          <t/>
        </is>
      </c>
      <c r="X20" s="162" t="inlineStr">
        <is>
          <t/>
        </is>
      </c>
      <c r="Y20" s="163" t="inlineStr">
        <is>
          <t/>
        </is>
      </c>
      <c r="Z20" s="164" t="inlineStr">
        <is>
          <t/>
        </is>
      </c>
      <c r="AA20" s="165" t="inlineStr">
        <is>
          <t/>
        </is>
      </c>
      <c r="AB20" s="166" t="inlineStr">
        <is>
          <t/>
        </is>
      </c>
      <c r="AC20" s="167" t="inlineStr">
        <is>
          <t/>
        </is>
      </c>
      <c r="AD20" s="168" t="inlineStr">
        <is>
          <t/>
        </is>
      </c>
      <c r="AE20" s="169" t="inlineStr">
        <is>
          <t>48376-72P</t>
        </is>
      </c>
      <c r="AF20" s="170" t="inlineStr">
        <is>
          <t>Christian Henschel</t>
        </is>
      </c>
      <c r="AG20" s="171" t="inlineStr">
        <is>
          <t>Co-Founder &amp; Chief Executive Officer</t>
        </is>
      </c>
      <c r="AH20" s="172" t="inlineStr">
        <is>
          <t>christian@adjust.com</t>
        </is>
      </c>
      <c r="AI20" s="173" t="inlineStr">
        <is>
          <t>+49 (0)30 9146 0083</t>
        </is>
      </c>
      <c r="AJ20" s="174" t="inlineStr">
        <is>
          <t>Berlin, Germany</t>
        </is>
      </c>
      <c r="AK20" s="175" t="inlineStr">
        <is>
          <t>Saarbrücker Str. 37A</t>
        </is>
      </c>
      <c r="AL20" s="176" t="inlineStr">
        <is>
          <t/>
        </is>
      </c>
      <c r="AM20" s="177" t="inlineStr">
        <is>
          <t>Berlin</t>
        </is>
      </c>
      <c r="AN20" s="178" t="inlineStr">
        <is>
          <t/>
        </is>
      </c>
      <c r="AO20" s="179" t="inlineStr">
        <is>
          <t>10405</t>
        </is>
      </c>
      <c r="AP20" s="180" t="inlineStr">
        <is>
          <t>Germany</t>
        </is>
      </c>
      <c r="AQ20" s="181" t="inlineStr">
        <is>
          <t>+49 (0)30 9146 0083</t>
        </is>
      </c>
      <c r="AR20" s="182" t="inlineStr">
        <is>
          <t/>
        </is>
      </c>
      <c r="AS20" s="183" t="inlineStr">
        <is>
          <t>info@adjust.com</t>
        </is>
      </c>
      <c r="AT20" s="184" t="inlineStr">
        <is>
          <t>Europe</t>
        </is>
      </c>
      <c r="AU20" s="185" t="inlineStr">
        <is>
          <t>Western Europe</t>
        </is>
      </c>
      <c r="AV20" s="186" t="inlineStr">
        <is>
          <t>The company raised $17 million of venture funding in a deal led by Highland Capital Partners Europe on October 21, 2015. Other undisclosed investors also participated in the round. The company will use funds to accelerate its product expansion and further develop its abilities in mobile marketing.</t>
        </is>
      </c>
      <c r="AW20" s="187" t="inlineStr">
        <is>
          <t>Active Venture Partners, Capnamic Ventures, Highland Capital Partners Europe, Iris Capital Management, Target Partners, YoungBrains</t>
        </is>
      </c>
      <c r="AX20" s="188" t="n">
        <v>6.0</v>
      </c>
      <c r="AY20" s="189" t="inlineStr">
        <is>
          <t/>
        </is>
      </c>
      <c r="AZ20" s="190" t="inlineStr">
        <is>
          <t/>
        </is>
      </c>
      <c r="BA20" s="191" t="inlineStr">
        <is>
          <t/>
        </is>
      </c>
      <c r="BB20" s="192" t="inlineStr">
        <is>
          <t>Active Venture Partners (www.active-vp.com), Capnamic Ventures (www.capnamic.com), Highland Capital Partners Europe (www.highlandeurope.com), Iris Capital Management (www.iriscapital.com), Target Partners (www.targetpartners.de), YoungBrains (www.youngbrains.net)</t>
        </is>
      </c>
      <c r="BC20" s="193" t="inlineStr">
        <is>
          <t/>
        </is>
      </c>
      <c r="BD20" s="194" t="inlineStr">
        <is>
          <t/>
        </is>
      </c>
      <c r="BE20" s="195" t="inlineStr">
        <is>
          <t/>
        </is>
      </c>
      <c r="BF20" s="196" t="inlineStr">
        <is>
          <t>Noerr (Legal Advisor)</t>
        </is>
      </c>
      <c r="BG20" s="197" t="n">
        <v>41000.0</v>
      </c>
      <c r="BH20" s="198" t="inlineStr">
        <is>
          <t/>
        </is>
      </c>
      <c r="BI20" s="199" t="inlineStr">
        <is>
          <t/>
        </is>
      </c>
      <c r="BJ20" s="200" t="inlineStr">
        <is>
          <t/>
        </is>
      </c>
      <c r="BK20" s="201" t="inlineStr">
        <is>
          <t/>
        </is>
      </c>
      <c r="BL20" s="202" t="inlineStr">
        <is>
          <t>Seed Round</t>
        </is>
      </c>
      <c r="BM20" s="203" t="inlineStr">
        <is>
          <t>Seed</t>
        </is>
      </c>
      <c r="BN20" s="204" t="inlineStr">
        <is>
          <t/>
        </is>
      </c>
      <c r="BO20" s="205" t="inlineStr">
        <is>
          <t>Venture Capital</t>
        </is>
      </c>
      <c r="BP20" s="206" t="inlineStr">
        <is>
          <t/>
        </is>
      </c>
      <c r="BQ20" s="207" t="inlineStr">
        <is>
          <t/>
        </is>
      </c>
      <c r="BR20" s="208" t="inlineStr">
        <is>
          <t/>
        </is>
      </c>
      <c r="BS20" s="209" t="inlineStr">
        <is>
          <t>Completed</t>
        </is>
      </c>
      <c r="BT20" s="210" t="n">
        <v>42298.0</v>
      </c>
      <c r="BU20" s="211" t="n">
        <v>15.14</v>
      </c>
      <c r="BV20" s="212" t="inlineStr">
        <is>
          <t>Actual</t>
        </is>
      </c>
      <c r="BW20" s="213" t="inlineStr">
        <is>
          <t/>
        </is>
      </c>
      <c r="BX20" s="214" t="inlineStr">
        <is>
          <t/>
        </is>
      </c>
      <c r="BY20" s="215" t="inlineStr">
        <is>
          <t>Later Stage VC</t>
        </is>
      </c>
      <c r="BZ20" s="216" t="inlineStr">
        <is>
          <t/>
        </is>
      </c>
      <c r="CA20" s="217" t="inlineStr">
        <is>
          <t/>
        </is>
      </c>
      <c r="CB20" s="218" t="inlineStr">
        <is>
          <t>Venture Capital</t>
        </is>
      </c>
      <c r="CC20" s="219" t="inlineStr">
        <is>
          <t/>
        </is>
      </c>
      <c r="CD20" s="220" t="inlineStr">
        <is>
          <t/>
        </is>
      </c>
      <c r="CE20" s="221" t="inlineStr">
        <is>
          <t/>
        </is>
      </c>
      <c r="CF20" s="222" t="inlineStr">
        <is>
          <t>Completed</t>
        </is>
      </c>
      <c r="CG20" s="223" t="inlineStr">
        <is>
          <t>-0,70%</t>
        </is>
      </c>
      <c r="CH20" s="224" t="inlineStr">
        <is>
          <t>7</t>
        </is>
      </c>
      <c r="CI20" s="225" t="inlineStr">
        <is>
          <t>0,25%</t>
        </is>
      </c>
      <c r="CJ20" s="226" t="inlineStr">
        <is>
          <t>26,54%</t>
        </is>
      </c>
      <c r="CK20" s="227" t="inlineStr">
        <is>
          <t>-1,95%</t>
        </is>
      </c>
      <c r="CL20" s="228" t="inlineStr">
        <is>
          <t>5</t>
        </is>
      </c>
      <c r="CM20" s="229" t="inlineStr">
        <is>
          <t>0,56%</t>
        </is>
      </c>
      <c r="CN20" s="230" t="inlineStr">
        <is>
          <t>91</t>
        </is>
      </c>
      <c r="CO20" s="231" t="inlineStr">
        <is>
          <t>-5,26%</t>
        </is>
      </c>
      <c r="CP20" s="232" t="inlineStr">
        <is>
          <t>6</t>
        </is>
      </c>
      <c r="CQ20" s="233" t="inlineStr">
        <is>
          <t>1,36%</t>
        </is>
      </c>
      <c r="CR20" s="234" t="inlineStr">
        <is>
          <t>90</t>
        </is>
      </c>
      <c r="CS20" s="235" t="inlineStr">
        <is>
          <t>0,70%</t>
        </is>
      </c>
      <c r="CT20" s="236" t="inlineStr">
        <is>
          <t>91</t>
        </is>
      </c>
      <c r="CU20" s="237" t="inlineStr">
        <is>
          <t>0,42%</t>
        </is>
      </c>
      <c r="CV20" s="238" t="inlineStr">
        <is>
          <t>89</t>
        </is>
      </c>
      <c r="CW20" s="239" t="inlineStr">
        <is>
          <t>51,07x</t>
        </is>
      </c>
      <c r="CX20" s="240" t="inlineStr">
        <is>
          <t>96</t>
        </is>
      </c>
      <c r="CY20" s="241" t="inlineStr">
        <is>
          <t>0,33x</t>
        </is>
      </c>
      <c r="CZ20" s="242" t="inlineStr">
        <is>
          <t>0,64%</t>
        </is>
      </c>
      <c r="DA20" s="243" t="inlineStr">
        <is>
          <t>94,83x</t>
        </is>
      </c>
      <c r="DB20" s="244" t="inlineStr">
        <is>
          <t>98</t>
        </is>
      </c>
      <c r="DC20" s="245" t="inlineStr">
        <is>
          <t>7,31x</t>
        </is>
      </c>
      <c r="DD20" s="246" t="inlineStr">
        <is>
          <t>81</t>
        </is>
      </c>
      <c r="DE20" s="247" t="inlineStr">
        <is>
          <t>141,60x</t>
        </is>
      </c>
      <c r="DF20" s="248" t="inlineStr">
        <is>
          <t>97</t>
        </is>
      </c>
      <c r="DG20" s="249" t="inlineStr">
        <is>
          <t>48,06x</t>
        </is>
      </c>
      <c r="DH20" s="250" t="inlineStr">
        <is>
          <t>97</t>
        </is>
      </c>
      <c r="DI20" s="251" t="inlineStr">
        <is>
          <t>7,34x</t>
        </is>
      </c>
      <c r="DJ20" s="252" t="inlineStr">
        <is>
          <t>79</t>
        </is>
      </c>
      <c r="DK20" s="253" t="inlineStr">
        <is>
          <t>7,29x</t>
        </is>
      </c>
      <c r="DL20" s="254" t="inlineStr">
        <is>
          <t>83</t>
        </is>
      </c>
      <c r="DM20" s="255" t="inlineStr">
        <is>
          <t>90.621</t>
        </is>
      </c>
      <c r="DN20" s="256" t="inlineStr">
        <is>
          <t>-10.615</t>
        </is>
      </c>
      <c r="DO20" s="257" t="inlineStr">
        <is>
          <t>-10,49%</t>
        </is>
      </c>
      <c r="DP20" s="258" t="inlineStr">
        <is>
          <t>5.857</t>
        </is>
      </c>
      <c r="DQ20" s="259" t="inlineStr">
        <is>
          <t>14</t>
        </is>
      </c>
      <c r="DR20" s="260" t="inlineStr">
        <is>
          <t>0,24%</t>
        </is>
      </c>
      <c r="DS20" s="261" t="inlineStr">
        <is>
          <t>1.735</t>
        </is>
      </c>
      <c r="DT20" s="262" t="inlineStr">
        <is>
          <t>-33</t>
        </is>
      </c>
      <c r="DU20" s="263" t="inlineStr">
        <is>
          <t>-1,87%</t>
        </is>
      </c>
      <c r="DV20" s="264" t="inlineStr">
        <is>
          <t>2.497</t>
        </is>
      </c>
      <c r="DW20" s="265" t="inlineStr">
        <is>
          <t>3</t>
        </is>
      </c>
      <c r="DX20" s="266" t="inlineStr">
        <is>
          <t>0,12%</t>
        </is>
      </c>
      <c r="DY20" s="267" t="inlineStr">
        <is>
          <t>PitchBook Research</t>
        </is>
      </c>
      <c r="DZ20" s="786">
        <f>HYPERLINK("https://my.pitchbook.com?c=54540-10", "View company online")</f>
      </c>
    </row>
    <row r="21">
      <c r="A21" s="9" t="inlineStr">
        <is>
          <t>56199-34</t>
        </is>
      </c>
      <c r="B21" s="10" t="inlineStr">
        <is>
          <t>Admedo</t>
        </is>
      </c>
      <c r="C21" s="11" t="inlineStr">
        <is>
          <t>Adizio</t>
        </is>
      </c>
      <c r="D21" s="12" t="inlineStr">
        <is>
          <t/>
        </is>
      </c>
      <c r="E21" s="13" t="inlineStr">
        <is>
          <t>56199-34</t>
        </is>
      </c>
      <c r="F21" s="14" t="inlineStr">
        <is>
          <t>Provider of advertisement technologies. The company develops an online platform that automates advertisement creation, sales and management for self-serve advertisers and publishers.</t>
        </is>
      </c>
      <c r="G21" s="15" t="inlineStr">
        <is>
          <t>Business Products and Services (B2B)</t>
        </is>
      </c>
      <c r="H21" s="16" t="inlineStr">
        <is>
          <t>Commercial Services</t>
        </is>
      </c>
      <c r="I21" s="17" t="inlineStr">
        <is>
          <t>Media and Information Services (B2B)</t>
        </is>
      </c>
      <c r="J21" s="18" t="inlineStr">
        <is>
          <t>Media and Information Services (B2B)*; Social/Platform Software</t>
        </is>
      </c>
      <c r="K21" s="19" t="inlineStr">
        <is>
          <t>AdTech, SaaS</t>
        </is>
      </c>
      <c r="L21" s="20" t="inlineStr">
        <is>
          <t>Venture Capital-Backed</t>
        </is>
      </c>
      <c r="M21" s="21" t="n">
        <v>7.44</v>
      </c>
      <c r="N21" s="22" t="inlineStr">
        <is>
          <t>Profitable</t>
        </is>
      </c>
      <c r="O21" s="23" t="inlineStr">
        <is>
          <t>Privately Held (backing)</t>
        </is>
      </c>
      <c r="P21" s="24" t="inlineStr">
        <is>
          <t>Venture Capital</t>
        </is>
      </c>
      <c r="Q21" s="25" t="inlineStr">
        <is>
          <t>www.admedo.com</t>
        </is>
      </c>
      <c r="R21" s="26" t="n">
        <v>38.0</v>
      </c>
      <c r="S21" s="27" t="inlineStr">
        <is>
          <t/>
        </is>
      </c>
      <c r="T21" s="28" t="inlineStr">
        <is>
          <t/>
        </is>
      </c>
      <c r="U21" s="29" t="n">
        <v>2012.0</v>
      </c>
      <c r="V21" s="30" t="inlineStr">
        <is>
          <t/>
        </is>
      </c>
      <c r="W21" s="31" t="inlineStr">
        <is>
          <t/>
        </is>
      </c>
      <c r="X21" s="32" t="inlineStr">
        <is>
          <t/>
        </is>
      </c>
      <c r="Y21" s="33" t="inlineStr">
        <is>
          <t/>
        </is>
      </c>
      <c r="Z21" s="34" t="inlineStr">
        <is>
          <t/>
        </is>
      </c>
      <c r="AA21" s="35" t="inlineStr">
        <is>
          <t/>
        </is>
      </c>
      <c r="AB21" s="36" t="inlineStr">
        <is>
          <t/>
        </is>
      </c>
      <c r="AC21" s="37" t="inlineStr">
        <is>
          <t/>
        </is>
      </c>
      <c r="AD21" s="38" t="inlineStr">
        <is>
          <t>FY 2015</t>
        </is>
      </c>
      <c r="AE21" s="39" t="inlineStr">
        <is>
          <t>55041-13P</t>
        </is>
      </c>
      <c r="AF21" s="40" t="inlineStr">
        <is>
          <t>Nick Moutter</t>
        </is>
      </c>
      <c r="AG21" s="41" t="inlineStr">
        <is>
          <t>Co-Founder, Board Member &amp; Chief Executive Officer</t>
        </is>
      </c>
      <c r="AH21" s="42" t="inlineStr">
        <is>
          <t>nick.moutter@mdna.media</t>
        </is>
      </c>
      <c r="AI21" s="43" t="inlineStr">
        <is>
          <t>+44 (0)20 3603 8610</t>
        </is>
      </c>
      <c r="AJ21" s="44" t="inlineStr">
        <is>
          <t>London, United Kingdom</t>
        </is>
      </c>
      <c r="AK21" s="45" t="inlineStr">
        <is>
          <t>High Holborn House, 1st Floor</t>
        </is>
      </c>
      <c r="AL21" s="46" t="inlineStr">
        <is>
          <t>52-54 High Holborn</t>
        </is>
      </c>
      <c r="AM21" s="47" t="inlineStr">
        <is>
          <t>London</t>
        </is>
      </c>
      <c r="AN21" s="48" t="inlineStr">
        <is>
          <t>England</t>
        </is>
      </c>
      <c r="AO21" s="49" t="inlineStr">
        <is>
          <t>WC1V 6RL</t>
        </is>
      </c>
      <c r="AP21" s="50" t="inlineStr">
        <is>
          <t>United Kingdom</t>
        </is>
      </c>
      <c r="AQ21" s="51" t="inlineStr">
        <is>
          <t>+44 (0)20 3603 8610</t>
        </is>
      </c>
      <c r="AR21" s="52" t="inlineStr">
        <is>
          <t/>
        </is>
      </c>
      <c r="AS21" s="53" t="inlineStr">
        <is>
          <t/>
        </is>
      </c>
      <c r="AT21" s="54" t="inlineStr">
        <is>
          <t>Europe</t>
        </is>
      </c>
      <c r="AU21" s="55" t="inlineStr">
        <is>
          <t>Western Europe</t>
        </is>
      </c>
      <c r="AV21" s="56" t="inlineStr">
        <is>
          <t>The company raised $6 million of Series B venture funding from lead investor MMC Ventures on February 4, 2016. Sussex Place Ventures and undislcosed angel investors also participated. The company intends to use the funds for international expansion.</t>
        </is>
      </c>
      <c r="AW21" s="57" t="inlineStr">
        <is>
          <t>Chris Nixon, Doug Scott, Encore Capital, Federico Pirzio-Biroli, Giovanni Finocchio, Ian Woodroffe, Inspire Group Investments, Kima Ventures, Midven, MMC Ventures, Playfair Capital, Richard Fearn, Sussex Place Ventures</t>
        </is>
      </c>
      <c r="AX21" s="58" t="n">
        <v>13.0</v>
      </c>
      <c r="AY21" s="59" t="inlineStr">
        <is>
          <t/>
        </is>
      </c>
      <c r="AZ21" s="60" t="inlineStr">
        <is>
          <t/>
        </is>
      </c>
      <c r="BA21" s="61" t="inlineStr">
        <is>
          <t/>
        </is>
      </c>
      <c r="BB21" s="62" t="inlineStr">
        <is>
          <t>Doug Scott (www.droug.co.uk), Encore Capital (www.encorecapital.co.uk), Inspire Group Investments (www.inspire.co.uk), Kima Ventures (www.kimaventures.com), Midven (www.midven.co.uk), MMC Ventures (www.mmcventures.com), Playfair Capital (www.playfaircapital.com), Sussex Place Ventures (www.spventures.com)</t>
        </is>
      </c>
      <c r="BC21" s="63" t="inlineStr">
        <is>
          <t/>
        </is>
      </c>
      <c r="BD21" s="64" t="inlineStr">
        <is>
          <t/>
        </is>
      </c>
      <c r="BE21" s="65" t="inlineStr">
        <is>
          <t>Harper James Solicitors (Legal Advisor)</t>
        </is>
      </c>
      <c r="BF21" s="66" t="inlineStr">
        <is>
          <t/>
        </is>
      </c>
      <c r="BG21" s="67" t="n">
        <v>41327.0</v>
      </c>
      <c r="BH21" s="68" t="n">
        <v>0.26</v>
      </c>
      <c r="BI21" s="69" t="inlineStr">
        <is>
          <t>Actual</t>
        </is>
      </c>
      <c r="BJ21" s="70" t="n">
        <v>0.87</v>
      </c>
      <c r="BK21" s="71" t="inlineStr">
        <is>
          <t>Actual</t>
        </is>
      </c>
      <c r="BL21" s="72" t="inlineStr">
        <is>
          <t>Early Stage VC</t>
        </is>
      </c>
      <c r="BM21" s="73" t="inlineStr">
        <is>
          <t/>
        </is>
      </c>
      <c r="BN21" s="74" t="inlineStr">
        <is>
          <t/>
        </is>
      </c>
      <c r="BO21" s="75" t="inlineStr">
        <is>
          <t>Venture Capital</t>
        </is>
      </c>
      <c r="BP21" s="76" t="inlineStr">
        <is>
          <t/>
        </is>
      </c>
      <c r="BQ21" s="77" t="inlineStr">
        <is>
          <t/>
        </is>
      </c>
      <c r="BR21" s="78" t="inlineStr">
        <is>
          <t/>
        </is>
      </c>
      <c r="BS21" s="79" t="inlineStr">
        <is>
          <t>Completed</t>
        </is>
      </c>
      <c r="BT21" s="80" t="n">
        <v>42404.0</v>
      </c>
      <c r="BU21" s="81" t="n">
        <v>5.41</v>
      </c>
      <c r="BV21" s="82" t="inlineStr">
        <is>
          <t>Actual</t>
        </is>
      </c>
      <c r="BW21" s="83" t="inlineStr">
        <is>
          <t/>
        </is>
      </c>
      <c r="BX21" s="84" t="inlineStr">
        <is>
          <t/>
        </is>
      </c>
      <c r="BY21" s="85" t="inlineStr">
        <is>
          <t>Early Stage VC</t>
        </is>
      </c>
      <c r="BZ21" s="86" t="inlineStr">
        <is>
          <t>Series B</t>
        </is>
      </c>
      <c r="CA21" s="87" t="inlineStr">
        <is>
          <t/>
        </is>
      </c>
      <c r="CB21" s="88" t="inlineStr">
        <is>
          <t>Venture Capital</t>
        </is>
      </c>
      <c r="CC21" s="89" t="inlineStr">
        <is>
          <t/>
        </is>
      </c>
      <c r="CD21" s="90" t="inlineStr">
        <is>
          <t/>
        </is>
      </c>
      <c r="CE21" s="91" t="inlineStr">
        <is>
          <t/>
        </is>
      </c>
      <c r="CF21" s="92" t="inlineStr">
        <is>
          <t>Completed</t>
        </is>
      </c>
      <c r="CG21" s="93" t="inlineStr">
        <is>
          <t>-2,31%</t>
        </is>
      </c>
      <c r="CH21" s="94" t="inlineStr">
        <is>
          <t>2</t>
        </is>
      </c>
      <c r="CI21" s="95" t="inlineStr">
        <is>
          <t>-0,02%</t>
        </is>
      </c>
      <c r="CJ21" s="96" t="inlineStr">
        <is>
          <t>-0,74%</t>
        </is>
      </c>
      <c r="CK21" s="97" t="inlineStr">
        <is>
          <t>-4,66%</t>
        </is>
      </c>
      <c r="CL21" s="98" t="inlineStr">
        <is>
          <t>2</t>
        </is>
      </c>
      <c r="CM21" s="99" t="inlineStr">
        <is>
          <t>0,05%</t>
        </is>
      </c>
      <c r="CN21" s="100" t="inlineStr">
        <is>
          <t>52</t>
        </is>
      </c>
      <c r="CO21" s="101" t="inlineStr">
        <is>
          <t>-12,41%</t>
        </is>
      </c>
      <c r="CP21" s="102" t="inlineStr">
        <is>
          <t>1</t>
        </is>
      </c>
      <c r="CQ21" s="103" t="inlineStr">
        <is>
          <t>3,09%</t>
        </is>
      </c>
      <c r="CR21" s="104" t="inlineStr">
        <is>
          <t>93</t>
        </is>
      </c>
      <c r="CS21" s="105" t="inlineStr">
        <is>
          <t/>
        </is>
      </c>
      <c r="CT21" s="106" t="inlineStr">
        <is>
          <t/>
        </is>
      </c>
      <c r="CU21" s="107" t="inlineStr">
        <is>
          <t>0,05%</t>
        </is>
      </c>
      <c r="CV21" s="108" t="inlineStr">
        <is>
          <t>61</t>
        </is>
      </c>
      <c r="CW21" s="109" t="inlineStr">
        <is>
          <t>3,50x</t>
        </is>
      </c>
      <c r="CX21" s="110" t="inlineStr">
        <is>
          <t>74</t>
        </is>
      </c>
      <c r="CY21" s="111" t="inlineStr">
        <is>
          <t>0,04x</t>
        </is>
      </c>
      <c r="CZ21" s="112" t="inlineStr">
        <is>
          <t>1,20%</t>
        </is>
      </c>
      <c r="DA21" s="113" t="inlineStr">
        <is>
          <t>5,48x</t>
        </is>
      </c>
      <c r="DB21" s="114" t="inlineStr">
        <is>
          <t>81</t>
        </is>
      </c>
      <c r="DC21" s="115" t="inlineStr">
        <is>
          <t>1,52x</t>
        </is>
      </c>
      <c r="DD21" s="116" t="inlineStr">
        <is>
          <t>56</t>
        </is>
      </c>
      <c r="DE21" s="117" t="inlineStr">
        <is>
          <t>2,27x</t>
        </is>
      </c>
      <c r="DF21" s="118" t="inlineStr">
        <is>
          <t>66</t>
        </is>
      </c>
      <c r="DG21" s="119" t="inlineStr">
        <is>
          <t>8,69x</t>
        </is>
      </c>
      <c r="DH21" s="120" t="inlineStr">
        <is>
          <t>84</t>
        </is>
      </c>
      <c r="DI21" s="121" t="inlineStr">
        <is>
          <t/>
        </is>
      </c>
      <c r="DJ21" s="122" t="inlineStr">
        <is>
          <t/>
        </is>
      </c>
      <c r="DK21" s="123" t="inlineStr">
        <is>
          <t>1,52x</t>
        </is>
      </c>
      <c r="DL21" s="124" t="inlineStr">
        <is>
          <t>58</t>
        </is>
      </c>
      <c r="DM21" s="125" t="inlineStr">
        <is>
          <t>1.535</t>
        </is>
      </c>
      <c r="DN21" s="126" t="inlineStr">
        <is>
          <t>-413</t>
        </is>
      </c>
      <c r="DO21" s="127" t="inlineStr">
        <is>
          <t>-21,20%</t>
        </is>
      </c>
      <c r="DP21" s="128" t="inlineStr">
        <is>
          <t/>
        </is>
      </c>
      <c r="DQ21" s="129" t="inlineStr">
        <is>
          <t/>
        </is>
      </c>
      <c r="DR21" s="130" t="inlineStr">
        <is>
          <t/>
        </is>
      </c>
      <c r="DS21" s="131" t="inlineStr">
        <is>
          <t>315</t>
        </is>
      </c>
      <c r="DT21" s="132" t="inlineStr">
        <is>
          <t>-3</t>
        </is>
      </c>
      <c r="DU21" s="133" t="inlineStr">
        <is>
          <t>-0,94%</t>
        </is>
      </c>
      <c r="DV21" s="134" t="inlineStr">
        <is>
          <t>520</t>
        </is>
      </c>
      <c r="DW21" s="135" t="inlineStr">
        <is>
          <t>0</t>
        </is>
      </c>
      <c r="DX21" s="136" t="inlineStr">
        <is>
          <t>0,00%</t>
        </is>
      </c>
      <c r="DY21" s="137" t="inlineStr">
        <is>
          <t>PitchBook Research</t>
        </is>
      </c>
      <c r="DZ21" s="785">
        <f>HYPERLINK("https://my.pitchbook.com?c=56199-34", "View company online")</f>
      </c>
    </row>
    <row r="22">
      <c r="A22" s="139" t="inlineStr">
        <is>
          <t>109569-34</t>
        </is>
      </c>
      <c r="B22" s="140" t="inlineStr">
        <is>
          <t>AdotMob</t>
        </is>
      </c>
      <c r="C22" s="141" t="inlineStr">
        <is>
          <t/>
        </is>
      </c>
      <c r="D22" s="142" t="inlineStr">
        <is>
          <t/>
        </is>
      </c>
      <c r="E22" s="143" t="inlineStr">
        <is>
          <t>109569-34</t>
        </is>
      </c>
      <c r="F22" s="144" t="inlineStr">
        <is>
          <t>Provider of mobile programmatic platform designed to deliver branding and performance campaigns for advertisers and media agencies. The company's marketing suite includes a buying stack, proprietary audiences and exclusive in-house and dynamic formats to build mobile advertising campaigns using real-time bidding and proprietary algorithms, solving the problem of market fragmentation.</t>
        </is>
      </c>
      <c r="G22" s="145" t="inlineStr">
        <is>
          <t>Information Technology</t>
        </is>
      </c>
      <c r="H22" s="146" t="inlineStr">
        <is>
          <t>Software</t>
        </is>
      </c>
      <c r="I22" s="147" t="inlineStr">
        <is>
          <t>Multimedia and Design Software</t>
        </is>
      </c>
      <c r="J22" s="148" t="inlineStr">
        <is>
          <t>Multimedia and Design Software*; Social/Platform Software</t>
        </is>
      </c>
      <c r="K22" s="149" t="inlineStr">
        <is>
          <t>AdTech</t>
        </is>
      </c>
      <c r="L22" s="150" t="inlineStr">
        <is>
          <t>Venture Capital-Backed</t>
        </is>
      </c>
      <c r="M22" s="151" t="n">
        <v>11.0</v>
      </c>
      <c r="N22" s="152" t="inlineStr">
        <is>
          <t>Startup</t>
        </is>
      </c>
      <c r="O22" s="153" t="inlineStr">
        <is>
          <t>Privately Held (backing)</t>
        </is>
      </c>
      <c r="P22" s="154" t="inlineStr">
        <is>
          <t>Venture Capital</t>
        </is>
      </c>
      <c r="Q22" s="155" t="inlineStr">
        <is>
          <t>www.adotmob.com</t>
        </is>
      </c>
      <c r="R22" s="156" t="n">
        <v>45.0</v>
      </c>
      <c r="S22" s="157" t="inlineStr">
        <is>
          <t/>
        </is>
      </c>
      <c r="T22" s="158" t="inlineStr">
        <is>
          <t/>
        </is>
      </c>
      <c r="U22" s="159" t="n">
        <v>2014.0</v>
      </c>
      <c r="V22" s="160" t="inlineStr">
        <is>
          <t/>
        </is>
      </c>
      <c r="W22" s="161" t="inlineStr">
        <is>
          <t/>
        </is>
      </c>
      <c r="X22" s="162" t="inlineStr">
        <is>
          <t/>
        </is>
      </c>
      <c r="Y22" s="163" t="n">
        <v>0.9984</v>
      </c>
      <c r="Z22" s="164" t="inlineStr">
        <is>
          <t/>
        </is>
      </c>
      <c r="AA22" s="165" t="inlineStr">
        <is>
          <t/>
        </is>
      </c>
      <c r="AB22" s="166" t="inlineStr">
        <is>
          <t/>
        </is>
      </c>
      <c r="AC22" s="167" t="inlineStr">
        <is>
          <t/>
        </is>
      </c>
      <c r="AD22" s="168" t="inlineStr">
        <is>
          <t>FY 2014</t>
        </is>
      </c>
      <c r="AE22" s="169" t="inlineStr">
        <is>
          <t>94817-89P</t>
        </is>
      </c>
      <c r="AF22" s="170" t="inlineStr">
        <is>
          <t>Yannis Yahiaoui</t>
        </is>
      </c>
      <c r="AG22" s="171" t="inlineStr">
        <is>
          <t>Co-Founder &amp; Chief Executive Officer</t>
        </is>
      </c>
      <c r="AH22" s="172" t="inlineStr">
        <is>
          <t>yannis.yahiaoui@adotmob.com</t>
        </is>
      </c>
      <c r="AI22" s="173" t="inlineStr">
        <is>
          <t/>
        </is>
      </c>
      <c r="AJ22" s="174" t="inlineStr">
        <is>
          <t>Paris, France</t>
        </is>
      </c>
      <c r="AK22" s="175" t="inlineStr">
        <is>
          <t>13 Rue d'Uzès</t>
        </is>
      </c>
      <c r="AL22" s="176" t="inlineStr">
        <is>
          <t/>
        </is>
      </c>
      <c r="AM22" s="177" t="inlineStr">
        <is>
          <t>Paris</t>
        </is>
      </c>
      <c r="AN22" s="178" t="inlineStr">
        <is>
          <t/>
        </is>
      </c>
      <c r="AO22" s="179" t="inlineStr">
        <is>
          <t>75002</t>
        </is>
      </c>
      <c r="AP22" s="180" t="inlineStr">
        <is>
          <t>France</t>
        </is>
      </c>
      <c r="AQ22" s="181" t="inlineStr">
        <is>
          <t/>
        </is>
      </c>
      <c r="AR22" s="182" t="inlineStr">
        <is>
          <t/>
        </is>
      </c>
      <c r="AS22" s="183" t="inlineStr">
        <is>
          <t>contact@adotmob.com</t>
        </is>
      </c>
      <c r="AT22" s="184" t="inlineStr">
        <is>
          <t>Europe</t>
        </is>
      </c>
      <c r="AU22" s="185" t="inlineStr">
        <is>
          <t>Western Europe</t>
        </is>
      </c>
      <c r="AV22" s="186" t="inlineStr">
        <is>
          <t>Iris Capital Management sold its stake in the company on an undisclosed date. Previously, the company received EUR 10 million of financing from Vente-Privee.com on September 19, 2016.</t>
        </is>
      </c>
      <c r="AW22" s="187" t="inlineStr">
        <is>
          <t>Kerala Ventures, Vente-Privee.om</t>
        </is>
      </c>
      <c r="AX22" s="188" t="n">
        <v>2.0</v>
      </c>
      <c r="AY22" s="189" t="inlineStr">
        <is>
          <t/>
        </is>
      </c>
      <c r="AZ22" s="190" t="inlineStr">
        <is>
          <t>Iris Capital Management</t>
        </is>
      </c>
      <c r="BA22" s="191" t="inlineStr">
        <is>
          <t/>
        </is>
      </c>
      <c r="BB22" s="192" t="inlineStr">
        <is>
          <t>Kerala Ventures (www.krlventures.com), Vente-Privee.om (secure.uk.vente-privee.com)</t>
        </is>
      </c>
      <c r="BC22" s="193" t="inlineStr">
        <is>
          <t>Iris Capital Management (www.iriscapital.com)</t>
        </is>
      </c>
      <c r="BD22" s="194" t="inlineStr">
        <is>
          <t/>
        </is>
      </c>
      <c r="BE22" s="195" t="inlineStr">
        <is>
          <t/>
        </is>
      </c>
      <c r="BF22" s="196" t="inlineStr">
        <is>
          <t>Clipperton Finance (Advisor)</t>
        </is>
      </c>
      <c r="BG22" s="197" t="n">
        <v>42065.0</v>
      </c>
      <c r="BH22" s="198" t="n">
        <v>1.0</v>
      </c>
      <c r="BI22" s="199" t="inlineStr">
        <is>
          <t>Actual</t>
        </is>
      </c>
      <c r="BJ22" s="200" t="inlineStr">
        <is>
          <t/>
        </is>
      </c>
      <c r="BK22" s="201" t="inlineStr">
        <is>
          <t/>
        </is>
      </c>
      <c r="BL22" s="202" t="inlineStr">
        <is>
          <t>Seed Round</t>
        </is>
      </c>
      <c r="BM22" s="203" t="inlineStr">
        <is>
          <t>Seed</t>
        </is>
      </c>
      <c r="BN22" s="204" t="inlineStr">
        <is>
          <t/>
        </is>
      </c>
      <c r="BO22" s="205" t="inlineStr">
        <is>
          <t>Venture Capital</t>
        </is>
      </c>
      <c r="BP22" s="206" t="inlineStr">
        <is>
          <t/>
        </is>
      </c>
      <c r="BQ22" s="207" t="inlineStr">
        <is>
          <t/>
        </is>
      </c>
      <c r="BR22" s="208" t="inlineStr">
        <is>
          <t/>
        </is>
      </c>
      <c r="BS22" s="209" t="inlineStr">
        <is>
          <t>Completed</t>
        </is>
      </c>
      <c r="BT22" s="210" t="inlineStr">
        <is>
          <t/>
        </is>
      </c>
      <c r="BU22" s="211" t="inlineStr">
        <is>
          <t/>
        </is>
      </c>
      <c r="BV22" s="212" t="inlineStr">
        <is>
          <t/>
        </is>
      </c>
      <c r="BW22" s="213" t="inlineStr">
        <is>
          <t/>
        </is>
      </c>
      <c r="BX22" s="214" t="inlineStr">
        <is>
          <t/>
        </is>
      </c>
      <c r="BY22" s="215" t="inlineStr">
        <is>
          <t>Secondary Transaction - Private</t>
        </is>
      </c>
      <c r="BZ22" s="216" t="inlineStr">
        <is>
          <t/>
        </is>
      </c>
      <c r="CA22" s="217" t="inlineStr">
        <is>
          <t/>
        </is>
      </c>
      <c r="CB22" s="218" t="inlineStr">
        <is>
          <t>Venture Capital</t>
        </is>
      </c>
      <c r="CC22" s="219" t="inlineStr">
        <is>
          <t/>
        </is>
      </c>
      <c r="CD22" s="220" t="inlineStr">
        <is>
          <t/>
        </is>
      </c>
      <c r="CE22" s="221" t="inlineStr">
        <is>
          <t/>
        </is>
      </c>
      <c r="CF22" s="222" t="inlineStr">
        <is>
          <t>Completed</t>
        </is>
      </c>
      <c r="CG22" s="223" t="inlineStr">
        <is>
          <t>-2,40%</t>
        </is>
      </c>
      <c r="CH22" s="224" t="inlineStr">
        <is>
          <t>2</t>
        </is>
      </c>
      <c r="CI22" s="225" t="inlineStr">
        <is>
          <t>-0,02%</t>
        </is>
      </c>
      <c r="CJ22" s="226" t="inlineStr">
        <is>
          <t>-0,73%</t>
        </is>
      </c>
      <c r="CK22" s="227" t="inlineStr">
        <is>
          <t>-4,84%</t>
        </is>
      </c>
      <c r="CL22" s="228" t="inlineStr">
        <is>
          <t>1</t>
        </is>
      </c>
      <c r="CM22" s="229" t="inlineStr">
        <is>
          <t>0,05%</t>
        </is>
      </c>
      <c r="CN22" s="230" t="inlineStr">
        <is>
          <t>52</t>
        </is>
      </c>
      <c r="CO22" s="231" t="inlineStr">
        <is>
          <t>-9,68%</t>
        </is>
      </c>
      <c r="CP22" s="232" t="inlineStr">
        <is>
          <t>2</t>
        </is>
      </c>
      <c r="CQ22" s="233" t="inlineStr">
        <is>
          <t>0,00%</t>
        </is>
      </c>
      <c r="CR22" s="234" t="inlineStr">
        <is>
          <t>13</t>
        </is>
      </c>
      <c r="CS22" s="235" t="inlineStr">
        <is>
          <t>0,03%</t>
        </is>
      </c>
      <c r="CT22" s="236" t="inlineStr">
        <is>
          <t>45</t>
        </is>
      </c>
      <c r="CU22" s="237" t="inlineStr">
        <is>
          <t>0,07%</t>
        </is>
      </c>
      <c r="CV22" s="238" t="inlineStr">
        <is>
          <t>64</t>
        </is>
      </c>
      <c r="CW22" s="239" t="inlineStr">
        <is>
          <t>1,31x</t>
        </is>
      </c>
      <c r="CX22" s="240" t="inlineStr">
        <is>
          <t>55</t>
        </is>
      </c>
      <c r="CY22" s="241" t="inlineStr">
        <is>
          <t>0,02x</t>
        </is>
      </c>
      <c r="CZ22" s="242" t="inlineStr">
        <is>
          <t>1,72%</t>
        </is>
      </c>
      <c r="DA22" s="243" t="inlineStr">
        <is>
          <t>0,95x</t>
        </is>
      </c>
      <c r="DB22" s="244" t="inlineStr">
        <is>
          <t>51</t>
        </is>
      </c>
      <c r="DC22" s="245" t="inlineStr">
        <is>
          <t>1,67x</t>
        </is>
      </c>
      <c r="DD22" s="246" t="inlineStr">
        <is>
          <t>58</t>
        </is>
      </c>
      <c r="DE22" s="247" t="inlineStr">
        <is>
          <t>1,12x</t>
        </is>
      </c>
      <c r="DF22" s="248" t="inlineStr">
        <is>
          <t>53</t>
        </is>
      </c>
      <c r="DG22" s="249" t="inlineStr">
        <is>
          <t>0,78x</t>
        </is>
      </c>
      <c r="DH22" s="250" t="inlineStr">
        <is>
          <t>45</t>
        </is>
      </c>
      <c r="DI22" s="251" t="inlineStr">
        <is>
          <t>0,52x</t>
        </is>
      </c>
      <c r="DJ22" s="252" t="inlineStr">
        <is>
          <t>39</t>
        </is>
      </c>
      <c r="DK22" s="253" t="inlineStr">
        <is>
          <t>2,83x</t>
        </is>
      </c>
      <c r="DL22" s="254" t="inlineStr">
        <is>
          <t>69</t>
        </is>
      </c>
      <c r="DM22" s="255" t="inlineStr">
        <is>
          <t>761</t>
        </is>
      </c>
      <c r="DN22" s="256" t="inlineStr">
        <is>
          <t>-227</t>
        </is>
      </c>
      <c r="DO22" s="257" t="inlineStr">
        <is>
          <t>-22,98%</t>
        </is>
      </c>
      <c r="DP22" s="258" t="inlineStr">
        <is>
          <t>416</t>
        </is>
      </c>
      <c r="DQ22" s="259" t="inlineStr">
        <is>
          <t>0</t>
        </is>
      </c>
      <c r="DR22" s="260" t="inlineStr">
        <is>
          <t>0,00%</t>
        </is>
      </c>
      <c r="DS22" s="261" t="inlineStr">
        <is>
          <t>28</t>
        </is>
      </c>
      <c r="DT22" s="262" t="inlineStr">
        <is>
          <t>0</t>
        </is>
      </c>
      <c r="DU22" s="263" t="inlineStr">
        <is>
          <t>0,00%</t>
        </is>
      </c>
      <c r="DV22" s="264" t="inlineStr">
        <is>
          <t>968</t>
        </is>
      </c>
      <c r="DW22" s="265" t="inlineStr">
        <is>
          <t>2</t>
        </is>
      </c>
      <c r="DX22" s="266" t="inlineStr">
        <is>
          <t>0,21%</t>
        </is>
      </c>
      <c r="DY22" s="267" t="inlineStr">
        <is>
          <t>PitchBook Research</t>
        </is>
      </c>
      <c r="DZ22" s="786">
        <f>HYPERLINK("https://my.pitchbook.com?c=109569-34", "View company online")</f>
      </c>
    </row>
    <row r="23">
      <c r="A23" s="9" t="inlineStr">
        <is>
          <t>56856-52</t>
        </is>
      </c>
      <c r="B23" s="10" t="inlineStr">
        <is>
          <t>advanceCOR</t>
        </is>
      </c>
      <c r="C23" s="11" t="inlineStr">
        <is>
          <t/>
        </is>
      </c>
      <c r="D23" s="12" t="inlineStr">
        <is>
          <t/>
        </is>
      </c>
      <c r="E23" s="13" t="inlineStr">
        <is>
          <t>56856-52</t>
        </is>
      </c>
      <c r="F23" s="14" t="inlineStr">
        <is>
          <t>Developer of medicines for the treatment of cardiovascular diseases. The company develops drugs with the focus on inflammatory mechanisms in atherosclerosis.</t>
        </is>
      </c>
      <c r="G23" s="15" t="inlineStr">
        <is>
          <t>Healthcare</t>
        </is>
      </c>
      <c r="H23" s="16" t="inlineStr">
        <is>
          <t>Pharmaceuticals and Biotechnology</t>
        </is>
      </c>
      <c r="I23" s="17" t="inlineStr">
        <is>
          <t>Drug Discovery</t>
        </is>
      </c>
      <c r="J23" s="18" t="inlineStr">
        <is>
          <t>Drug Discovery*; Other Pharmaceuticals and Biotechnology</t>
        </is>
      </c>
      <c r="K23" s="19" t="inlineStr">
        <is>
          <t>Life Sciences</t>
        </is>
      </c>
      <c r="L23" s="20" t="inlineStr">
        <is>
          <t>Venture Capital-Backed</t>
        </is>
      </c>
      <c r="M23" s="21" t="n">
        <v>8.7</v>
      </c>
      <c r="N23" s="22" t="inlineStr">
        <is>
          <t>Startup</t>
        </is>
      </c>
      <c r="O23" s="23" t="inlineStr">
        <is>
          <t>Privately Held (backing)</t>
        </is>
      </c>
      <c r="P23" s="24" t="inlineStr">
        <is>
          <t>Venture Capital</t>
        </is>
      </c>
      <c r="Q23" s="25" t="inlineStr">
        <is>
          <t>www.advancecor.de</t>
        </is>
      </c>
      <c r="R23" s="26" t="inlineStr">
        <is>
          <t/>
        </is>
      </c>
      <c r="S23" s="27" t="inlineStr">
        <is>
          <t/>
        </is>
      </c>
      <c r="T23" s="28" t="inlineStr">
        <is>
          <t/>
        </is>
      </c>
      <c r="U23" s="29" t="n">
        <v>2012.0</v>
      </c>
      <c r="V23" s="30" t="inlineStr">
        <is>
          <t/>
        </is>
      </c>
      <c r="W23" s="31" t="inlineStr">
        <is>
          <t/>
        </is>
      </c>
      <c r="X23" s="32" t="inlineStr">
        <is>
          <t/>
        </is>
      </c>
      <c r="Y23" s="33" t="inlineStr">
        <is>
          <t/>
        </is>
      </c>
      <c r="Z23" s="34" t="inlineStr">
        <is>
          <t/>
        </is>
      </c>
      <c r="AA23" s="35" t="inlineStr">
        <is>
          <t/>
        </is>
      </c>
      <c r="AB23" s="36" t="inlineStr">
        <is>
          <t/>
        </is>
      </c>
      <c r="AC23" s="37" t="inlineStr">
        <is>
          <t/>
        </is>
      </c>
      <c r="AD23" s="38" t="inlineStr">
        <is>
          <t/>
        </is>
      </c>
      <c r="AE23" s="39" t="inlineStr">
        <is>
          <t>49193-74P</t>
        </is>
      </c>
      <c r="AF23" s="40" t="inlineStr">
        <is>
          <t>Gotz Münch</t>
        </is>
      </c>
      <c r="AG23" s="41" t="inlineStr">
        <is>
          <t>Co-Founder &amp; Chief Executive Officer</t>
        </is>
      </c>
      <c r="AH23" s="42" t="inlineStr">
        <is>
          <t/>
        </is>
      </c>
      <c r="AI23" s="43" t="inlineStr">
        <is>
          <t>+49 (0)89 8565 2010</t>
        </is>
      </c>
      <c r="AJ23" s="44" t="inlineStr">
        <is>
          <t>Martinsried, Germany</t>
        </is>
      </c>
      <c r="AK23" s="45" t="inlineStr">
        <is>
          <t>Lochhamer Street 29</t>
        </is>
      </c>
      <c r="AL23" s="46" t="inlineStr">
        <is>
          <t>Rear Building, Martinsried</t>
        </is>
      </c>
      <c r="AM23" s="47" t="inlineStr">
        <is>
          <t>Martinsried</t>
        </is>
      </c>
      <c r="AN23" s="48" t="inlineStr">
        <is>
          <t/>
        </is>
      </c>
      <c r="AO23" s="49" t="inlineStr">
        <is>
          <t>82152</t>
        </is>
      </c>
      <c r="AP23" s="50" t="inlineStr">
        <is>
          <t>Germany</t>
        </is>
      </c>
      <c r="AQ23" s="51" t="inlineStr">
        <is>
          <t>+49 (0)89 8565 2010</t>
        </is>
      </c>
      <c r="AR23" s="52" t="inlineStr">
        <is>
          <t>+49 (0)89 8565 2020</t>
        </is>
      </c>
      <c r="AS23" s="53" t="inlineStr">
        <is>
          <t>info@advancecor.com</t>
        </is>
      </c>
      <c r="AT23" s="54" t="inlineStr">
        <is>
          <t>Europe</t>
        </is>
      </c>
      <c r="AU23" s="55" t="inlineStr">
        <is>
          <t>Western Europe</t>
        </is>
      </c>
      <c r="AV23" s="56" t="inlineStr">
        <is>
          <t>The company received EUR 900,000 in grant funding from Bavarian Research Foundation and Bundesministerium für Bildung und Forschung in May 2016.</t>
        </is>
      </c>
      <c r="AW23" s="57" t="inlineStr">
        <is>
          <t>Bavarian Research Foundation, Bayern Kapital, BioM, Bundesministerium für Bildung und Forschung, High-Tech Gründerfonds, HMW Innovations, KfW IPEX-Bank</t>
        </is>
      </c>
      <c r="AX23" s="58" t="n">
        <v>7.0</v>
      </c>
      <c r="AY23" s="59" t="inlineStr">
        <is>
          <t/>
        </is>
      </c>
      <c r="AZ23" s="60" t="inlineStr">
        <is>
          <t/>
        </is>
      </c>
      <c r="BA23" s="61" t="inlineStr">
        <is>
          <t/>
        </is>
      </c>
      <c r="BB23" s="62" t="inlineStr">
        <is>
          <t>Bayern Kapital (www.bayernkapital.de), BioM (www.bio-m.org), Bundesministerium für Bildung und Forschung (www.bmbf.de), High-Tech Gründerfonds (www.high-tech-gruenderfonds.de), HMW Innovations (www.hmw-innovations.ag), KfW IPEX-Bank (www.kfw-ipex-bank.de)</t>
        </is>
      </c>
      <c r="BC23" s="63" t="inlineStr">
        <is>
          <t/>
        </is>
      </c>
      <c r="BD23" s="64" t="inlineStr">
        <is>
          <t/>
        </is>
      </c>
      <c r="BE23" s="65" t="inlineStr">
        <is>
          <t/>
        </is>
      </c>
      <c r="BF23" s="66" t="inlineStr">
        <is>
          <t/>
        </is>
      </c>
      <c r="BG23" s="67" t="n">
        <v>41334.0</v>
      </c>
      <c r="BH23" s="68" t="n">
        <v>6.5</v>
      </c>
      <c r="BI23" s="69" t="inlineStr">
        <is>
          <t>Actual</t>
        </is>
      </c>
      <c r="BJ23" s="70" t="inlineStr">
        <is>
          <t/>
        </is>
      </c>
      <c r="BK23" s="71" t="inlineStr">
        <is>
          <t/>
        </is>
      </c>
      <c r="BL23" s="72" t="inlineStr">
        <is>
          <t>Early Stage VC</t>
        </is>
      </c>
      <c r="BM23" s="73" t="inlineStr">
        <is>
          <t>Series A</t>
        </is>
      </c>
      <c r="BN23" s="74" t="inlineStr">
        <is>
          <t/>
        </is>
      </c>
      <c r="BO23" s="75" t="inlineStr">
        <is>
          <t>Venture Capital</t>
        </is>
      </c>
      <c r="BP23" s="76" t="inlineStr">
        <is>
          <t/>
        </is>
      </c>
      <c r="BQ23" s="77" t="inlineStr">
        <is>
          <t/>
        </is>
      </c>
      <c r="BR23" s="78" t="inlineStr">
        <is>
          <t/>
        </is>
      </c>
      <c r="BS23" s="79" t="inlineStr">
        <is>
          <t>Completed</t>
        </is>
      </c>
      <c r="BT23" s="80" t="n">
        <v>42491.0</v>
      </c>
      <c r="BU23" s="81" t="n">
        <v>0.9</v>
      </c>
      <c r="BV23" s="82" t="inlineStr">
        <is>
          <t>Actual</t>
        </is>
      </c>
      <c r="BW23" s="83" t="inlineStr">
        <is>
          <t/>
        </is>
      </c>
      <c r="BX23" s="84" t="inlineStr">
        <is>
          <t/>
        </is>
      </c>
      <c r="BY23" s="85" t="inlineStr">
        <is>
          <t>Grant</t>
        </is>
      </c>
      <c r="BZ23" s="86" t="inlineStr">
        <is>
          <t/>
        </is>
      </c>
      <c r="CA23" s="87" t="inlineStr">
        <is>
          <t/>
        </is>
      </c>
      <c r="CB23" s="88" t="inlineStr">
        <is>
          <t>Other</t>
        </is>
      </c>
      <c r="CC23" s="89" t="inlineStr">
        <is>
          <t/>
        </is>
      </c>
      <c r="CD23" s="90" t="inlineStr">
        <is>
          <t/>
        </is>
      </c>
      <c r="CE23" s="91" t="inlineStr">
        <is>
          <t/>
        </is>
      </c>
      <c r="CF23" s="92" t="inlineStr">
        <is>
          <t>Completed</t>
        </is>
      </c>
      <c r="CG23" s="93" t="inlineStr">
        <is>
          <t>0,00%</t>
        </is>
      </c>
      <c r="CH23" s="94" t="inlineStr">
        <is>
          <t>23</t>
        </is>
      </c>
      <c r="CI23" s="95" t="inlineStr">
        <is>
          <t>0,00%</t>
        </is>
      </c>
      <c r="CJ23" s="96" t="inlineStr">
        <is>
          <t>0,00%</t>
        </is>
      </c>
      <c r="CK23" s="97" t="inlineStr">
        <is>
          <t>0,00%</t>
        </is>
      </c>
      <c r="CL23" s="98" t="inlineStr">
        <is>
          <t>18</t>
        </is>
      </c>
      <c r="CM23" s="99" t="inlineStr">
        <is>
          <t/>
        </is>
      </c>
      <c r="CN23" s="100" t="inlineStr">
        <is>
          <t/>
        </is>
      </c>
      <c r="CO23" s="101" t="inlineStr">
        <is>
          <t>0,00%</t>
        </is>
      </c>
      <c r="CP23" s="102" t="inlineStr">
        <is>
          <t>26</t>
        </is>
      </c>
      <c r="CQ23" s="103" t="inlineStr">
        <is>
          <t/>
        </is>
      </c>
      <c r="CR23" s="104" t="inlineStr">
        <is>
          <t/>
        </is>
      </c>
      <c r="CS23" s="105" t="inlineStr">
        <is>
          <t/>
        </is>
      </c>
      <c r="CT23" s="106" t="inlineStr">
        <is>
          <t/>
        </is>
      </c>
      <c r="CU23" s="107" t="inlineStr">
        <is>
          <t/>
        </is>
      </c>
      <c r="CV23" s="108" t="inlineStr">
        <is>
          <t/>
        </is>
      </c>
      <c r="CW23" s="109" t="inlineStr">
        <is>
          <t>0,12x</t>
        </is>
      </c>
      <c r="CX23" s="110" t="inlineStr">
        <is>
          <t>11</t>
        </is>
      </c>
      <c r="CY23" s="111" t="inlineStr">
        <is>
          <t>0,00x</t>
        </is>
      </c>
      <c r="CZ23" s="112" t="inlineStr">
        <is>
          <t>0,00%</t>
        </is>
      </c>
      <c r="DA23" s="113" t="inlineStr">
        <is>
          <t>0,12x</t>
        </is>
      </c>
      <c r="DB23" s="114" t="inlineStr">
        <is>
          <t>13</t>
        </is>
      </c>
      <c r="DC23" s="115" t="inlineStr">
        <is>
          <t/>
        </is>
      </c>
      <c r="DD23" s="116" t="inlineStr">
        <is>
          <t/>
        </is>
      </c>
      <c r="DE23" s="117" t="inlineStr">
        <is>
          <t>0,12x</t>
        </is>
      </c>
      <c r="DF23" s="118" t="inlineStr">
        <is>
          <t>11</t>
        </is>
      </c>
      <c r="DG23" s="119" t="inlineStr">
        <is>
          <t/>
        </is>
      </c>
      <c r="DH23" s="120" t="inlineStr">
        <is>
          <t/>
        </is>
      </c>
      <c r="DI23" s="121" t="inlineStr">
        <is>
          <t/>
        </is>
      </c>
      <c r="DJ23" s="122" t="inlineStr">
        <is>
          <t/>
        </is>
      </c>
      <c r="DK23" s="123" t="inlineStr">
        <is>
          <t/>
        </is>
      </c>
      <c r="DL23" s="124" t="inlineStr">
        <is>
          <t/>
        </is>
      </c>
      <c r="DM23" s="125" t="inlineStr">
        <is>
          <t>82</t>
        </is>
      </c>
      <c r="DN23" s="126" t="inlineStr">
        <is>
          <t>-24</t>
        </is>
      </c>
      <c r="DO23" s="127" t="inlineStr">
        <is>
          <t>-22,64%</t>
        </is>
      </c>
      <c r="DP23" s="128" t="inlineStr">
        <is>
          <t/>
        </is>
      </c>
      <c r="DQ23" s="129" t="inlineStr">
        <is>
          <t/>
        </is>
      </c>
      <c r="DR23" s="130" t="inlineStr">
        <is>
          <t/>
        </is>
      </c>
      <c r="DS23" s="131" t="inlineStr">
        <is>
          <t/>
        </is>
      </c>
      <c r="DT23" s="132" t="inlineStr">
        <is>
          <t/>
        </is>
      </c>
      <c r="DU23" s="133" t="inlineStr">
        <is>
          <t/>
        </is>
      </c>
      <c r="DV23" s="134" t="inlineStr">
        <is>
          <t/>
        </is>
      </c>
      <c r="DW23" s="135" t="inlineStr">
        <is>
          <t/>
        </is>
      </c>
      <c r="DX23" s="136" t="inlineStr">
        <is>
          <t/>
        </is>
      </c>
      <c r="DY23" s="137" t="inlineStr">
        <is>
          <t>PitchBook Research</t>
        </is>
      </c>
      <c r="DZ23" s="785">
        <f>HYPERLINK("https://my.pitchbook.com?c=56856-52", "View company online")</f>
      </c>
    </row>
    <row r="24">
      <c r="A24" s="139" t="inlineStr">
        <is>
          <t>151170-13</t>
        </is>
      </c>
      <c r="B24" s="140" t="inlineStr">
        <is>
          <t>Aelix Therapeutics</t>
        </is>
      </c>
      <c r="C24" s="141" t="inlineStr">
        <is>
          <t/>
        </is>
      </c>
      <c r="D24" s="142" t="inlineStr">
        <is>
          <t/>
        </is>
      </c>
      <c r="E24" s="143" t="inlineStr">
        <is>
          <t>151170-13</t>
        </is>
      </c>
      <c r="F24" s="144" t="inlineStr">
        <is>
          <t>Developer of a new therapeutic vaccine designed to help people with HIV. The company's new therapeutic vaccine is basedon a disruptive design of a T-cellimmunogen that is able to elicit a strong broad and focused responseagainst HIV and has the potential to radically transform the treatment of HIV infection, enabling patients to get cured from HIV diseases.</t>
        </is>
      </c>
      <c r="G24" s="145" t="inlineStr">
        <is>
          <t>Healthcare</t>
        </is>
      </c>
      <c r="H24" s="146" t="inlineStr">
        <is>
          <t>Pharmaceuticals and Biotechnology</t>
        </is>
      </c>
      <c r="I24" s="147" t="inlineStr">
        <is>
          <t>Biotechnology</t>
        </is>
      </c>
      <c r="J24" s="148" t="inlineStr">
        <is>
          <t>Biotechnology*; Drug Delivery; Pharmaceuticals</t>
        </is>
      </c>
      <c r="K24" s="149" t="inlineStr">
        <is>
          <t>Life Sciences</t>
        </is>
      </c>
      <c r="L24" s="150" t="inlineStr">
        <is>
          <t>Venture Capital-Backed</t>
        </is>
      </c>
      <c r="M24" s="151" t="n">
        <v>11.96</v>
      </c>
      <c r="N24" s="152" t="inlineStr">
        <is>
          <t>Startup</t>
        </is>
      </c>
      <c r="O24" s="153" t="inlineStr">
        <is>
          <t>Privately Held (backing)</t>
        </is>
      </c>
      <c r="P24" s="154" t="inlineStr">
        <is>
          <t>Venture Capital</t>
        </is>
      </c>
      <c r="Q24" s="155" t="inlineStr">
        <is>
          <t>www.aelixtherapeutics.com</t>
        </is>
      </c>
      <c r="R24" s="156" t="inlineStr">
        <is>
          <t/>
        </is>
      </c>
      <c r="S24" s="157" t="inlineStr">
        <is>
          <t/>
        </is>
      </c>
      <c r="T24" s="158" t="inlineStr">
        <is>
          <t/>
        </is>
      </c>
      <c r="U24" s="159" t="n">
        <v>2015.0</v>
      </c>
      <c r="V24" s="160" t="inlineStr">
        <is>
          <t/>
        </is>
      </c>
      <c r="W24" s="161" t="inlineStr">
        <is>
          <t/>
        </is>
      </c>
      <c r="X24" s="162" t="inlineStr">
        <is>
          <t/>
        </is>
      </c>
      <c r="Y24" s="163" t="inlineStr">
        <is>
          <t/>
        </is>
      </c>
      <c r="Z24" s="164" t="inlineStr">
        <is>
          <t/>
        </is>
      </c>
      <c r="AA24" s="165" t="inlineStr">
        <is>
          <t/>
        </is>
      </c>
      <c r="AB24" s="166" t="inlineStr">
        <is>
          <t/>
        </is>
      </c>
      <c r="AC24" s="167" t="inlineStr">
        <is>
          <t/>
        </is>
      </c>
      <c r="AD24" s="168" t="inlineStr">
        <is>
          <t/>
        </is>
      </c>
      <c r="AE24" s="169" t="inlineStr">
        <is>
          <t>60748-30P</t>
        </is>
      </c>
      <c r="AF24" s="170" t="inlineStr">
        <is>
          <t>Jordi Naval</t>
        </is>
      </c>
      <c r="AG24" s="171" t="inlineStr">
        <is>
          <t>Co-Founder &amp; Board Member</t>
        </is>
      </c>
      <c r="AH24" s="172" t="inlineStr">
        <is>
          <t>jnaval@aelixtherapeutics.com</t>
        </is>
      </c>
      <c r="AI24" s="173" t="inlineStr">
        <is>
          <t>+34 93 403 1339</t>
        </is>
      </c>
      <c r="AJ24" s="174" t="inlineStr">
        <is>
          <t>Barcelona, Spain</t>
        </is>
      </c>
      <c r="AK24" s="175" t="inlineStr">
        <is>
          <t>Parc Científic de Barcelona</t>
        </is>
      </c>
      <c r="AL24" s="176" t="inlineStr">
        <is>
          <t>Carrer Baldiri i Reixac 4-8</t>
        </is>
      </c>
      <c r="AM24" s="177" t="inlineStr">
        <is>
          <t>Barcelona</t>
        </is>
      </c>
      <c r="AN24" s="178" t="inlineStr">
        <is>
          <t/>
        </is>
      </c>
      <c r="AO24" s="179" t="inlineStr">
        <is>
          <t>08028</t>
        </is>
      </c>
      <c r="AP24" s="180" t="inlineStr">
        <is>
          <t>Spain</t>
        </is>
      </c>
      <c r="AQ24" s="181" t="inlineStr">
        <is>
          <t>+34 93 403 1339</t>
        </is>
      </c>
      <c r="AR24" s="182" t="inlineStr">
        <is>
          <t/>
        </is>
      </c>
      <c r="AS24" s="183" t="inlineStr">
        <is>
          <t>info@aelixtherapeutics.com</t>
        </is>
      </c>
      <c r="AT24" s="184" t="inlineStr">
        <is>
          <t>Europe</t>
        </is>
      </c>
      <c r="AU24" s="185" t="inlineStr">
        <is>
          <t>Southern Europe</t>
        </is>
      </c>
      <c r="AV24" s="186" t="inlineStr">
        <is>
          <t>The company raised $13 million of Series A venture funding in a deal led by Ysios Capital Partners on January 11, 2016. Caixa Capital Risc and Johnson &amp; Johnson Innovation - JJDC also participated in this round. The proceeds will support the development of the HTI immunogen as a therapeutic vaccine against HIV infection up to the completion of a Phase 2 proof-of-concept efficacy trial in HIV-infected individuals.</t>
        </is>
      </c>
      <c r="AW24" s="187" t="inlineStr">
        <is>
          <t>Caixa Capital Risc, Johnson &amp; Johnson Innovation - JJDC, Ysios Capital</t>
        </is>
      </c>
      <c r="AX24" s="188" t="n">
        <v>3.0</v>
      </c>
      <c r="AY24" s="189" t="inlineStr">
        <is>
          <t/>
        </is>
      </c>
      <c r="AZ24" s="190" t="inlineStr">
        <is>
          <t/>
        </is>
      </c>
      <c r="BA24" s="191" t="inlineStr">
        <is>
          <t/>
        </is>
      </c>
      <c r="BB24" s="192" t="inlineStr">
        <is>
          <t>Caixa Capital Risc (www.caixacapitalrisc.es), Johnson &amp; Johnson Innovation - JJDC (www.jnjinnovation.com/jjdc), Ysios Capital (www.ysioscapital.com)</t>
        </is>
      </c>
      <c r="BC24" s="193" t="inlineStr">
        <is>
          <t/>
        </is>
      </c>
      <c r="BD24" s="194" t="inlineStr">
        <is>
          <t/>
        </is>
      </c>
      <c r="BE24" s="195" t="inlineStr">
        <is>
          <t/>
        </is>
      </c>
      <c r="BF24" s="196" t="inlineStr">
        <is>
          <t/>
        </is>
      </c>
      <c r="BG24" s="197" t="n">
        <v>42380.0</v>
      </c>
      <c r="BH24" s="198" t="n">
        <v>11.96</v>
      </c>
      <c r="BI24" s="199" t="inlineStr">
        <is>
          <t>Actual</t>
        </is>
      </c>
      <c r="BJ24" s="200" t="inlineStr">
        <is>
          <t/>
        </is>
      </c>
      <c r="BK24" s="201" t="inlineStr">
        <is>
          <t/>
        </is>
      </c>
      <c r="BL24" s="202" t="inlineStr">
        <is>
          <t>Early Stage VC</t>
        </is>
      </c>
      <c r="BM24" s="203" t="inlineStr">
        <is>
          <t>Series A</t>
        </is>
      </c>
      <c r="BN24" s="204" t="inlineStr">
        <is>
          <t/>
        </is>
      </c>
      <c r="BO24" s="205" t="inlineStr">
        <is>
          <t>Venture Capital</t>
        </is>
      </c>
      <c r="BP24" s="206" t="inlineStr">
        <is>
          <t/>
        </is>
      </c>
      <c r="BQ24" s="207" t="inlineStr">
        <is>
          <t/>
        </is>
      </c>
      <c r="BR24" s="208" t="inlineStr">
        <is>
          <t/>
        </is>
      </c>
      <c r="BS24" s="209" t="inlineStr">
        <is>
          <t>Completed</t>
        </is>
      </c>
      <c r="BT24" s="210" t="n">
        <v>42380.0</v>
      </c>
      <c r="BU24" s="211" t="n">
        <v>11.96</v>
      </c>
      <c r="BV24" s="212" t="inlineStr">
        <is>
          <t>Actual</t>
        </is>
      </c>
      <c r="BW24" s="213" t="inlineStr">
        <is>
          <t/>
        </is>
      </c>
      <c r="BX24" s="214" t="inlineStr">
        <is>
          <t/>
        </is>
      </c>
      <c r="BY24" s="215" t="inlineStr">
        <is>
          <t>Early Stage VC</t>
        </is>
      </c>
      <c r="BZ24" s="216" t="inlineStr">
        <is>
          <t>Series A</t>
        </is>
      </c>
      <c r="CA24" s="217" t="inlineStr">
        <is>
          <t/>
        </is>
      </c>
      <c r="CB24" s="218" t="inlineStr">
        <is>
          <t>Venture Capital</t>
        </is>
      </c>
      <c r="CC24" s="219" t="inlineStr">
        <is>
          <t/>
        </is>
      </c>
      <c r="CD24" s="220" t="inlineStr">
        <is>
          <t/>
        </is>
      </c>
      <c r="CE24" s="221" t="inlineStr">
        <is>
          <t/>
        </is>
      </c>
      <c r="CF24" s="222" t="inlineStr">
        <is>
          <t>Completed</t>
        </is>
      </c>
      <c r="CG24" s="223" t="inlineStr">
        <is>
          <t>0,00%</t>
        </is>
      </c>
      <c r="CH24" s="224" t="inlineStr">
        <is>
          <t>23</t>
        </is>
      </c>
      <c r="CI24" s="225" t="inlineStr">
        <is>
          <t>0,00%</t>
        </is>
      </c>
      <c r="CJ24" s="226" t="inlineStr">
        <is>
          <t>0,00%</t>
        </is>
      </c>
      <c r="CK24" s="227" t="inlineStr">
        <is>
          <t>0,00%</t>
        </is>
      </c>
      <c r="CL24" s="228" t="inlineStr">
        <is>
          <t>18</t>
        </is>
      </c>
      <c r="CM24" s="229" t="inlineStr">
        <is>
          <t/>
        </is>
      </c>
      <c r="CN24" s="230" t="inlineStr">
        <is>
          <t/>
        </is>
      </c>
      <c r="CO24" s="231" t="inlineStr">
        <is>
          <t/>
        </is>
      </c>
      <c r="CP24" s="232" t="inlineStr">
        <is>
          <t/>
        </is>
      </c>
      <c r="CQ24" s="233" t="inlineStr">
        <is>
          <t>0,00%</t>
        </is>
      </c>
      <c r="CR24" s="234" t="inlineStr">
        <is>
          <t>13</t>
        </is>
      </c>
      <c r="CS24" s="235" t="inlineStr">
        <is>
          <t/>
        </is>
      </c>
      <c r="CT24" s="236" t="inlineStr">
        <is>
          <t/>
        </is>
      </c>
      <c r="CU24" s="237" t="inlineStr">
        <is>
          <t/>
        </is>
      </c>
      <c r="CV24" s="238" t="inlineStr">
        <is>
          <t/>
        </is>
      </c>
      <c r="CW24" s="239" t="inlineStr">
        <is>
          <t>1,00x</t>
        </is>
      </c>
      <c r="CX24" s="240" t="inlineStr">
        <is>
          <t>49</t>
        </is>
      </c>
      <c r="CY24" s="241" t="inlineStr">
        <is>
          <t>0,05x</t>
        </is>
      </c>
      <c r="CZ24" s="242" t="inlineStr">
        <is>
          <t>5,71%</t>
        </is>
      </c>
      <c r="DA24" s="243" t="inlineStr">
        <is>
          <t>1,00x</t>
        </is>
      </c>
      <c r="DB24" s="244" t="inlineStr">
        <is>
          <t>52</t>
        </is>
      </c>
      <c r="DC24" s="245" t="inlineStr">
        <is>
          <t/>
        </is>
      </c>
      <c r="DD24" s="246" t="inlineStr">
        <is>
          <t/>
        </is>
      </c>
      <c r="DE24" s="247" t="inlineStr">
        <is>
          <t/>
        </is>
      </c>
      <c r="DF24" s="248" t="inlineStr">
        <is>
          <t/>
        </is>
      </c>
      <c r="DG24" s="249" t="inlineStr">
        <is>
          <t>1,00x</t>
        </is>
      </c>
      <c r="DH24" s="250" t="inlineStr">
        <is>
          <t>50</t>
        </is>
      </c>
      <c r="DI24" s="251" t="inlineStr">
        <is>
          <t/>
        </is>
      </c>
      <c r="DJ24" s="252" t="inlineStr">
        <is>
          <t/>
        </is>
      </c>
      <c r="DK24" s="253" t="inlineStr">
        <is>
          <t/>
        </is>
      </c>
      <c r="DL24" s="254" t="inlineStr">
        <is>
          <t/>
        </is>
      </c>
      <c r="DM24" s="255" t="inlineStr">
        <is>
          <t/>
        </is>
      </c>
      <c r="DN24" s="256" t="inlineStr">
        <is>
          <t/>
        </is>
      </c>
      <c r="DO24" s="257" t="inlineStr">
        <is>
          <t/>
        </is>
      </c>
      <c r="DP24" s="258" t="inlineStr">
        <is>
          <t/>
        </is>
      </c>
      <c r="DQ24" s="259" t="inlineStr">
        <is>
          <t/>
        </is>
      </c>
      <c r="DR24" s="260" t="inlineStr">
        <is>
          <t/>
        </is>
      </c>
      <c r="DS24" s="261" t="inlineStr">
        <is>
          <t>35</t>
        </is>
      </c>
      <c r="DT24" s="262" t="inlineStr">
        <is>
          <t>0</t>
        </is>
      </c>
      <c r="DU24" s="263" t="inlineStr">
        <is>
          <t>0,00%</t>
        </is>
      </c>
      <c r="DV24" s="264" t="inlineStr">
        <is>
          <t/>
        </is>
      </c>
      <c r="DW24" s="265" t="inlineStr">
        <is>
          <t/>
        </is>
      </c>
      <c r="DX24" s="266" t="inlineStr">
        <is>
          <t/>
        </is>
      </c>
      <c r="DY24" s="267" t="inlineStr">
        <is>
          <t>PitchBook Research</t>
        </is>
      </c>
      <c r="DZ24" s="786">
        <f>HYPERLINK("https://my.pitchbook.com?c=151170-13", "View company online")</f>
      </c>
    </row>
    <row r="25">
      <c r="A25" s="9" t="inlineStr">
        <is>
          <t>62510-14</t>
        </is>
      </c>
      <c r="B25" s="10" t="inlineStr">
        <is>
          <t>AfriMarket</t>
        </is>
      </c>
      <c r="C25" s="11" t="inlineStr">
        <is>
          <t/>
        </is>
      </c>
      <c r="D25" s="12" t="inlineStr">
        <is>
          <t/>
        </is>
      </c>
      <c r="E25" s="13" t="inlineStr">
        <is>
          <t>62510-14</t>
        </is>
      </c>
      <c r="F25" s="14" t="inlineStr">
        <is>
          <t>Operator of money transfer with a cash to goods approach. The company enables African migrants to send funds to their families back home.</t>
        </is>
      </c>
      <c r="G25" s="15" t="inlineStr">
        <is>
          <t>Financial Services</t>
        </is>
      </c>
      <c r="H25" s="16" t="inlineStr">
        <is>
          <t>Other Financial Services</t>
        </is>
      </c>
      <c r="I25" s="17" t="inlineStr">
        <is>
          <t>Other Financial Services</t>
        </is>
      </c>
      <c r="J25" s="18" t="inlineStr">
        <is>
          <t>Other Financial Services*</t>
        </is>
      </c>
      <c r="K25" s="19" t="inlineStr">
        <is>
          <t/>
        </is>
      </c>
      <c r="L25" s="20" t="inlineStr">
        <is>
          <t>Venture Capital-Backed</t>
        </is>
      </c>
      <c r="M25" s="21" t="n">
        <v>12.52</v>
      </c>
      <c r="N25" s="22" t="inlineStr">
        <is>
          <t>Startup</t>
        </is>
      </c>
      <c r="O25" s="23" t="inlineStr">
        <is>
          <t>Privately Held (backing)</t>
        </is>
      </c>
      <c r="P25" s="24" t="inlineStr">
        <is>
          <t>Venture Capital</t>
        </is>
      </c>
      <c r="Q25" s="25" t="inlineStr">
        <is>
          <t>www.afrimarket.fr/client/index.php</t>
        </is>
      </c>
      <c r="R25" s="26" t="n">
        <v>75.0</v>
      </c>
      <c r="S25" s="27" t="inlineStr">
        <is>
          <t/>
        </is>
      </c>
      <c r="T25" s="28" t="inlineStr">
        <is>
          <t/>
        </is>
      </c>
      <c r="U25" s="29" t="n">
        <v>2013.0</v>
      </c>
      <c r="V25" s="30" t="inlineStr">
        <is>
          <t/>
        </is>
      </c>
      <c r="W25" s="31" t="inlineStr">
        <is>
          <t/>
        </is>
      </c>
      <c r="X25" s="32" t="inlineStr">
        <is>
          <t/>
        </is>
      </c>
      <c r="Y25" s="33" t="n">
        <v>0.9984</v>
      </c>
      <c r="Z25" s="34" t="inlineStr">
        <is>
          <t/>
        </is>
      </c>
      <c r="AA25" s="35" t="inlineStr">
        <is>
          <t/>
        </is>
      </c>
      <c r="AB25" s="36" t="inlineStr">
        <is>
          <t/>
        </is>
      </c>
      <c r="AC25" s="37" t="inlineStr">
        <is>
          <t/>
        </is>
      </c>
      <c r="AD25" s="38" t="inlineStr">
        <is>
          <t>FY 2014</t>
        </is>
      </c>
      <c r="AE25" s="39" t="inlineStr">
        <is>
          <t>65475-73P</t>
        </is>
      </c>
      <c r="AF25" s="40" t="inlineStr">
        <is>
          <t>Rania Belkahia</t>
        </is>
      </c>
      <c r="AG25" s="41" t="inlineStr">
        <is>
          <t>Chief Executive Officer &amp; Co-Founder</t>
        </is>
      </c>
      <c r="AH25" s="42" t="inlineStr">
        <is>
          <t>rania.belkahia@afrimarketgroup.com</t>
        </is>
      </c>
      <c r="AI25" s="43" t="inlineStr">
        <is>
          <t>+33 (0)9 70 72 19 89</t>
        </is>
      </c>
      <c r="AJ25" s="44" t="inlineStr">
        <is>
          <t>Paris, France</t>
        </is>
      </c>
      <c r="AK25" s="45" t="inlineStr">
        <is>
          <t>3 rue de Paradis</t>
        </is>
      </c>
      <c r="AL25" s="46" t="inlineStr">
        <is>
          <t/>
        </is>
      </c>
      <c r="AM25" s="47" t="inlineStr">
        <is>
          <t>Paris</t>
        </is>
      </c>
      <c r="AN25" s="48" t="inlineStr">
        <is>
          <t/>
        </is>
      </c>
      <c r="AO25" s="49" t="inlineStr">
        <is>
          <t>75010</t>
        </is>
      </c>
      <c r="AP25" s="50" t="inlineStr">
        <is>
          <t>France</t>
        </is>
      </c>
      <c r="AQ25" s="51" t="inlineStr">
        <is>
          <t>+33 (0)9 70 72 19 89</t>
        </is>
      </c>
      <c r="AR25" s="52" t="inlineStr">
        <is>
          <t/>
        </is>
      </c>
      <c r="AS25" s="53" t="inlineStr">
        <is>
          <t/>
        </is>
      </c>
      <c r="AT25" s="54" t="inlineStr">
        <is>
          <t>Europe</t>
        </is>
      </c>
      <c r="AU25" s="55" t="inlineStr">
        <is>
          <t>Western Europe</t>
        </is>
      </c>
      <c r="AV25" s="56" t="inlineStr">
        <is>
          <t>The company raised EUR 10 million of venture funding from PROPARCO on September 6, 2016. The company will use the funding to expand its expand business into new markets as well as expand its team. With the round, the company has now raised a total of about EUR 13 million in funding to date.</t>
        </is>
      </c>
      <c r="AW25" s="57" t="inlineStr">
        <is>
          <t>BIM Asset Management, Global Innovation Fund, Jérémie Berrebi, Kima Ventures, Orange Digital Ventures, PROPARCO</t>
        </is>
      </c>
      <c r="AX25" s="58" t="n">
        <v>6.0</v>
      </c>
      <c r="AY25" s="59" t="inlineStr">
        <is>
          <t/>
        </is>
      </c>
      <c r="AZ25" s="60" t="inlineStr">
        <is>
          <t/>
        </is>
      </c>
      <c r="BA25" s="61" t="inlineStr">
        <is>
          <t/>
        </is>
      </c>
      <c r="BB25" s="62" t="inlineStr">
        <is>
          <t>BIM Asset Management (www.biminvestments.com), Global Innovation Fund (www.globalinnovation.fund), Jérémie Berrebi (www.berrebi.org), Kima Ventures (www.kimaventures.com), Orange Digital Ventures (www.digitalventures.orange.com), PROPARCO (www.proparco.fr)</t>
        </is>
      </c>
      <c r="BC25" s="63" t="inlineStr">
        <is>
          <t/>
        </is>
      </c>
      <c r="BD25" s="64" t="inlineStr">
        <is>
          <t/>
        </is>
      </c>
      <c r="BE25" s="65" t="inlineStr">
        <is>
          <t/>
        </is>
      </c>
      <c r="BF25" s="66" t="inlineStr">
        <is>
          <t/>
        </is>
      </c>
      <c r="BG25" s="67" t="n">
        <v>41465.0</v>
      </c>
      <c r="BH25" s="68" t="n">
        <v>0.52</v>
      </c>
      <c r="BI25" s="69" t="inlineStr">
        <is>
          <t>Actual</t>
        </is>
      </c>
      <c r="BJ25" s="70" t="inlineStr">
        <is>
          <t/>
        </is>
      </c>
      <c r="BK25" s="71" t="inlineStr">
        <is>
          <t/>
        </is>
      </c>
      <c r="BL25" s="72" t="inlineStr">
        <is>
          <t>Seed Round</t>
        </is>
      </c>
      <c r="BM25" s="73" t="inlineStr">
        <is>
          <t>Seed</t>
        </is>
      </c>
      <c r="BN25" s="74" t="inlineStr">
        <is>
          <t/>
        </is>
      </c>
      <c r="BO25" s="75" t="inlineStr">
        <is>
          <t>Venture Capital</t>
        </is>
      </c>
      <c r="BP25" s="76" t="inlineStr">
        <is>
          <t/>
        </is>
      </c>
      <c r="BQ25" s="77" t="inlineStr">
        <is>
          <t/>
        </is>
      </c>
      <c r="BR25" s="78" t="inlineStr">
        <is>
          <t/>
        </is>
      </c>
      <c r="BS25" s="79" t="inlineStr">
        <is>
          <t>Completed</t>
        </is>
      </c>
      <c r="BT25" s="80" t="n">
        <v>42619.0</v>
      </c>
      <c r="BU25" s="81" t="n">
        <v>10.0</v>
      </c>
      <c r="BV25" s="82" t="inlineStr">
        <is>
          <t>Actual</t>
        </is>
      </c>
      <c r="BW25" s="83" t="inlineStr">
        <is>
          <t/>
        </is>
      </c>
      <c r="BX25" s="84" t="inlineStr">
        <is>
          <t/>
        </is>
      </c>
      <c r="BY25" s="85" t="inlineStr">
        <is>
          <t>Early Stage VC</t>
        </is>
      </c>
      <c r="BZ25" s="86" t="inlineStr">
        <is>
          <t/>
        </is>
      </c>
      <c r="CA25" s="87" t="inlineStr">
        <is>
          <t/>
        </is>
      </c>
      <c r="CB25" s="88" t="inlineStr">
        <is>
          <t>Venture Capital</t>
        </is>
      </c>
      <c r="CC25" s="89" t="inlineStr">
        <is>
          <t/>
        </is>
      </c>
      <c r="CD25" s="90" t="inlineStr">
        <is>
          <t/>
        </is>
      </c>
      <c r="CE25" s="91" t="inlineStr">
        <is>
          <t/>
        </is>
      </c>
      <c r="CF25" s="92" t="inlineStr">
        <is>
          <t>Completed</t>
        </is>
      </c>
      <c r="CG25" s="93" t="inlineStr">
        <is>
          <t>3,48%</t>
        </is>
      </c>
      <c r="CH25" s="94" t="inlineStr">
        <is>
          <t>96</t>
        </is>
      </c>
      <c r="CI25" s="95" t="inlineStr">
        <is>
          <t>-0,30%</t>
        </is>
      </c>
      <c r="CJ25" s="96" t="inlineStr">
        <is>
          <t>-7,88%</t>
        </is>
      </c>
      <c r="CK25" s="97" t="inlineStr">
        <is>
          <t>5,23%</t>
        </is>
      </c>
      <c r="CL25" s="98" t="inlineStr">
        <is>
          <t>96</t>
        </is>
      </c>
      <c r="CM25" s="99" t="inlineStr">
        <is>
          <t>1,73%</t>
        </is>
      </c>
      <c r="CN25" s="100" t="inlineStr">
        <is>
          <t>98</t>
        </is>
      </c>
      <c r="CO25" s="101" t="inlineStr">
        <is>
          <t>10,47%</t>
        </is>
      </c>
      <c r="CP25" s="102" t="inlineStr">
        <is>
          <t>100</t>
        </is>
      </c>
      <c r="CQ25" s="103" t="inlineStr">
        <is>
          <t>0,00%</t>
        </is>
      </c>
      <c r="CR25" s="104" t="inlineStr">
        <is>
          <t>13</t>
        </is>
      </c>
      <c r="CS25" s="105" t="inlineStr">
        <is>
          <t>3,33%</t>
        </is>
      </c>
      <c r="CT25" s="106" t="inlineStr">
        <is>
          <t>99</t>
        </is>
      </c>
      <c r="CU25" s="107" t="inlineStr">
        <is>
          <t>0,13%</t>
        </is>
      </c>
      <c r="CV25" s="108" t="inlineStr">
        <is>
          <t>71</t>
        </is>
      </c>
      <c r="CW25" s="109" t="inlineStr">
        <is>
          <t>5,50x</t>
        </is>
      </c>
      <c r="CX25" s="110" t="inlineStr">
        <is>
          <t>80</t>
        </is>
      </c>
      <c r="CY25" s="111" t="inlineStr">
        <is>
          <t>0,02x</t>
        </is>
      </c>
      <c r="CZ25" s="112" t="inlineStr">
        <is>
          <t>0,39%</t>
        </is>
      </c>
      <c r="DA25" s="113" t="inlineStr">
        <is>
          <t>9,50x</t>
        </is>
      </c>
      <c r="DB25" s="114" t="inlineStr">
        <is>
          <t>87</t>
        </is>
      </c>
      <c r="DC25" s="115" t="inlineStr">
        <is>
          <t>1,50x</t>
        </is>
      </c>
      <c r="DD25" s="116" t="inlineStr">
        <is>
          <t>56</t>
        </is>
      </c>
      <c r="DE25" s="117" t="inlineStr">
        <is>
          <t>18,35x</t>
        </is>
      </c>
      <c r="DF25" s="118" t="inlineStr">
        <is>
          <t>88</t>
        </is>
      </c>
      <c r="DG25" s="119" t="inlineStr">
        <is>
          <t>0,64x</t>
        </is>
      </c>
      <c r="DH25" s="120" t="inlineStr">
        <is>
          <t>41</t>
        </is>
      </c>
      <c r="DI25" s="121" t="inlineStr">
        <is>
          <t>0,25x</t>
        </is>
      </c>
      <c r="DJ25" s="122" t="inlineStr">
        <is>
          <t>27</t>
        </is>
      </c>
      <c r="DK25" s="123" t="inlineStr">
        <is>
          <t>2,75x</t>
        </is>
      </c>
      <c r="DL25" s="124" t="inlineStr">
        <is>
          <t>69</t>
        </is>
      </c>
      <c r="DM25" s="125" t="inlineStr">
        <is>
          <t>10.732</t>
        </is>
      </c>
      <c r="DN25" s="126" t="inlineStr">
        <is>
          <t>1.660</t>
        </is>
      </c>
      <c r="DO25" s="127" t="inlineStr">
        <is>
          <t>18,30%</t>
        </is>
      </c>
      <c r="DP25" s="128" t="inlineStr">
        <is>
          <t>197</t>
        </is>
      </c>
      <c r="DQ25" s="129" t="inlineStr">
        <is>
          <t>1</t>
        </is>
      </c>
      <c r="DR25" s="130" t="inlineStr">
        <is>
          <t>0,51%</t>
        </is>
      </c>
      <c r="DS25" s="131" t="inlineStr">
        <is>
          <t>23</t>
        </is>
      </c>
      <c r="DT25" s="132" t="inlineStr">
        <is>
          <t>0</t>
        </is>
      </c>
      <c r="DU25" s="133" t="inlineStr">
        <is>
          <t>0,00%</t>
        </is>
      </c>
      <c r="DV25" s="134" t="inlineStr">
        <is>
          <t>942</t>
        </is>
      </c>
      <c r="DW25" s="135" t="inlineStr">
        <is>
          <t>3</t>
        </is>
      </c>
      <c r="DX25" s="136" t="inlineStr">
        <is>
          <t>0,32%</t>
        </is>
      </c>
      <c r="DY25" s="137" t="inlineStr">
        <is>
          <t>PitchBook Research</t>
        </is>
      </c>
      <c r="DZ25" s="785">
        <f>HYPERLINK("https://my.pitchbook.com?c=62510-14", "View company online")</f>
      </c>
    </row>
    <row r="26">
      <c r="A26" s="139" t="inlineStr">
        <is>
          <t>154990-45</t>
        </is>
      </c>
      <c r="B26" s="140" t="inlineStr">
        <is>
          <t>Agricool</t>
        </is>
      </c>
      <c r="C26" s="141" t="inlineStr">
        <is>
          <t/>
        </is>
      </c>
      <c r="D26" s="142" t="inlineStr">
        <is>
          <t/>
        </is>
      </c>
      <c r="E26" s="143" t="inlineStr">
        <is>
          <t>154990-45</t>
        </is>
      </c>
      <c r="F26" s="144" t="inlineStr">
        <is>
          <t>Provider of container based fruits and vegetables created to grow products without pesticides. The company produces organic fruits and vegetables under the light-emitting diode (LED) based containers and uses synthetically-produced nutrients to feed the plants and no nutrients are lost to the soil, providing GMO and pesticides fruits and vegetables.</t>
        </is>
      </c>
      <c r="G26" s="145" t="inlineStr">
        <is>
          <t>Materials and Resources</t>
        </is>
      </c>
      <c r="H26" s="146" t="inlineStr">
        <is>
          <t>Agriculture</t>
        </is>
      </c>
      <c r="I26" s="147" t="inlineStr">
        <is>
          <t>Horticulture</t>
        </is>
      </c>
      <c r="J26" s="148" t="inlineStr">
        <is>
          <t>Horticulture*; Other Containers and Packaging</t>
        </is>
      </c>
      <c r="K26" s="149" t="inlineStr">
        <is>
          <t>AgTech</t>
        </is>
      </c>
      <c r="L26" s="150" t="inlineStr">
        <is>
          <t>Venture Capital-Backed</t>
        </is>
      </c>
      <c r="M26" s="151" t="n">
        <v>11.88</v>
      </c>
      <c r="N26" s="152" t="inlineStr">
        <is>
          <t>Generating Revenue</t>
        </is>
      </c>
      <c r="O26" s="153" t="inlineStr">
        <is>
          <t>Privately Held (backing)</t>
        </is>
      </c>
      <c r="P26" s="154" t="inlineStr">
        <is>
          <t>Venture Capital</t>
        </is>
      </c>
      <c r="Q26" s="155" t="inlineStr">
        <is>
          <t>www.agricool.co</t>
        </is>
      </c>
      <c r="R26" s="156" t="n">
        <v>30.0</v>
      </c>
      <c r="S26" s="157" t="inlineStr">
        <is>
          <t/>
        </is>
      </c>
      <c r="T26" s="158" t="inlineStr">
        <is>
          <t/>
        </is>
      </c>
      <c r="U26" s="159" t="n">
        <v>2015.0</v>
      </c>
      <c r="V26" s="160" t="inlineStr">
        <is>
          <t/>
        </is>
      </c>
      <c r="W26" s="161" t="inlineStr">
        <is>
          <t/>
        </is>
      </c>
      <c r="X26" s="162" t="inlineStr">
        <is>
          <t/>
        </is>
      </c>
      <c r="Y26" s="163" t="inlineStr">
        <is>
          <t/>
        </is>
      </c>
      <c r="Z26" s="164" t="inlineStr">
        <is>
          <t/>
        </is>
      </c>
      <c r="AA26" s="165" t="inlineStr">
        <is>
          <t/>
        </is>
      </c>
      <c r="AB26" s="166" t="inlineStr">
        <is>
          <t/>
        </is>
      </c>
      <c r="AC26" s="167" t="inlineStr">
        <is>
          <t/>
        </is>
      </c>
      <c r="AD26" s="168" t="inlineStr">
        <is>
          <t/>
        </is>
      </c>
      <c r="AE26" s="169" t="inlineStr">
        <is>
          <t>129968-20P</t>
        </is>
      </c>
      <c r="AF26" s="170" t="inlineStr">
        <is>
          <t>Guillaume Fourdinier</t>
        </is>
      </c>
      <c r="AG26" s="171" t="inlineStr">
        <is>
          <t>Co-Founder and Chief Executive Officer</t>
        </is>
      </c>
      <c r="AH26" s="172" t="inlineStr">
        <is>
          <t>guillaume@agricool.co</t>
        </is>
      </c>
      <c r="AI26" s="173" t="inlineStr">
        <is>
          <t>+33 (0)6 77 13 59 74</t>
        </is>
      </c>
      <c r="AJ26" s="174" t="inlineStr">
        <is>
          <t>Paris, France</t>
        </is>
      </c>
      <c r="AK26" s="175" t="inlineStr">
        <is>
          <t>20th arrondissement.</t>
        </is>
      </c>
      <c r="AL26" s="176" t="inlineStr">
        <is>
          <t/>
        </is>
      </c>
      <c r="AM26" s="177" t="inlineStr">
        <is>
          <t>Paris</t>
        </is>
      </c>
      <c r="AN26" s="178" t="inlineStr">
        <is>
          <t/>
        </is>
      </c>
      <c r="AO26" s="179" t="inlineStr">
        <is>
          <t/>
        </is>
      </c>
      <c r="AP26" s="180" t="inlineStr">
        <is>
          <t>France</t>
        </is>
      </c>
      <c r="AQ26" s="181" t="inlineStr">
        <is>
          <t>+33 (0)6 77 13 59 74</t>
        </is>
      </c>
      <c r="AR26" s="182" t="inlineStr">
        <is>
          <t/>
        </is>
      </c>
      <c r="AS26" s="183" t="inlineStr">
        <is>
          <t>hello@agricool.co</t>
        </is>
      </c>
      <c r="AT26" s="184" t="inlineStr">
        <is>
          <t>Europe</t>
        </is>
      </c>
      <c r="AU26" s="185" t="inlineStr">
        <is>
          <t>Western Europe</t>
        </is>
      </c>
      <c r="AV26" s="186" t="inlineStr">
        <is>
          <t>The company raised $9.1 million of venture funding from Jacques-Antoine Granjon, Thibault Elziere and Henri Seydoux on July 11, 2017. Daphni also participated in the round.</t>
        </is>
      </c>
      <c r="AW26" s="187" t="inlineStr">
        <is>
          <t>Cyril Grislain, Daphni, Henri Seydoux, Jacques Antoine Granjon, Jean-Daniel Guyot, Kima Ventures, Seinari, TheFamily, Thibault Elziere</t>
        </is>
      </c>
      <c r="AX26" s="188" t="n">
        <v>9.0</v>
      </c>
      <c r="AY26" s="189" t="inlineStr">
        <is>
          <t/>
        </is>
      </c>
      <c r="AZ26" s="190" t="inlineStr">
        <is>
          <t/>
        </is>
      </c>
      <c r="BA26" s="191" t="inlineStr">
        <is>
          <t/>
        </is>
      </c>
      <c r="BB26" s="192" t="inlineStr">
        <is>
          <t>Daphni (www.daphni.com), Kima Ventures (www.kimaventures.com), Seinari (seinari.fr), TheFamily (www.thefamily.co)</t>
        </is>
      </c>
      <c r="BC26" s="193" t="inlineStr">
        <is>
          <t/>
        </is>
      </c>
      <c r="BD26" s="194" t="inlineStr">
        <is>
          <t/>
        </is>
      </c>
      <c r="BE26" s="195" t="inlineStr">
        <is>
          <t>Weil, Gotshal &amp; Manges (Legal Advisor)</t>
        </is>
      </c>
      <c r="BF26" s="196" t="inlineStr">
        <is>
          <t>Weil, Gotshal &amp; Manges (Legal Advisor)</t>
        </is>
      </c>
      <c r="BG26" s="197" t="n">
        <v>42135.0</v>
      </c>
      <c r="BH26" s="198" t="inlineStr">
        <is>
          <t/>
        </is>
      </c>
      <c r="BI26" s="199" t="inlineStr">
        <is>
          <t/>
        </is>
      </c>
      <c r="BJ26" s="200" t="inlineStr">
        <is>
          <t/>
        </is>
      </c>
      <c r="BK26" s="201" t="inlineStr">
        <is>
          <t/>
        </is>
      </c>
      <c r="BL26" s="202" t="inlineStr">
        <is>
          <t>Accelerator/Incubator</t>
        </is>
      </c>
      <c r="BM26" s="203" t="inlineStr">
        <is>
          <t/>
        </is>
      </c>
      <c r="BN26" s="204" t="inlineStr">
        <is>
          <t/>
        </is>
      </c>
      <c r="BO26" s="205" t="inlineStr">
        <is>
          <t>Other</t>
        </is>
      </c>
      <c r="BP26" s="206" t="inlineStr">
        <is>
          <t/>
        </is>
      </c>
      <c r="BQ26" s="207" t="inlineStr">
        <is>
          <t/>
        </is>
      </c>
      <c r="BR26" s="208" t="inlineStr">
        <is>
          <t/>
        </is>
      </c>
      <c r="BS26" s="209" t="inlineStr">
        <is>
          <t>Completed</t>
        </is>
      </c>
      <c r="BT26" s="210" t="n">
        <v>42927.0</v>
      </c>
      <c r="BU26" s="211" t="n">
        <v>7.9</v>
      </c>
      <c r="BV26" s="212" t="inlineStr">
        <is>
          <t>Actual</t>
        </is>
      </c>
      <c r="BW26" s="213" t="inlineStr">
        <is>
          <t/>
        </is>
      </c>
      <c r="BX26" s="214" t="inlineStr">
        <is>
          <t/>
        </is>
      </c>
      <c r="BY26" s="215" t="inlineStr">
        <is>
          <t>Early Stage VC</t>
        </is>
      </c>
      <c r="BZ26" s="216" t="inlineStr">
        <is>
          <t/>
        </is>
      </c>
      <c r="CA26" s="217" t="inlineStr">
        <is>
          <t/>
        </is>
      </c>
      <c r="CB26" s="218" t="inlineStr">
        <is>
          <t>Venture Capital</t>
        </is>
      </c>
      <c r="CC26" s="219" t="inlineStr">
        <is>
          <t/>
        </is>
      </c>
      <c r="CD26" s="220" t="inlineStr">
        <is>
          <t/>
        </is>
      </c>
      <c r="CE26" s="221" t="inlineStr">
        <is>
          <t/>
        </is>
      </c>
      <c r="CF26" s="222" t="inlineStr">
        <is>
          <t>Completed</t>
        </is>
      </c>
      <c r="CG26" s="223" t="inlineStr">
        <is>
          <t>-1,25%</t>
        </is>
      </c>
      <c r="CH26" s="224" t="inlineStr">
        <is>
          <t>4</t>
        </is>
      </c>
      <c r="CI26" s="225" t="inlineStr">
        <is>
          <t>-0,13%</t>
        </is>
      </c>
      <c r="CJ26" s="226" t="inlineStr">
        <is>
          <t>-12,09%</t>
        </is>
      </c>
      <c r="CK26" s="227" t="inlineStr">
        <is>
          <t>-4,18%</t>
        </is>
      </c>
      <c r="CL26" s="228" t="inlineStr">
        <is>
          <t>2</t>
        </is>
      </c>
      <c r="CM26" s="229" t="inlineStr">
        <is>
          <t>1,69%</t>
        </is>
      </c>
      <c r="CN26" s="230" t="inlineStr">
        <is>
          <t>98</t>
        </is>
      </c>
      <c r="CO26" s="231" t="inlineStr">
        <is>
          <t>-7,52%</t>
        </is>
      </c>
      <c r="CP26" s="232" t="inlineStr">
        <is>
          <t>3</t>
        </is>
      </c>
      <c r="CQ26" s="233" t="inlineStr">
        <is>
          <t>-0,84%</t>
        </is>
      </c>
      <c r="CR26" s="234" t="inlineStr">
        <is>
          <t>4</t>
        </is>
      </c>
      <c r="CS26" s="235" t="inlineStr">
        <is>
          <t>2,22%</t>
        </is>
      </c>
      <c r="CT26" s="236" t="inlineStr">
        <is>
          <t>98</t>
        </is>
      </c>
      <c r="CU26" s="237" t="inlineStr">
        <is>
          <t>1,16%</t>
        </is>
      </c>
      <c r="CV26" s="238" t="inlineStr">
        <is>
          <t>98</t>
        </is>
      </c>
      <c r="CW26" s="239" t="inlineStr">
        <is>
          <t>8,95x</t>
        </is>
      </c>
      <c r="CX26" s="240" t="inlineStr">
        <is>
          <t>86</t>
        </is>
      </c>
      <c r="CY26" s="241" t="inlineStr">
        <is>
          <t>0,17x</t>
        </is>
      </c>
      <c r="CZ26" s="242" t="inlineStr">
        <is>
          <t>1,92%</t>
        </is>
      </c>
      <c r="DA26" s="243" t="inlineStr">
        <is>
          <t>5,53x</t>
        </is>
      </c>
      <c r="DB26" s="244" t="inlineStr">
        <is>
          <t>81</t>
        </is>
      </c>
      <c r="DC26" s="245" t="inlineStr">
        <is>
          <t>12,37x</t>
        </is>
      </c>
      <c r="DD26" s="246" t="inlineStr">
        <is>
          <t>86</t>
        </is>
      </c>
      <c r="DE26" s="247" t="inlineStr">
        <is>
          <t>6,33x</t>
        </is>
      </c>
      <c r="DF26" s="248" t="inlineStr">
        <is>
          <t>79</t>
        </is>
      </c>
      <c r="DG26" s="249" t="inlineStr">
        <is>
          <t>4,72x</t>
        </is>
      </c>
      <c r="DH26" s="250" t="inlineStr">
        <is>
          <t>78</t>
        </is>
      </c>
      <c r="DI26" s="251" t="inlineStr">
        <is>
          <t>15,38x</t>
        </is>
      </c>
      <c r="DJ26" s="252" t="inlineStr">
        <is>
          <t>86</t>
        </is>
      </c>
      <c r="DK26" s="253" t="inlineStr">
        <is>
          <t>9,35x</t>
        </is>
      </c>
      <c r="DL26" s="254" t="inlineStr">
        <is>
          <t>85</t>
        </is>
      </c>
      <c r="DM26" s="255" t="inlineStr">
        <is>
          <t>4.415</t>
        </is>
      </c>
      <c r="DN26" s="256" t="inlineStr">
        <is>
          <t>-1.566</t>
        </is>
      </c>
      <c r="DO26" s="257" t="inlineStr">
        <is>
          <t>-26,18%</t>
        </is>
      </c>
      <c r="DP26" s="258" t="inlineStr">
        <is>
          <t>12.261</t>
        </is>
      </c>
      <c r="DQ26" s="259" t="inlineStr">
        <is>
          <t>60</t>
        </is>
      </c>
      <c r="DR26" s="260" t="inlineStr">
        <is>
          <t>0,49%</t>
        </is>
      </c>
      <c r="DS26" s="261" t="inlineStr">
        <is>
          <t>171</t>
        </is>
      </c>
      <c r="DT26" s="262" t="inlineStr">
        <is>
          <t>-2</t>
        </is>
      </c>
      <c r="DU26" s="263" t="inlineStr">
        <is>
          <t>-1,16%</t>
        </is>
      </c>
      <c r="DV26" s="264" t="inlineStr">
        <is>
          <t>3.201</t>
        </is>
      </c>
      <c r="DW26" s="265" t="inlineStr">
        <is>
          <t>19</t>
        </is>
      </c>
      <c r="DX26" s="266" t="inlineStr">
        <is>
          <t>0,60%</t>
        </is>
      </c>
      <c r="DY26" s="267" t="inlineStr">
        <is>
          <t>PitchBook Research</t>
        </is>
      </c>
      <c r="DZ26" s="786">
        <f>HYPERLINK("https://my.pitchbook.com?c=154990-45", "View company online")</f>
      </c>
    </row>
    <row r="27">
      <c r="A27" s="9" t="inlineStr">
        <is>
          <t>126199-27</t>
        </is>
      </c>
      <c r="B27" s="10" t="inlineStr">
        <is>
          <t>Aifloo</t>
        </is>
      </c>
      <c r="C27" s="11" t="inlineStr">
        <is>
          <t/>
        </is>
      </c>
      <c r="D27" s="12" t="inlineStr">
        <is>
          <t/>
        </is>
      </c>
      <c r="E27" s="13" t="inlineStr">
        <is>
          <t>126199-27</t>
        </is>
      </c>
      <c r="F27" s="14" t="inlineStr">
        <is>
          <t>Developer of an e-health system designed to detect health problems. The company's e-health system provides a self-learning artificial intelligence platform that monitors movement, pulse rate, temperature, sleep patterns and alerts users instantly via an application on smartphone if any problem is detected, enabling elderly to live long, independently and free from fear and insecurity in their homes.</t>
        </is>
      </c>
      <c r="G27" s="15" t="inlineStr">
        <is>
          <t>Information Technology</t>
        </is>
      </c>
      <c r="H27" s="16" t="inlineStr">
        <is>
          <t>Software</t>
        </is>
      </c>
      <c r="I27" s="17" t="inlineStr">
        <is>
          <t>Application Software</t>
        </is>
      </c>
      <c r="J27" s="18" t="inlineStr">
        <is>
          <t>Application Software*; Other Healthcare Technology Systems</t>
        </is>
      </c>
      <c r="K27" s="19" t="inlineStr">
        <is>
          <t>Artificial Intelligence &amp; Machine Learning, HealthTech, Internet of Things, SaaS</t>
        </is>
      </c>
      <c r="L27" s="20" t="inlineStr">
        <is>
          <t>Venture Capital-Backed</t>
        </is>
      </c>
      <c r="M27" s="21" t="n">
        <v>6.35</v>
      </c>
      <c r="N27" s="22" t="inlineStr">
        <is>
          <t>Generating Revenue</t>
        </is>
      </c>
      <c r="O27" s="23" t="inlineStr">
        <is>
          <t>Privately Held (backing)</t>
        </is>
      </c>
      <c r="P27" s="24" t="inlineStr">
        <is>
          <t>Venture Capital</t>
        </is>
      </c>
      <c r="Q27" s="25" t="inlineStr">
        <is>
          <t>www.aifloo.com</t>
        </is>
      </c>
      <c r="R27" s="26" t="n">
        <v>5.0</v>
      </c>
      <c r="S27" s="27" t="inlineStr">
        <is>
          <t/>
        </is>
      </c>
      <c r="T27" s="28" t="inlineStr">
        <is>
          <t/>
        </is>
      </c>
      <c r="U27" s="29" t="n">
        <v>2015.0</v>
      </c>
      <c r="V27" s="30" t="inlineStr">
        <is>
          <t/>
        </is>
      </c>
      <c r="W27" s="31" t="inlineStr">
        <is>
          <t/>
        </is>
      </c>
      <c r="X27" s="32" t="inlineStr">
        <is>
          <r>
            <rPr>
              <b/>
              <color rgb="ff26854d"/>
              <rFont val="Arial"/>
              <sz val="8.0"/>
            </rPr>
            <t>Deal</t>
          </r>
          <r>
            <rPr>
              <color rgb="ff707070"/>
              <rFont val="Arial"/>
              <sz val="7.0"/>
            </rPr>
            <t xml:space="preserve"> NEW  </t>
          </r>
          <r>
            <rPr>
              <color rgb="ff000000"/>
              <rFont val="Arial"/>
              <sz val="8.0"/>
            </rPr>
            <t>Early Stage VC (Series A), 2017</t>
          </r>
          <r>
            <rPr>
              <color rgb="ff707070"/>
              <rFont val="Arial"/>
              <sz val="7.0"/>
            </rPr>
            <t xml:space="preserve"> Completed</t>
          </r>
        </is>
      </c>
      <c r="Y27" s="33" t="n">
        <v>0.21818</v>
      </c>
      <c r="Z27" s="34" t="inlineStr">
        <is>
          <t/>
        </is>
      </c>
      <c r="AA27" s="35" t="n">
        <v>-0.99602</v>
      </c>
      <c r="AB27" s="36" t="inlineStr">
        <is>
          <t/>
        </is>
      </c>
      <c r="AC27" s="37" t="n">
        <v>-0.98653</v>
      </c>
      <c r="AD27" s="38" t="inlineStr">
        <is>
          <t>FY 2016</t>
        </is>
      </c>
      <c r="AE27" s="39" t="inlineStr">
        <is>
          <t>117582-58P</t>
        </is>
      </c>
      <c r="AF27" s="40" t="inlineStr">
        <is>
          <t>Anders Widgren</t>
        </is>
      </c>
      <c r="AG27" s="41" t="inlineStr">
        <is>
          <t>Co-Founder &amp; Chief Technology Officer</t>
        </is>
      </c>
      <c r="AH27" s="42" t="inlineStr">
        <is>
          <t>anders@aircap.se</t>
        </is>
      </c>
      <c r="AI27" s="43" t="inlineStr">
        <is>
          <t>+46 (0)234 601</t>
        </is>
      </c>
      <c r="AJ27" s="44" t="inlineStr">
        <is>
          <t>Stockholm, Sweden</t>
        </is>
      </c>
      <c r="AK27" s="45" t="inlineStr">
        <is>
          <t>Royal Institute of Technology</t>
        </is>
      </c>
      <c r="AL27" s="46" t="inlineStr">
        <is>
          <t>Drottning Kristinas väg 53</t>
        </is>
      </c>
      <c r="AM27" s="47" t="inlineStr">
        <is>
          <t>Stockholm</t>
        </is>
      </c>
      <c r="AN27" s="48" t="inlineStr">
        <is>
          <t/>
        </is>
      </c>
      <c r="AO27" s="49" t="inlineStr">
        <is>
          <t>114 28</t>
        </is>
      </c>
      <c r="AP27" s="50" t="inlineStr">
        <is>
          <t>Sweden</t>
        </is>
      </c>
      <c r="AQ27" s="51" t="inlineStr">
        <is>
          <t>+46 (0)7 0845 2334</t>
        </is>
      </c>
      <c r="AR27" s="52" t="inlineStr">
        <is>
          <t/>
        </is>
      </c>
      <c r="AS27" s="53" t="inlineStr">
        <is>
          <t>info@aifloo.com</t>
        </is>
      </c>
      <c r="AT27" s="54" t="inlineStr">
        <is>
          <t>Europe</t>
        </is>
      </c>
      <c r="AU27" s="55" t="inlineStr">
        <is>
          <t>Northern Europe</t>
        </is>
      </c>
      <c r="AV27" s="56" t="inlineStr">
        <is>
          <t>The company raised EUR 5.1 million of Series A venture funding in a deal led by EQT Ventures on September 5, 2017. The funding will allow to advance its AI technology for elderly members.</t>
        </is>
      </c>
      <c r="AW27" s="57" t="inlineStr">
        <is>
          <t>Aicap, Born Global, EQT Ventures, Länsförsäkringar, Stockholm Innovation &amp; Growth</t>
        </is>
      </c>
      <c r="AX27" s="58" t="n">
        <v>5.0</v>
      </c>
      <c r="AY27" s="59" t="inlineStr">
        <is>
          <t/>
        </is>
      </c>
      <c r="AZ27" s="60" t="inlineStr">
        <is>
          <t/>
        </is>
      </c>
      <c r="BA27" s="61" t="inlineStr">
        <is>
          <t/>
        </is>
      </c>
      <c r="BB27" s="62" t="inlineStr">
        <is>
          <t>Aicap (www.aicap.se), Born Global (www.bornglobal.se), EQT Ventures (www.eqtventures.com), Länsförsäkringar (www.lansforsakringar.se), Stockholm Innovation &amp; Growth (www.sting.co)</t>
        </is>
      </c>
      <c r="BC27" s="63" t="inlineStr">
        <is>
          <t/>
        </is>
      </c>
      <c r="BD27" s="64" t="inlineStr">
        <is>
          <t/>
        </is>
      </c>
      <c r="BE27" s="65" t="inlineStr">
        <is>
          <t/>
        </is>
      </c>
      <c r="BF27" s="66" t="inlineStr">
        <is>
          <t/>
        </is>
      </c>
      <c r="BG27" s="67" t="n">
        <v>42156.0</v>
      </c>
      <c r="BH27" s="68" t="inlineStr">
        <is>
          <t/>
        </is>
      </c>
      <c r="BI27" s="69" t="inlineStr">
        <is>
          <t/>
        </is>
      </c>
      <c r="BJ27" s="70" t="inlineStr">
        <is>
          <t/>
        </is>
      </c>
      <c r="BK27" s="71" t="inlineStr">
        <is>
          <t/>
        </is>
      </c>
      <c r="BL27" s="72" t="inlineStr">
        <is>
          <t>Accelerator/Incubator</t>
        </is>
      </c>
      <c r="BM27" s="73" t="inlineStr">
        <is>
          <t/>
        </is>
      </c>
      <c r="BN27" s="74" t="inlineStr">
        <is>
          <t/>
        </is>
      </c>
      <c r="BO27" s="75" t="inlineStr">
        <is>
          <t>Other</t>
        </is>
      </c>
      <c r="BP27" s="76" t="inlineStr">
        <is>
          <t/>
        </is>
      </c>
      <c r="BQ27" s="77" t="inlineStr">
        <is>
          <t/>
        </is>
      </c>
      <c r="BR27" s="78" t="inlineStr">
        <is>
          <t/>
        </is>
      </c>
      <c r="BS27" s="79" t="inlineStr">
        <is>
          <t>Completed</t>
        </is>
      </c>
      <c r="BT27" s="80" t="n">
        <v>42983.0</v>
      </c>
      <c r="BU27" s="81" t="n">
        <v>5.1</v>
      </c>
      <c r="BV27" s="82" t="inlineStr">
        <is>
          <t>Actual</t>
        </is>
      </c>
      <c r="BW27" s="83" t="inlineStr">
        <is>
          <t/>
        </is>
      </c>
      <c r="BX27" s="84" t="inlineStr">
        <is>
          <t/>
        </is>
      </c>
      <c r="BY27" s="85" t="inlineStr">
        <is>
          <t>Early Stage VC</t>
        </is>
      </c>
      <c r="BZ27" s="86" t="inlineStr">
        <is>
          <t>Series A</t>
        </is>
      </c>
      <c r="CA27" s="87" t="inlineStr">
        <is>
          <t/>
        </is>
      </c>
      <c r="CB27" s="88" t="inlineStr">
        <is>
          <t>Venture Capital</t>
        </is>
      </c>
      <c r="CC27" s="89" t="inlineStr">
        <is>
          <t/>
        </is>
      </c>
      <c r="CD27" s="90" t="inlineStr">
        <is>
          <t/>
        </is>
      </c>
      <c r="CE27" s="91" t="inlineStr">
        <is>
          <t/>
        </is>
      </c>
      <c r="CF27" s="92" t="inlineStr">
        <is>
          <t>Completed</t>
        </is>
      </c>
      <c r="CG27" s="93" t="inlineStr">
        <is>
          <t>1,28%</t>
        </is>
      </c>
      <c r="CH27" s="94" t="inlineStr">
        <is>
          <t>90</t>
        </is>
      </c>
      <c r="CI27" s="95" t="inlineStr">
        <is>
          <t>1,52%</t>
        </is>
      </c>
      <c r="CJ27" s="96" t="inlineStr">
        <is>
          <t>621,33%</t>
        </is>
      </c>
      <c r="CK27" s="97" t="inlineStr">
        <is>
          <t>-1,00%</t>
        </is>
      </c>
      <c r="CL27" s="98" t="inlineStr">
        <is>
          <t>9</t>
        </is>
      </c>
      <c r="CM27" s="99" t="inlineStr">
        <is>
          <t>3,56%</t>
        </is>
      </c>
      <c r="CN27" s="100" t="inlineStr">
        <is>
          <t>100</t>
        </is>
      </c>
      <c r="CO27" s="101" t="inlineStr">
        <is>
          <t>-2,01%</t>
        </is>
      </c>
      <c r="CP27" s="102" t="inlineStr">
        <is>
          <t>15</t>
        </is>
      </c>
      <c r="CQ27" s="103" t="inlineStr">
        <is>
          <t>0,00%</t>
        </is>
      </c>
      <c r="CR27" s="104" t="inlineStr">
        <is>
          <t>13</t>
        </is>
      </c>
      <c r="CS27" s="105" t="inlineStr">
        <is>
          <t>5,75%</t>
        </is>
      </c>
      <c r="CT27" s="106" t="inlineStr">
        <is>
          <t>100</t>
        </is>
      </c>
      <c r="CU27" s="107" t="inlineStr">
        <is>
          <t>1,38%</t>
        </is>
      </c>
      <c r="CV27" s="108" t="inlineStr">
        <is>
          <t>98</t>
        </is>
      </c>
      <c r="CW27" s="109" t="inlineStr">
        <is>
          <t>1,26x</t>
        </is>
      </c>
      <c r="CX27" s="110" t="inlineStr">
        <is>
          <t>54</t>
        </is>
      </c>
      <c r="CY27" s="111" t="inlineStr">
        <is>
          <t>0,09x</t>
        </is>
      </c>
      <c r="CZ27" s="112" t="inlineStr">
        <is>
          <t>8,07%</t>
        </is>
      </c>
      <c r="DA27" s="113" t="inlineStr">
        <is>
          <t>1,38x</t>
        </is>
      </c>
      <c r="DB27" s="114" t="inlineStr">
        <is>
          <t>59</t>
        </is>
      </c>
      <c r="DC27" s="115" t="inlineStr">
        <is>
          <t>1,14x</t>
        </is>
      </c>
      <c r="DD27" s="116" t="inlineStr">
        <is>
          <t>51</t>
        </is>
      </c>
      <c r="DE27" s="117" t="inlineStr">
        <is>
          <t>0,97x</t>
        </is>
      </c>
      <c r="DF27" s="118" t="inlineStr">
        <is>
          <t>50</t>
        </is>
      </c>
      <c r="DG27" s="119" t="inlineStr">
        <is>
          <t>1,78x</t>
        </is>
      </c>
      <c r="DH27" s="120" t="inlineStr">
        <is>
          <t>62</t>
        </is>
      </c>
      <c r="DI27" s="121" t="inlineStr">
        <is>
          <t>1,06x</t>
        </is>
      </c>
      <c r="DJ27" s="122" t="inlineStr">
        <is>
          <t>51</t>
        </is>
      </c>
      <c r="DK27" s="123" t="inlineStr">
        <is>
          <t>1,22x</t>
        </is>
      </c>
      <c r="DL27" s="124" t="inlineStr">
        <is>
          <t>54</t>
        </is>
      </c>
      <c r="DM27" s="125" t="inlineStr">
        <is>
          <t>602</t>
        </is>
      </c>
      <c r="DN27" s="126" t="inlineStr">
        <is>
          <t>-15</t>
        </is>
      </c>
      <c r="DO27" s="127" t="inlineStr">
        <is>
          <t>-2,43%</t>
        </is>
      </c>
      <c r="DP27" s="128" t="inlineStr">
        <is>
          <t>836</t>
        </is>
      </c>
      <c r="DQ27" s="129" t="inlineStr">
        <is>
          <t>23</t>
        </is>
      </c>
      <c r="DR27" s="130" t="inlineStr">
        <is>
          <t>2,83%</t>
        </is>
      </c>
      <c r="DS27" s="131" t="inlineStr">
        <is>
          <t>60</t>
        </is>
      </c>
      <c r="DT27" s="132" t="inlineStr">
        <is>
          <t>5</t>
        </is>
      </c>
      <c r="DU27" s="133" t="inlineStr">
        <is>
          <t>9,09%</t>
        </is>
      </c>
      <c r="DV27" s="134" t="inlineStr">
        <is>
          <t>402</t>
        </is>
      </c>
      <c r="DW27" s="135" t="inlineStr">
        <is>
          <t>26</t>
        </is>
      </c>
      <c r="DX27" s="136" t="inlineStr">
        <is>
          <t>6,91%</t>
        </is>
      </c>
      <c r="DY27" s="137" t="inlineStr">
        <is>
          <t>PitchBook Research</t>
        </is>
      </c>
      <c r="DZ27" s="785">
        <f>HYPERLINK("https://my.pitchbook.com?c=126199-27", "View company online")</f>
      </c>
    </row>
    <row r="28">
      <c r="A28" s="139" t="inlineStr">
        <is>
          <t>120982-15</t>
        </is>
      </c>
      <c r="B28" s="140" t="inlineStr">
        <is>
          <t>AImotive</t>
        </is>
      </c>
      <c r="C28" s="141" t="inlineStr">
        <is>
          <t>AdasWorks</t>
        </is>
      </c>
      <c r="D28" s="142" t="inlineStr">
        <is>
          <t/>
        </is>
      </c>
      <c r="E28" s="143" t="inlineStr">
        <is>
          <t>120982-15</t>
        </is>
      </c>
      <c r="F28" s="144" t="inlineStr">
        <is>
          <t>Developer of an artificial intelligence-based software for self-driving vehicles designed to offer comfortable rides across diverse climates and cultures. The company's integrated software suite powers fully autonomous cars under various weather conditions, enabling consumers to access full spectrum of automated driving functionalities, from environment recognition, localization and path planning to low-level control.</t>
        </is>
      </c>
      <c r="G28" s="145" t="inlineStr">
        <is>
          <t>Information Technology</t>
        </is>
      </c>
      <c r="H28" s="146" t="inlineStr">
        <is>
          <t>Software</t>
        </is>
      </c>
      <c r="I28" s="147" t="inlineStr">
        <is>
          <t>Application Software</t>
        </is>
      </c>
      <c r="J28" s="148" t="inlineStr">
        <is>
          <t>Application Software*; Automotive; Other Software</t>
        </is>
      </c>
      <c r="K28" s="149" t="inlineStr">
        <is>
          <t>Artificial Intelligence &amp; Machine Learning, Autonomous cars</t>
        </is>
      </c>
      <c r="L28" s="150" t="inlineStr">
        <is>
          <t>Venture Capital-Backed</t>
        </is>
      </c>
      <c r="M28" s="151" t="n">
        <v>7.4</v>
      </c>
      <c r="N28" s="152" t="inlineStr">
        <is>
          <t>Product Development</t>
        </is>
      </c>
      <c r="O28" s="153" t="inlineStr">
        <is>
          <t>Privately Held (backing)</t>
        </is>
      </c>
      <c r="P28" s="154" t="inlineStr">
        <is>
          <t>Venture Capital</t>
        </is>
      </c>
      <c r="Q28" s="155" t="inlineStr">
        <is>
          <t>www.aimotive.com</t>
        </is>
      </c>
      <c r="R28" s="156" t="n">
        <v>120.0</v>
      </c>
      <c r="S28" s="157" t="inlineStr">
        <is>
          <t/>
        </is>
      </c>
      <c r="T28" s="158" t="inlineStr">
        <is>
          <t/>
        </is>
      </c>
      <c r="U28" s="159" t="n">
        <v>2015.0</v>
      </c>
      <c r="V28" s="160" t="inlineStr">
        <is>
          <t/>
        </is>
      </c>
      <c r="W28" s="161" t="inlineStr">
        <is>
          <t/>
        </is>
      </c>
      <c r="X28" s="162" t="inlineStr">
        <is>
          <t/>
        </is>
      </c>
      <c r="Y28" s="163" t="inlineStr">
        <is>
          <t/>
        </is>
      </c>
      <c r="Z28" s="164" t="inlineStr">
        <is>
          <t/>
        </is>
      </c>
      <c r="AA28" s="165" t="inlineStr">
        <is>
          <t/>
        </is>
      </c>
      <c r="AB28" s="166" t="inlineStr">
        <is>
          <t/>
        </is>
      </c>
      <c r="AC28" s="167" t="inlineStr">
        <is>
          <t/>
        </is>
      </c>
      <c r="AD28" s="168" t="inlineStr">
        <is>
          <t/>
        </is>
      </c>
      <c r="AE28" s="169" t="inlineStr">
        <is>
          <t>136809-64P</t>
        </is>
      </c>
      <c r="AF28" s="170" t="inlineStr">
        <is>
          <t>Daniella Redei</t>
        </is>
      </c>
      <c r="AG28" s="171" t="inlineStr">
        <is>
          <t>Communications Manager</t>
        </is>
      </c>
      <c r="AH28" s="172" t="inlineStr">
        <is>
          <t>daniella.redei@adasworks.com</t>
        </is>
      </c>
      <c r="AI28" s="173" t="inlineStr">
        <is>
          <t>+36 (06)1 770 7245</t>
        </is>
      </c>
      <c r="AJ28" s="174" t="inlineStr">
        <is>
          <t>Budapest, Hungary</t>
        </is>
      </c>
      <c r="AK28" s="175" t="inlineStr">
        <is>
          <t>Szépvölgyi út. 18-22.</t>
        </is>
      </c>
      <c r="AL28" s="176" t="inlineStr">
        <is>
          <t/>
        </is>
      </c>
      <c r="AM28" s="177" t="inlineStr">
        <is>
          <t>Budapest</t>
        </is>
      </c>
      <c r="AN28" s="178" t="inlineStr">
        <is>
          <t/>
        </is>
      </c>
      <c r="AO28" s="179" t="inlineStr">
        <is>
          <t>1025</t>
        </is>
      </c>
      <c r="AP28" s="180" t="inlineStr">
        <is>
          <t>Hungary</t>
        </is>
      </c>
      <c r="AQ28" s="181" t="inlineStr">
        <is>
          <t>+36 (06)1 770 7201</t>
        </is>
      </c>
      <c r="AR28" s="182" t="inlineStr">
        <is>
          <t/>
        </is>
      </c>
      <c r="AS28" s="183" t="inlineStr">
        <is>
          <t>info@aimotive.com</t>
        </is>
      </c>
      <c r="AT28" s="184" t="inlineStr">
        <is>
          <t>Europe</t>
        </is>
      </c>
      <c r="AU28" s="185" t="inlineStr">
        <is>
          <t>Eastern Europe</t>
        </is>
      </c>
      <c r="AV28" s="186" t="inlineStr">
        <is>
          <t>The company raised EUR 5 million of Series A venture funding from Day One Capital, PortfoLion and Robert Bosch Venture Capital on March 29, 2016. Inventure, Tamares and Draper Associates also participated.</t>
        </is>
      </c>
      <c r="AW28" s="187" t="inlineStr">
        <is>
          <t>Day One Capital, Draper Associates, Inventure, NVIDIA GPU Ventures, Robert Bosch Venture Capital, Tamares Group</t>
        </is>
      </c>
      <c r="AX28" s="188" t="n">
        <v>6.0</v>
      </c>
      <c r="AY28" s="189" t="inlineStr">
        <is>
          <t/>
        </is>
      </c>
      <c r="AZ28" s="190" t="inlineStr">
        <is>
          <t>Kishonti</t>
        </is>
      </c>
      <c r="BA28" s="191" t="inlineStr">
        <is>
          <t/>
        </is>
      </c>
      <c r="BB28" s="192" t="inlineStr">
        <is>
          <t>Day One Capital (www.dayonecapital.com), Draper Associates (www.draper.vc), Inventure (www.inventure.fi), Robert Bosch Venture Capital (www.rbvc.com), Tamares Group (www.tamares.com)</t>
        </is>
      </c>
      <c r="BC28" s="193" t="inlineStr">
        <is>
          <t>Kishonti (www.kishonti.net)</t>
        </is>
      </c>
      <c r="BD28" s="194" t="inlineStr">
        <is>
          <t/>
        </is>
      </c>
      <c r="BE28" s="195" t="inlineStr">
        <is>
          <t>Baker Tilly Roelfs (Auditor), Vogel Heerma Waitz (Legal Advisor)</t>
        </is>
      </c>
      <c r="BF28" s="196" t="inlineStr">
        <is>
          <t>Vogel Heerma Waitz (Legal Advisor)</t>
        </is>
      </c>
      <c r="BG28" s="197" t="inlineStr">
        <is>
          <t/>
        </is>
      </c>
      <c r="BH28" s="198" t="inlineStr">
        <is>
          <t/>
        </is>
      </c>
      <c r="BI28" s="199" t="inlineStr">
        <is>
          <t/>
        </is>
      </c>
      <c r="BJ28" s="200" t="inlineStr">
        <is>
          <t/>
        </is>
      </c>
      <c r="BK28" s="201" t="inlineStr">
        <is>
          <t/>
        </is>
      </c>
      <c r="BL28" s="202" t="inlineStr">
        <is>
          <t>Spin-Off</t>
        </is>
      </c>
      <c r="BM28" s="203" t="inlineStr">
        <is>
          <t/>
        </is>
      </c>
      <c r="BN28" s="204" t="inlineStr">
        <is>
          <t/>
        </is>
      </c>
      <c r="BO28" s="205" t="inlineStr">
        <is>
          <t>Corporate</t>
        </is>
      </c>
      <c r="BP28" s="206" t="inlineStr">
        <is>
          <t/>
        </is>
      </c>
      <c r="BQ28" s="207" t="inlineStr">
        <is>
          <t/>
        </is>
      </c>
      <c r="BR28" s="208" t="inlineStr">
        <is>
          <t/>
        </is>
      </c>
      <c r="BS28" s="209" t="inlineStr">
        <is>
          <t>Completed</t>
        </is>
      </c>
      <c r="BT28" s="210" t="n">
        <v>42458.0</v>
      </c>
      <c r="BU28" s="211" t="n">
        <v>5.0</v>
      </c>
      <c r="BV28" s="212" t="inlineStr">
        <is>
          <t>Actual</t>
        </is>
      </c>
      <c r="BW28" s="213" t="inlineStr">
        <is>
          <t/>
        </is>
      </c>
      <c r="BX28" s="214" t="inlineStr">
        <is>
          <t/>
        </is>
      </c>
      <c r="BY28" s="215" t="inlineStr">
        <is>
          <t>Early Stage VC</t>
        </is>
      </c>
      <c r="BZ28" s="216" t="inlineStr">
        <is>
          <t>Series A</t>
        </is>
      </c>
      <c r="CA28" s="217" t="inlineStr">
        <is>
          <t/>
        </is>
      </c>
      <c r="CB28" s="218" t="inlineStr">
        <is>
          <t>Venture Capital</t>
        </is>
      </c>
      <c r="CC28" s="219" t="inlineStr">
        <is>
          <t/>
        </is>
      </c>
      <c r="CD28" s="220" t="inlineStr">
        <is>
          <t/>
        </is>
      </c>
      <c r="CE28" s="221" t="inlineStr">
        <is>
          <t/>
        </is>
      </c>
      <c r="CF28" s="222" t="inlineStr">
        <is>
          <t>Completed</t>
        </is>
      </c>
      <c r="CG28" s="223" t="inlineStr">
        <is>
          <t>-0,12%</t>
        </is>
      </c>
      <c r="CH28" s="224" t="inlineStr">
        <is>
          <t>14</t>
        </is>
      </c>
      <c r="CI28" s="225" t="inlineStr">
        <is>
          <t>-0,15%</t>
        </is>
      </c>
      <c r="CJ28" s="226" t="inlineStr">
        <is>
          <t>-607,04%</t>
        </is>
      </c>
      <c r="CK28" s="227" t="inlineStr">
        <is>
          <t>-1,23%</t>
        </is>
      </c>
      <c r="CL28" s="228" t="inlineStr">
        <is>
          <t>8</t>
        </is>
      </c>
      <c r="CM28" s="229" t="inlineStr">
        <is>
          <t>0,99%</t>
        </is>
      </c>
      <c r="CN28" s="230" t="inlineStr">
        <is>
          <t>96</t>
        </is>
      </c>
      <c r="CO28" s="231" t="inlineStr">
        <is>
          <t>-2,47%</t>
        </is>
      </c>
      <c r="CP28" s="232" t="inlineStr">
        <is>
          <t>14</t>
        </is>
      </c>
      <c r="CQ28" s="233" t="inlineStr">
        <is>
          <t>0,00%</t>
        </is>
      </c>
      <c r="CR28" s="234" t="inlineStr">
        <is>
          <t>13</t>
        </is>
      </c>
      <c r="CS28" s="235" t="inlineStr">
        <is>
          <t>1,28%</t>
        </is>
      </c>
      <c r="CT28" s="236" t="inlineStr">
        <is>
          <t>96</t>
        </is>
      </c>
      <c r="CU28" s="237" t="inlineStr">
        <is>
          <t>0,70%</t>
        </is>
      </c>
      <c r="CV28" s="238" t="inlineStr">
        <is>
          <t>95</t>
        </is>
      </c>
      <c r="CW28" s="239" t="inlineStr">
        <is>
          <t>2,23x</t>
        </is>
      </c>
      <c r="CX28" s="240" t="inlineStr">
        <is>
          <t>66</t>
        </is>
      </c>
      <c r="CY28" s="241" t="inlineStr">
        <is>
          <t>0,02x</t>
        </is>
      </c>
      <c r="CZ28" s="242" t="inlineStr">
        <is>
          <t>0,76%</t>
        </is>
      </c>
      <c r="DA28" s="243" t="inlineStr">
        <is>
          <t>2,71x</t>
        </is>
      </c>
      <c r="DB28" s="244" t="inlineStr">
        <is>
          <t>72</t>
        </is>
      </c>
      <c r="DC28" s="245" t="inlineStr">
        <is>
          <t>1,75x</t>
        </is>
      </c>
      <c r="DD28" s="246" t="inlineStr">
        <is>
          <t>59</t>
        </is>
      </c>
      <c r="DE28" s="247" t="inlineStr">
        <is>
          <t>4,30x</t>
        </is>
      </c>
      <c r="DF28" s="248" t="inlineStr">
        <is>
          <t>75</t>
        </is>
      </c>
      <c r="DG28" s="249" t="inlineStr">
        <is>
          <t>1,11x</t>
        </is>
      </c>
      <c r="DH28" s="250" t="inlineStr">
        <is>
          <t>52</t>
        </is>
      </c>
      <c r="DI28" s="251" t="inlineStr">
        <is>
          <t>0,97x</t>
        </is>
      </c>
      <c r="DJ28" s="252" t="inlineStr">
        <is>
          <t>50</t>
        </is>
      </c>
      <c r="DK28" s="253" t="inlineStr">
        <is>
          <t>2,53x</t>
        </is>
      </c>
      <c r="DL28" s="254" t="inlineStr">
        <is>
          <t>67</t>
        </is>
      </c>
      <c r="DM28" s="255" t="inlineStr">
        <is>
          <t>2.707</t>
        </is>
      </c>
      <c r="DN28" s="256" t="inlineStr">
        <is>
          <t>-183</t>
        </is>
      </c>
      <c r="DO28" s="257" t="inlineStr">
        <is>
          <t>-6,33%</t>
        </is>
      </c>
      <c r="DP28" s="258" t="inlineStr">
        <is>
          <t>770</t>
        </is>
      </c>
      <c r="DQ28" s="259" t="inlineStr">
        <is>
          <t>4</t>
        </is>
      </c>
      <c r="DR28" s="260" t="inlineStr">
        <is>
          <t>0,52%</t>
        </is>
      </c>
      <c r="DS28" s="261" t="inlineStr">
        <is>
          <t>40</t>
        </is>
      </c>
      <c r="DT28" s="262" t="inlineStr">
        <is>
          <t>-2</t>
        </is>
      </c>
      <c r="DU28" s="263" t="inlineStr">
        <is>
          <t>-4,76%</t>
        </is>
      </c>
      <c r="DV28" s="264" t="inlineStr">
        <is>
          <t>864</t>
        </is>
      </c>
      <c r="DW28" s="265" t="inlineStr">
        <is>
          <t>1</t>
        </is>
      </c>
      <c r="DX28" s="266" t="inlineStr">
        <is>
          <t>0,12%</t>
        </is>
      </c>
      <c r="DY28" s="267" t="inlineStr">
        <is>
          <t>PitchBook Research</t>
        </is>
      </c>
      <c r="DZ28" s="786">
        <f>HYPERLINK("https://my.pitchbook.com?c=120982-15", "View company online")</f>
      </c>
    </row>
    <row r="29">
      <c r="A29" s="9" t="inlineStr">
        <is>
          <t>81891-91</t>
        </is>
      </c>
      <c r="B29" s="10" t="inlineStr">
        <is>
          <t>Aircall</t>
        </is>
      </c>
      <c r="C29" s="11" t="inlineStr">
        <is>
          <t/>
        </is>
      </c>
      <c r="D29" s="12" t="inlineStr">
        <is>
          <t/>
        </is>
      </c>
      <c r="E29" s="13" t="inlineStr">
        <is>
          <t>81891-91</t>
        </is>
      </c>
      <c r="F29" s="14" t="inlineStr">
        <is>
          <t>Provider of phone support software for businesses. The company offers a phone application that specializes in buying several phone numbers across the world and also add teammates to the dashboard, placing and receiving calls on the existing devices.</t>
        </is>
      </c>
      <c r="G29" s="15" t="inlineStr">
        <is>
          <t>Information Technology</t>
        </is>
      </c>
      <c r="H29" s="16" t="inlineStr">
        <is>
          <t>Software</t>
        </is>
      </c>
      <c r="I29" s="17" t="inlineStr">
        <is>
          <t>Communication Software</t>
        </is>
      </c>
      <c r="J29" s="18" t="inlineStr">
        <is>
          <t>Communication Software*; Telecommunications Service Providers</t>
        </is>
      </c>
      <c r="K29" s="19" t="inlineStr">
        <is>
          <t>Mobile, SaaS</t>
        </is>
      </c>
      <c r="L29" s="20" t="inlineStr">
        <is>
          <t>Venture Capital-Backed</t>
        </is>
      </c>
      <c r="M29" s="21" t="n">
        <v>10.38</v>
      </c>
      <c r="N29" s="22" t="inlineStr">
        <is>
          <t>Startup</t>
        </is>
      </c>
      <c r="O29" s="23" t="inlineStr">
        <is>
          <t>Privately Held (backing)</t>
        </is>
      </c>
      <c r="P29" s="24" t="inlineStr">
        <is>
          <t>Venture Capital</t>
        </is>
      </c>
      <c r="Q29" s="25" t="inlineStr">
        <is>
          <t>www.aircall.io</t>
        </is>
      </c>
      <c r="R29" s="26" t="n">
        <v>21.0</v>
      </c>
      <c r="S29" s="27" t="inlineStr">
        <is>
          <t/>
        </is>
      </c>
      <c r="T29" s="28" t="inlineStr">
        <is>
          <t/>
        </is>
      </c>
      <c r="U29" s="29" t="n">
        <v>2014.0</v>
      </c>
      <c r="V29" s="30" t="inlineStr">
        <is>
          <t/>
        </is>
      </c>
      <c r="W29" s="31" t="inlineStr">
        <is>
          <t/>
        </is>
      </c>
      <c r="X29" s="32" t="inlineStr">
        <is>
          <t/>
        </is>
      </c>
      <c r="Y29" s="33" t="inlineStr">
        <is>
          <t/>
        </is>
      </c>
      <c r="Z29" s="34" t="inlineStr">
        <is>
          <t/>
        </is>
      </c>
      <c r="AA29" s="35" t="inlineStr">
        <is>
          <t/>
        </is>
      </c>
      <c r="AB29" s="36" t="inlineStr">
        <is>
          <t/>
        </is>
      </c>
      <c r="AC29" s="37" t="inlineStr">
        <is>
          <t/>
        </is>
      </c>
      <c r="AD29" s="38" t="inlineStr">
        <is>
          <t/>
        </is>
      </c>
      <c r="AE29" s="39" t="inlineStr">
        <is>
          <t>102129-58P</t>
        </is>
      </c>
      <c r="AF29" s="40" t="inlineStr">
        <is>
          <t>Olivier Pailhes</t>
        </is>
      </c>
      <c r="AG29" s="41" t="inlineStr">
        <is>
          <t>Co-Founder and Chief Executive Officer</t>
        </is>
      </c>
      <c r="AH29" s="42" t="inlineStr">
        <is>
          <t>olivier@aircall.io</t>
        </is>
      </c>
      <c r="AI29" s="43" t="inlineStr">
        <is>
          <t>+1 (646) 776-5948</t>
        </is>
      </c>
      <c r="AJ29" s="44" t="inlineStr">
        <is>
          <t>Paris, France</t>
        </is>
      </c>
      <c r="AK29" s="45" t="inlineStr">
        <is>
          <t>37 Rue du Sentier</t>
        </is>
      </c>
      <c r="AL29" s="46" t="inlineStr">
        <is>
          <t/>
        </is>
      </c>
      <c r="AM29" s="47" t="inlineStr">
        <is>
          <t>Paris</t>
        </is>
      </c>
      <c r="AN29" s="48" t="inlineStr">
        <is>
          <t/>
        </is>
      </c>
      <c r="AO29" s="49" t="inlineStr">
        <is>
          <t>75002</t>
        </is>
      </c>
      <c r="AP29" s="50" t="inlineStr">
        <is>
          <t>France</t>
        </is>
      </c>
      <c r="AQ29" s="51" t="inlineStr">
        <is>
          <t>+33 (0)1 76 36 06 95</t>
        </is>
      </c>
      <c r="AR29" s="52" t="inlineStr">
        <is>
          <t/>
        </is>
      </c>
      <c r="AS29" s="53" t="inlineStr">
        <is>
          <t/>
        </is>
      </c>
      <c r="AT29" s="54" t="inlineStr">
        <is>
          <t>Europe</t>
        </is>
      </c>
      <c r="AU29" s="55" t="inlineStr">
        <is>
          <t>Western Europe</t>
        </is>
      </c>
      <c r="AV29" s="56" t="inlineStr">
        <is>
          <t>The company raised $8 million of Series A venture funding in a deal led by Balderton Capital on September 14, 2016. Newfund Management, FJ Labs and FundersClub also participated. Previously, the company raised $2.75 million of seed funding from lead investor Balderton Capital on January 20, 2016. FundersClub, Kima Ventures and undisclosed individual investors also participated.</t>
        </is>
      </c>
      <c r="AW29" s="57" t="inlineStr">
        <is>
          <t>500 Startups, Balderton Capital, Davy Kestens, eFounders, FJ Labs, FundersClub, Kima Ventures, Michel Meyer, Newfund Management, Oleg Tscheltzoff, Theo Martin</t>
        </is>
      </c>
      <c r="AX29" s="58" t="n">
        <v>11.0</v>
      </c>
      <c r="AY29" s="59" t="inlineStr">
        <is>
          <t/>
        </is>
      </c>
      <c r="AZ29" s="60" t="inlineStr">
        <is>
          <t/>
        </is>
      </c>
      <c r="BA29" s="61" t="inlineStr">
        <is>
          <t/>
        </is>
      </c>
      <c r="BB29" s="62" t="inlineStr">
        <is>
          <t>500 Startups (www.500.co), Balderton Capital (www.balderton.com), eFounders (www.efounders.co), FJ Labs (www.fjlabs.com), FundersClub (www.fundersclub.com), Kima Ventures (www.kimaventures.com), Newfund Management (www.newfund-capital.com)</t>
        </is>
      </c>
      <c r="BC29" s="63" t="inlineStr">
        <is>
          <t/>
        </is>
      </c>
      <c r="BD29" s="64" t="inlineStr">
        <is>
          <t/>
        </is>
      </c>
      <c r="BE29" s="65" t="inlineStr">
        <is>
          <t/>
        </is>
      </c>
      <c r="BF29" s="66" t="inlineStr">
        <is>
          <t/>
        </is>
      </c>
      <c r="BG29" s="67" t="n">
        <v>41648.0</v>
      </c>
      <c r="BH29" s="68" t="inlineStr">
        <is>
          <t/>
        </is>
      </c>
      <c r="BI29" s="69" t="inlineStr">
        <is>
          <t/>
        </is>
      </c>
      <c r="BJ29" s="70" t="inlineStr">
        <is>
          <t/>
        </is>
      </c>
      <c r="BK29" s="71" t="inlineStr">
        <is>
          <t/>
        </is>
      </c>
      <c r="BL29" s="72" t="inlineStr">
        <is>
          <t>Accelerator/Incubator</t>
        </is>
      </c>
      <c r="BM29" s="73" t="inlineStr">
        <is>
          <t/>
        </is>
      </c>
      <c r="BN29" s="74" t="inlineStr">
        <is>
          <t/>
        </is>
      </c>
      <c r="BO29" s="75" t="inlineStr">
        <is>
          <t>Other</t>
        </is>
      </c>
      <c r="BP29" s="76" t="inlineStr">
        <is>
          <t/>
        </is>
      </c>
      <c r="BQ29" s="77" t="inlineStr">
        <is>
          <t/>
        </is>
      </c>
      <c r="BR29" s="78" t="inlineStr">
        <is>
          <t/>
        </is>
      </c>
      <c r="BS29" s="79" t="inlineStr">
        <is>
          <t>Completed</t>
        </is>
      </c>
      <c r="BT29" s="80" t="n">
        <v>42627.0</v>
      </c>
      <c r="BU29" s="81" t="n">
        <v>7.14</v>
      </c>
      <c r="BV29" s="82" t="inlineStr">
        <is>
          <t>Actual</t>
        </is>
      </c>
      <c r="BW29" s="83" t="inlineStr">
        <is>
          <t/>
        </is>
      </c>
      <c r="BX29" s="84" t="inlineStr">
        <is>
          <t/>
        </is>
      </c>
      <c r="BY29" s="85" t="inlineStr">
        <is>
          <t>Early Stage VC</t>
        </is>
      </c>
      <c r="BZ29" s="86" t="inlineStr">
        <is>
          <t>Series A</t>
        </is>
      </c>
      <c r="CA29" s="87" t="inlineStr">
        <is>
          <t/>
        </is>
      </c>
      <c r="CB29" s="88" t="inlineStr">
        <is>
          <t>Venture Capital</t>
        </is>
      </c>
      <c r="CC29" s="89" t="inlineStr">
        <is>
          <t/>
        </is>
      </c>
      <c r="CD29" s="90" t="inlineStr">
        <is>
          <t/>
        </is>
      </c>
      <c r="CE29" s="91" t="inlineStr">
        <is>
          <t/>
        </is>
      </c>
      <c r="CF29" s="92" t="inlineStr">
        <is>
          <t>Completed</t>
        </is>
      </c>
      <c r="CG29" s="93" t="inlineStr">
        <is>
          <t>1,20%</t>
        </is>
      </c>
      <c r="CH29" s="94" t="inlineStr">
        <is>
          <t>90</t>
        </is>
      </c>
      <c r="CI29" s="95" t="inlineStr">
        <is>
          <t>0,19%</t>
        </is>
      </c>
      <c r="CJ29" s="96" t="inlineStr">
        <is>
          <t>19,12%</t>
        </is>
      </c>
      <c r="CK29" s="97" t="inlineStr">
        <is>
          <t>-2,52%</t>
        </is>
      </c>
      <c r="CL29" s="98" t="inlineStr">
        <is>
          <t>4</t>
        </is>
      </c>
      <c r="CM29" s="99" t="inlineStr">
        <is>
          <t>4,91%</t>
        </is>
      </c>
      <c r="CN29" s="100" t="inlineStr">
        <is>
          <t>100</t>
        </is>
      </c>
      <c r="CO29" s="101" t="inlineStr">
        <is>
          <t>-5,03%</t>
        </is>
      </c>
      <c r="CP29" s="102" t="inlineStr">
        <is>
          <t>7</t>
        </is>
      </c>
      <c r="CQ29" s="103" t="inlineStr">
        <is>
          <t>0,00%</t>
        </is>
      </c>
      <c r="CR29" s="104" t="inlineStr">
        <is>
          <t>13</t>
        </is>
      </c>
      <c r="CS29" s="105" t="inlineStr">
        <is>
          <t>1,29%</t>
        </is>
      </c>
      <c r="CT29" s="106" t="inlineStr">
        <is>
          <t>96</t>
        </is>
      </c>
      <c r="CU29" s="107" t="inlineStr">
        <is>
          <t>8,54%</t>
        </is>
      </c>
      <c r="CV29" s="108" t="inlineStr">
        <is>
          <t>100</t>
        </is>
      </c>
      <c r="CW29" s="109" t="inlineStr">
        <is>
          <t>13,79x</t>
        </is>
      </c>
      <c r="CX29" s="110" t="inlineStr">
        <is>
          <t>89</t>
        </is>
      </c>
      <c r="CY29" s="111" t="inlineStr">
        <is>
          <t>0,17x</t>
        </is>
      </c>
      <c r="CZ29" s="112" t="inlineStr">
        <is>
          <t>1,28%</t>
        </is>
      </c>
      <c r="DA29" s="113" t="inlineStr">
        <is>
          <t>21,43x</t>
        </is>
      </c>
      <c r="DB29" s="114" t="inlineStr">
        <is>
          <t>93</t>
        </is>
      </c>
      <c r="DC29" s="115" t="inlineStr">
        <is>
          <t>6,16x</t>
        </is>
      </c>
      <c r="DD29" s="116" t="inlineStr">
        <is>
          <t>79</t>
        </is>
      </c>
      <c r="DE29" s="117" t="inlineStr">
        <is>
          <t>41,69x</t>
        </is>
      </c>
      <c r="DF29" s="118" t="inlineStr">
        <is>
          <t>93</t>
        </is>
      </c>
      <c r="DG29" s="119" t="inlineStr">
        <is>
          <t>1,17x</t>
        </is>
      </c>
      <c r="DH29" s="120" t="inlineStr">
        <is>
          <t>53</t>
        </is>
      </c>
      <c r="DI29" s="121" t="inlineStr">
        <is>
          <t>2,30x</t>
        </is>
      </c>
      <c r="DJ29" s="122" t="inlineStr">
        <is>
          <t>64</t>
        </is>
      </c>
      <c r="DK29" s="123" t="inlineStr">
        <is>
          <t>10,02x</t>
        </is>
      </c>
      <c r="DL29" s="124" t="inlineStr">
        <is>
          <t>86</t>
        </is>
      </c>
      <c r="DM29" s="125" t="inlineStr">
        <is>
          <t>26.668</t>
        </is>
      </c>
      <c r="DN29" s="126" t="inlineStr">
        <is>
          <t>-3.085</t>
        </is>
      </c>
      <c r="DO29" s="127" t="inlineStr">
        <is>
          <t>-10,37%</t>
        </is>
      </c>
      <c r="DP29" s="128" t="inlineStr">
        <is>
          <t>1.830</t>
        </is>
      </c>
      <c r="DQ29" s="129" t="inlineStr">
        <is>
          <t>23</t>
        </is>
      </c>
      <c r="DR29" s="130" t="inlineStr">
        <is>
          <t>1,27%</t>
        </is>
      </c>
      <c r="DS29" s="131" t="inlineStr">
        <is>
          <t>42</t>
        </is>
      </c>
      <c r="DT29" s="132" t="inlineStr">
        <is>
          <t>0</t>
        </is>
      </c>
      <c r="DU29" s="133" t="inlineStr">
        <is>
          <t>0,00%</t>
        </is>
      </c>
      <c r="DV29" s="134" t="inlineStr">
        <is>
          <t>3.361</t>
        </is>
      </c>
      <c r="DW29" s="135" t="inlineStr">
        <is>
          <t>182</t>
        </is>
      </c>
      <c r="DX29" s="136" t="inlineStr">
        <is>
          <t>5,73%</t>
        </is>
      </c>
      <c r="DY29" s="137" t="inlineStr">
        <is>
          <t>PitchBook Research</t>
        </is>
      </c>
      <c r="DZ29" s="785">
        <f>HYPERLINK("https://my.pitchbook.com?c=81891-91", "View company online")</f>
      </c>
    </row>
    <row r="30">
      <c r="A30" s="139" t="inlineStr">
        <is>
          <t>111733-48</t>
        </is>
      </c>
      <c r="B30" s="140" t="inlineStr">
        <is>
          <t>Aire Labs</t>
        </is>
      </c>
      <c r="C30" s="141" t="inlineStr">
        <is>
          <t/>
        </is>
      </c>
      <c r="D30" s="142" t="inlineStr">
        <is>
          <t>Aire</t>
        </is>
      </c>
      <c r="E30" s="143" t="inlineStr">
        <is>
          <t>111733-48</t>
        </is>
      </c>
      <c r="F30" s="144" t="inlineStr">
        <is>
          <t>Provider of an algorithmic credit scoring platform designed to offer AI-powered credit scoring. The company's algorithmic credit scoring platform emulates the human intelligence of underwriters to help people qualify for essential financial products as well as deploys the existing web and mobile workflow of online credit applications, providing companies with access to new markets while optimizing acquisition costs.</t>
        </is>
      </c>
      <c r="G30" s="145" t="inlineStr">
        <is>
          <t>Information Technology</t>
        </is>
      </c>
      <c r="H30" s="146" t="inlineStr">
        <is>
          <t>Software</t>
        </is>
      </c>
      <c r="I30" s="147" t="inlineStr">
        <is>
          <t>Financial Software</t>
        </is>
      </c>
      <c r="J30" s="148" t="inlineStr">
        <is>
          <t>Financial Software*; Other Financial Services; Social/Platform Software</t>
        </is>
      </c>
      <c r="K30" s="149" t="inlineStr">
        <is>
          <t>FinTech, Mobile</t>
        </is>
      </c>
      <c r="L30" s="150" t="inlineStr">
        <is>
          <t>Venture Capital-Backed</t>
        </is>
      </c>
      <c r="M30" s="151" t="n">
        <v>7.31</v>
      </c>
      <c r="N30" s="152" t="inlineStr">
        <is>
          <t>Generating Revenue</t>
        </is>
      </c>
      <c r="O30" s="153" t="inlineStr">
        <is>
          <t>Privately Held (backing)</t>
        </is>
      </c>
      <c r="P30" s="154" t="inlineStr">
        <is>
          <t>Venture Capital</t>
        </is>
      </c>
      <c r="Q30" s="155" t="inlineStr">
        <is>
          <t>www.aire.io</t>
        </is>
      </c>
      <c r="R30" s="156" t="n">
        <v>11.0</v>
      </c>
      <c r="S30" s="157" t="inlineStr">
        <is>
          <t/>
        </is>
      </c>
      <c r="T30" s="158" t="inlineStr">
        <is>
          <t/>
        </is>
      </c>
      <c r="U30" s="159" t="n">
        <v>2014.0</v>
      </c>
      <c r="V30" s="160" t="inlineStr">
        <is>
          <t/>
        </is>
      </c>
      <c r="W30" s="161" t="inlineStr">
        <is>
          <t/>
        </is>
      </c>
      <c r="X30" s="162" t="inlineStr">
        <is>
          <t/>
        </is>
      </c>
      <c r="Y30" s="163" t="inlineStr">
        <is>
          <t/>
        </is>
      </c>
      <c r="Z30" s="164" t="inlineStr">
        <is>
          <t/>
        </is>
      </c>
      <c r="AA30" s="165" t="inlineStr">
        <is>
          <t/>
        </is>
      </c>
      <c r="AB30" s="166" t="inlineStr">
        <is>
          <t/>
        </is>
      </c>
      <c r="AC30" s="167" t="inlineStr">
        <is>
          <t/>
        </is>
      </c>
      <c r="AD30" s="168" t="inlineStr">
        <is>
          <t/>
        </is>
      </c>
      <c r="AE30" s="169" t="inlineStr">
        <is>
          <t>98137-00P</t>
        </is>
      </c>
      <c r="AF30" s="170" t="inlineStr">
        <is>
          <t>Aneesh Varma</t>
        </is>
      </c>
      <c r="AG30" s="171" t="inlineStr">
        <is>
          <t>Co-Founder, Board Member &amp; Chief Executive Officer</t>
        </is>
      </c>
      <c r="AH30" s="172" t="inlineStr">
        <is>
          <t>aneesh@aire.io</t>
        </is>
      </c>
      <c r="AI30" s="173" t="inlineStr">
        <is>
          <t/>
        </is>
      </c>
      <c r="AJ30" s="174" t="inlineStr">
        <is>
          <t>London, United Kingdom</t>
        </is>
      </c>
      <c r="AK30" s="175" t="inlineStr">
        <is>
          <t>First floor</t>
        </is>
      </c>
      <c r="AL30" s="176" t="inlineStr">
        <is>
          <t>11a Curtain Road</t>
        </is>
      </c>
      <c r="AM30" s="177" t="inlineStr">
        <is>
          <t>London</t>
        </is>
      </c>
      <c r="AN30" s="178" t="inlineStr">
        <is>
          <t>England</t>
        </is>
      </c>
      <c r="AO30" s="179" t="inlineStr">
        <is>
          <t>EC2A 3LT</t>
        </is>
      </c>
      <c r="AP30" s="180" t="inlineStr">
        <is>
          <t>United Kingdom</t>
        </is>
      </c>
      <c r="AQ30" s="181" t="inlineStr">
        <is>
          <t/>
        </is>
      </c>
      <c r="AR30" s="182" t="inlineStr">
        <is>
          <t/>
        </is>
      </c>
      <c r="AS30" s="183" t="inlineStr">
        <is>
          <t/>
        </is>
      </c>
      <c r="AT30" s="184" t="inlineStr">
        <is>
          <t>Europe</t>
        </is>
      </c>
      <c r="AU30" s="185" t="inlineStr">
        <is>
          <t>Western Europe</t>
        </is>
      </c>
      <c r="AV30" s="186" t="inlineStr">
        <is>
          <t>The company raised $5 million of Series A venture funding in a deal led by Sunstone Capital on July 23, 2017. White Star Capital also participated in this round. The company intends to use the funds to continue to develop its platform. Prior to that, the company raised $2 million of venture funding in a deal led by White Star Capital on October 3, 2016. Accion, Residence Ventures and Sunstone Capital also participated in this round. The company intends to use the funds to start international expansion as well as hire new data scientists, researchers and financial industry experts.</t>
        </is>
      </c>
      <c r="AW30" s="187" t="inlineStr">
        <is>
          <t>Accion, Andrew Mullinger, Andrew Rudd, Barclays Accelerator, Jesse Podell, John Chrin, John Vermilye, Mahdi Shariff, Nishul Saperia, Peter Jackson, Residence Ventures, SparkLabs Global Ventures, Sunstone Capital, Techstars, Thomas Glocer, White Star Capital</t>
        </is>
      </c>
      <c r="AX30" s="188" t="n">
        <v>16.0</v>
      </c>
      <c r="AY30" s="189" t="inlineStr">
        <is>
          <t/>
        </is>
      </c>
      <c r="AZ30" s="190" t="inlineStr">
        <is>
          <t/>
        </is>
      </c>
      <c r="BA30" s="191" t="inlineStr">
        <is>
          <t/>
        </is>
      </c>
      <c r="BB30" s="192" t="inlineStr">
        <is>
          <t>Accion (www.accion.org), Barclays Accelerator (www.barclaysaccelerator.com), Residence Ventures (www.residenceventures.com), SparkLabs Global Ventures (www.sparklabsglobal.com), Sunstone Capital (www.sunstone.eu), Techstars (www.techstars.com), Thomas Glocer (www.tomglocer.com), White Star Capital (www.whitestarvc.com)</t>
        </is>
      </c>
      <c r="BC30" s="193" t="inlineStr">
        <is>
          <t/>
        </is>
      </c>
      <c r="BD30" s="194" t="inlineStr">
        <is>
          <t/>
        </is>
      </c>
      <c r="BE30" s="195" t="inlineStr">
        <is>
          <t/>
        </is>
      </c>
      <c r="BF30" s="196" t="inlineStr">
        <is>
          <t/>
        </is>
      </c>
      <c r="BG30" s="197" t="n">
        <v>41806.0</v>
      </c>
      <c r="BH30" s="198" t="n">
        <v>0.22</v>
      </c>
      <c r="BI30" s="199" t="inlineStr">
        <is>
          <t>Actual</t>
        </is>
      </c>
      <c r="BJ30" s="200" t="n">
        <v>1.53</v>
      </c>
      <c r="BK30" s="201" t="inlineStr">
        <is>
          <t>Actual</t>
        </is>
      </c>
      <c r="BL30" s="202" t="inlineStr">
        <is>
          <t>Seed Round</t>
        </is>
      </c>
      <c r="BM30" s="203" t="inlineStr">
        <is>
          <t>Seed</t>
        </is>
      </c>
      <c r="BN30" s="204" t="inlineStr">
        <is>
          <t/>
        </is>
      </c>
      <c r="BO30" s="205" t="inlineStr">
        <is>
          <t>Venture Capital</t>
        </is>
      </c>
      <c r="BP30" s="206" t="inlineStr">
        <is>
          <t/>
        </is>
      </c>
      <c r="BQ30" s="207" t="inlineStr">
        <is>
          <t/>
        </is>
      </c>
      <c r="BR30" s="208" t="inlineStr">
        <is>
          <t/>
        </is>
      </c>
      <c r="BS30" s="209" t="inlineStr">
        <is>
          <t>Completed</t>
        </is>
      </c>
      <c r="BT30" s="210" t="n">
        <v>42939.0</v>
      </c>
      <c r="BU30" s="211" t="n">
        <v>4.34</v>
      </c>
      <c r="BV30" s="212" t="inlineStr">
        <is>
          <t>Actual</t>
        </is>
      </c>
      <c r="BW30" s="213" t="inlineStr">
        <is>
          <t/>
        </is>
      </c>
      <c r="BX30" s="214" t="inlineStr">
        <is>
          <t/>
        </is>
      </c>
      <c r="BY30" s="215" t="inlineStr">
        <is>
          <t>Early Stage VC</t>
        </is>
      </c>
      <c r="BZ30" s="216" t="inlineStr">
        <is>
          <t>Series A</t>
        </is>
      </c>
      <c r="CA30" s="217" t="inlineStr">
        <is>
          <t/>
        </is>
      </c>
      <c r="CB30" s="218" t="inlineStr">
        <is>
          <t>Venture Capital</t>
        </is>
      </c>
      <c r="CC30" s="219" t="inlineStr">
        <is>
          <t/>
        </is>
      </c>
      <c r="CD30" s="220" t="inlineStr">
        <is>
          <t/>
        </is>
      </c>
      <c r="CE30" s="221" t="inlineStr">
        <is>
          <t/>
        </is>
      </c>
      <c r="CF30" s="222" t="inlineStr">
        <is>
          <t>Completed</t>
        </is>
      </c>
      <c r="CG30" s="223" t="inlineStr">
        <is>
          <t>-1,15%</t>
        </is>
      </c>
      <c r="CH30" s="224" t="inlineStr">
        <is>
          <t>5</t>
        </is>
      </c>
      <c r="CI30" s="225" t="inlineStr">
        <is>
          <t>0,05%</t>
        </is>
      </c>
      <c r="CJ30" s="226" t="inlineStr">
        <is>
          <t>3,79%</t>
        </is>
      </c>
      <c r="CK30" s="227" t="inlineStr">
        <is>
          <t>-2,58%</t>
        </is>
      </c>
      <c r="CL30" s="228" t="inlineStr">
        <is>
          <t>4</t>
        </is>
      </c>
      <c r="CM30" s="229" t="inlineStr">
        <is>
          <t>0,29%</t>
        </is>
      </c>
      <c r="CN30" s="230" t="inlineStr">
        <is>
          <t>80</t>
        </is>
      </c>
      <c r="CO30" s="231" t="inlineStr">
        <is>
          <t>-6,02%</t>
        </is>
      </c>
      <c r="CP30" s="232" t="inlineStr">
        <is>
          <t>5</t>
        </is>
      </c>
      <c r="CQ30" s="233" t="inlineStr">
        <is>
          <t>0,85%</t>
        </is>
      </c>
      <c r="CR30" s="234" t="inlineStr">
        <is>
          <t>88</t>
        </is>
      </c>
      <c r="CS30" s="235" t="inlineStr">
        <is>
          <t>0,35%</t>
        </is>
      </c>
      <c r="CT30" s="236" t="inlineStr">
        <is>
          <t>81</t>
        </is>
      </c>
      <c r="CU30" s="237" t="inlineStr">
        <is>
          <t>0,22%</t>
        </is>
      </c>
      <c r="CV30" s="238" t="inlineStr">
        <is>
          <t>79</t>
        </is>
      </c>
      <c r="CW30" s="239" t="inlineStr">
        <is>
          <t>2,61x</t>
        </is>
      </c>
      <c r="CX30" s="240" t="inlineStr">
        <is>
          <t>69</t>
        </is>
      </c>
      <c r="CY30" s="241" t="inlineStr">
        <is>
          <t>-1,22x</t>
        </is>
      </c>
      <c r="CZ30" s="242" t="inlineStr">
        <is>
          <t>-31,89%</t>
        </is>
      </c>
      <c r="DA30" s="243" t="inlineStr">
        <is>
          <t>2,40x</t>
        </is>
      </c>
      <c r="DB30" s="244" t="inlineStr">
        <is>
          <t>70</t>
        </is>
      </c>
      <c r="DC30" s="245" t="inlineStr">
        <is>
          <t>2,83x</t>
        </is>
      </c>
      <c r="DD30" s="246" t="inlineStr">
        <is>
          <t>67</t>
        </is>
      </c>
      <c r="DE30" s="247" t="inlineStr">
        <is>
          <t>1,79x</t>
        </is>
      </c>
      <c r="DF30" s="248" t="inlineStr">
        <is>
          <t>62</t>
        </is>
      </c>
      <c r="DG30" s="249" t="inlineStr">
        <is>
          <t>3,00x</t>
        </is>
      </c>
      <c r="DH30" s="250" t="inlineStr">
        <is>
          <t>71</t>
        </is>
      </c>
      <c r="DI30" s="251" t="inlineStr">
        <is>
          <t>0,21x</t>
        </is>
      </c>
      <c r="DJ30" s="252" t="inlineStr">
        <is>
          <t>24</t>
        </is>
      </c>
      <c r="DK30" s="253" t="inlineStr">
        <is>
          <t>5,45x</t>
        </is>
      </c>
      <c r="DL30" s="254" t="inlineStr">
        <is>
          <t>79</t>
        </is>
      </c>
      <c r="DM30" s="255" t="inlineStr">
        <is>
          <t>1.168</t>
        </is>
      </c>
      <c r="DN30" s="256" t="inlineStr">
        <is>
          <t>-197</t>
        </is>
      </c>
      <c r="DO30" s="257" t="inlineStr">
        <is>
          <t>-14,43%</t>
        </is>
      </c>
      <c r="DP30" s="258" t="inlineStr">
        <is>
          <t>167</t>
        </is>
      </c>
      <c r="DQ30" s="259" t="inlineStr">
        <is>
          <t>-1</t>
        </is>
      </c>
      <c r="DR30" s="260" t="inlineStr">
        <is>
          <t>-0,60%</t>
        </is>
      </c>
      <c r="DS30" s="261" t="inlineStr">
        <is>
          <t>107</t>
        </is>
      </c>
      <c r="DT30" s="262" t="inlineStr">
        <is>
          <t>0</t>
        </is>
      </c>
      <c r="DU30" s="263" t="inlineStr">
        <is>
          <t>0,00%</t>
        </is>
      </c>
      <c r="DV30" s="264" t="inlineStr">
        <is>
          <t>1.868</t>
        </is>
      </c>
      <c r="DW30" s="265" t="inlineStr">
        <is>
          <t>3</t>
        </is>
      </c>
      <c r="DX30" s="266" t="inlineStr">
        <is>
          <t>0,16%</t>
        </is>
      </c>
      <c r="DY30" s="267" t="inlineStr">
        <is>
          <t>PitchBook Research</t>
        </is>
      </c>
      <c r="DZ30" s="786">
        <f>HYPERLINK("https://my.pitchbook.com?c=111733-48", "View company online")</f>
      </c>
    </row>
    <row r="31">
      <c r="A31" s="9" t="inlineStr">
        <is>
          <t>62510-41</t>
        </is>
      </c>
      <c r="B31" s="10" t="inlineStr">
        <is>
          <t>Akeneo</t>
        </is>
      </c>
      <c r="C31" s="11" t="inlineStr">
        <is>
          <t/>
        </is>
      </c>
      <c r="D31" s="12" t="inlineStr">
        <is>
          <t/>
        </is>
      </c>
      <c r="E31" s="13" t="inlineStr">
        <is>
          <t>62510-41</t>
        </is>
      </c>
      <c r="F31" s="14" t="inlineStr">
        <is>
          <t>Developer of an open-source product information management platform designed to manage in store product information online as well as offline. The company's Product Information Management (PIM) system centralizes and harmonizes all marketing and technical information for product listings and catalogs enabling merchants centralize, synthesize, translate and control the quality of their product information, leading to higher conversion rates, better SEO, shorter time-to-market and lower return rates.</t>
        </is>
      </c>
      <c r="G31" s="15" t="inlineStr">
        <is>
          <t>Information Technology</t>
        </is>
      </c>
      <c r="H31" s="16" t="inlineStr">
        <is>
          <t>Software</t>
        </is>
      </c>
      <c r="I31" s="17" t="inlineStr">
        <is>
          <t>Automation/Workflow Software</t>
        </is>
      </c>
      <c r="J31" s="18" t="inlineStr">
        <is>
          <t>Automation/Workflow Software*; Business/Productivity Software</t>
        </is>
      </c>
      <c r="K31" s="19" t="inlineStr">
        <is>
          <t>SaaS</t>
        </is>
      </c>
      <c r="L31" s="20" t="inlineStr">
        <is>
          <t>Venture Capital-Backed</t>
        </is>
      </c>
      <c r="M31" s="21" t="n">
        <v>14.37</v>
      </c>
      <c r="N31" s="22" t="inlineStr">
        <is>
          <t>Profitable</t>
        </is>
      </c>
      <c r="O31" s="23" t="inlineStr">
        <is>
          <t>Privately Held (backing)</t>
        </is>
      </c>
      <c r="P31" s="24" t="inlineStr">
        <is>
          <t>Venture Capital</t>
        </is>
      </c>
      <c r="Q31" s="25" t="inlineStr">
        <is>
          <t>www.akeneo.com</t>
        </is>
      </c>
      <c r="R31" s="26" t="n">
        <v>70.0</v>
      </c>
      <c r="S31" s="27" t="inlineStr">
        <is>
          <t/>
        </is>
      </c>
      <c r="T31" s="28" t="inlineStr">
        <is>
          <t/>
        </is>
      </c>
      <c r="U31" s="29" t="n">
        <v>2013.0</v>
      </c>
      <c r="V31" s="30" t="inlineStr">
        <is>
          <t/>
        </is>
      </c>
      <c r="W31" s="31" t="inlineStr">
        <is>
          <t/>
        </is>
      </c>
      <c r="X31" s="32" t="inlineStr">
        <is>
          <t/>
        </is>
      </c>
      <c r="Y31" s="33" t="inlineStr">
        <is>
          <t/>
        </is>
      </c>
      <c r="Z31" s="34" t="inlineStr">
        <is>
          <t/>
        </is>
      </c>
      <c r="AA31" s="35" t="inlineStr">
        <is>
          <t/>
        </is>
      </c>
      <c r="AB31" s="36" t="inlineStr">
        <is>
          <t/>
        </is>
      </c>
      <c r="AC31" s="37" t="inlineStr">
        <is>
          <t/>
        </is>
      </c>
      <c r="AD31" s="38" t="inlineStr">
        <is>
          <t/>
        </is>
      </c>
      <c r="AE31" s="39" t="inlineStr">
        <is>
          <t>65475-46P</t>
        </is>
      </c>
      <c r="AF31" s="40" t="inlineStr">
        <is>
          <t>Frederic De Gombert</t>
        </is>
      </c>
      <c r="AG31" s="41" t="inlineStr">
        <is>
          <t>Chief Executive Officer &amp; Co-Founder</t>
        </is>
      </c>
      <c r="AH31" s="42" t="inlineStr">
        <is>
          <t>frederic@akeneo.com</t>
        </is>
      </c>
      <c r="AI31" s="43" t="inlineStr">
        <is>
          <t>+33 (0)2 55 59 00 00</t>
        </is>
      </c>
      <c r="AJ31" s="44" t="inlineStr">
        <is>
          <t>Nantes, France</t>
        </is>
      </c>
      <c r="AK31" s="45" t="inlineStr">
        <is>
          <t>2 PLace General Mellinet</t>
        </is>
      </c>
      <c r="AL31" s="46" t="inlineStr">
        <is>
          <t/>
        </is>
      </c>
      <c r="AM31" s="47" t="inlineStr">
        <is>
          <t>Nantes</t>
        </is>
      </c>
      <c r="AN31" s="48" t="inlineStr">
        <is>
          <t/>
        </is>
      </c>
      <c r="AO31" s="49" t="inlineStr">
        <is>
          <t>44100</t>
        </is>
      </c>
      <c r="AP31" s="50" t="inlineStr">
        <is>
          <t>France</t>
        </is>
      </c>
      <c r="AQ31" s="51" t="inlineStr">
        <is>
          <t>+33 (0)2 55 59 00 00</t>
        </is>
      </c>
      <c r="AR31" s="52" t="inlineStr">
        <is>
          <t/>
        </is>
      </c>
      <c r="AS31" s="53" t="inlineStr">
        <is>
          <t>hello@akeneo.com</t>
        </is>
      </c>
      <c r="AT31" s="54" t="inlineStr">
        <is>
          <t>Europe</t>
        </is>
      </c>
      <c r="AU31" s="55" t="inlineStr">
        <is>
          <t>Western Europe</t>
        </is>
      </c>
      <c r="AV31" s="56" t="inlineStr">
        <is>
          <t>The company raised $13 million of Series B venture funding in a deal co-led by Partech Ventures and Alven Capital on March 20, 2017. Other undisclosed investors also participated. The company will use the funding to double its R&amp;D team and accelerate international sales.</t>
        </is>
      </c>
      <c r="AW31" s="57" t="inlineStr">
        <is>
          <t>Alven Capital Partners, Kima Ventures, Nestadio Capital, Partech Ventures</t>
        </is>
      </c>
      <c r="AX31" s="58" t="n">
        <v>4.0</v>
      </c>
      <c r="AY31" s="59" t="inlineStr">
        <is>
          <t/>
        </is>
      </c>
      <c r="AZ31" s="60" t="inlineStr">
        <is>
          <t/>
        </is>
      </c>
      <c r="BA31" s="61" t="inlineStr">
        <is>
          <t/>
        </is>
      </c>
      <c r="BB31" s="62" t="inlineStr">
        <is>
          <t>Alven Capital Partners (www.alven.co), Kima Ventures (www.kimaventures.com), Nestadio Capital (www.nestadio-capital.jimdo.com), Partech Ventures (www.partechventures.com)</t>
        </is>
      </c>
      <c r="BC31" s="63" t="inlineStr">
        <is>
          <t/>
        </is>
      </c>
      <c r="BD31" s="64" t="inlineStr">
        <is>
          <t/>
        </is>
      </c>
      <c r="BE31" s="65" t="inlineStr">
        <is>
          <t/>
        </is>
      </c>
      <c r="BF31" s="66" t="inlineStr">
        <is>
          <t/>
        </is>
      </c>
      <c r="BG31" s="67" t="n">
        <v>41547.0</v>
      </c>
      <c r="BH31" s="68" t="n">
        <v>0.35</v>
      </c>
      <c r="BI31" s="69" t="inlineStr">
        <is>
          <t>Actual</t>
        </is>
      </c>
      <c r="BJ31" s="70" t="inlineStr">
        <is>
          <t/>
        </is>
      </c>
      <c r="BK31" s="71" t="inlineStr">
        <is>
          <t/>
        </is>
      </c>
      <c r="BL31" s="72" t="inlineStr">
        <is>
          <t>Seed Round</t>
        </is>
      </c>
      <c r="BM31" s="73" t="inlineStr">
        <is>
          <t>Seed</t>
        </is>
      </c>
      <c r="BN31" s="74" t="inlineStr">
        <is>
          <t/>
        </is>
      </c>
      <c r="BO31" s="75" t="inlineStr">
        <is>
          <t>Venture Capital</t>
        </is>
      </c>
      <c r="BP31" s="76" t="inlineStr">
        <is>
          <t/>
        </is>
      </c>
      <c r="BQ31" s="77" t="inlineStr">
        <is>
          <t/>
        </is>
      </c>
      <c r="BR31" s="78" t="inlineStr">
        <is>
          <t/>
        </is>
      </c>
      <c r="BS31" s="79" t="inlineStr">
        <is>
          <t>Completed</t>
        </is>
      </c>
      <c r="BT31" s="80" t="n">
        <v>42814.0</v>
      </c>
      <c r="BU31" s="81" t="n">
        <v>12.16</v>
      </c>
      <c r="BV31" s="82" t="inlineStr">
        <is>
          <t>Actual</t>
        </is>
      </c>
      <c r="BW31" s="83" t="inlineStr">
        <is>
          <t/>
        </is>
      </c>
      <c r="BX31" s="84" t="inlineStr">
        <is>
          <t/>
        </is>
      </c>
      <c r="BY31" s="85" t="inlineStr">
        <is>
          <t>Early Stage VC</t>
        </is>
      </c>
      <c r="BZ31" s="86" t="inlineStr">
        <is>
          <t>Series B</t>
        </is>
      </c>
      <c r="CA31" s="87" t="inlineStr">
        <is>
          <t/>
        </is>
      </c>
      <c r="CB31" s="88" t="inlineStr">
        <is>
          <t>Venture Capital</t>
        </is>
      </c>
      <c r="CC31" s="89" t="inlineStr">
        <is>
          <t/>
        </is>
      </c>
      <c r="CD31" s="90" t="inlineStr">
        <is>
          <t/>
        </is>
      </c>
      <c r="CE31" s="91" t="inlineStr">
        <is>
          <t/>
        </is>
      </c>
      <c r="CF31" s="92" t="inlineStr">
        <is>
          <t>Completed</t>
        </is>
      </c>
      <c r="CG31" s="93" t="inlineStr">
        <is>
          <t>-1,20%</t>
        </is>
      </c>
      <c r="CH31" s="94" t="inlineStr">
        <is>
          <t>5</t>
        </is>
      </c>
      <c r="CI31" s="95" t="inlineStr">
        <is>
          <t>0,02%</t>
        </is>
      </c>
      <c r="CJ31" s="96" t="inlineStr">
        <is>
          <t>2,03%</t>
        </is>
      </c>
      <c r="CK31" s="97" t="inlineStr">
        <is>
          <t>-2,75%</t>
        </is>
      </c>
      <c r="CL31" s="98" t="inlineStr">
        <is>
          <t>4</t>
        </is>
      </c>
      <c r="CM31" s="99" t="inlineStr">
        <is>
          <t>0,35%</t>
        </is>
      </c>
      <c r="CN31" s="100" t="inlineStr">
        <is>
          <t>84</t>
        </is>
      </c>
      <c r="CO31" s="101" t="inlineStr">
        <is>
          <t>-5,58%</t>
        </is>
      </c>
      <c r="CP31" s="102" t="inlineStr">
        <is>
          <t>6</t>
        </is>
      </c>
      <c r="CQ31" s="103" t="inlineStr">
        <is>
          <t>0,07%</t>
        </is>
      </c>
      <c r="CR31" s="104" t="inlineStr">
        <is>
          <t>82</t>
        </is>
      </c>
      <c r="CS31" s="105" t="inlineStr">
        <is>
          <t>0,40%</t>
        </is>
      </c>
      <c r="CT31" s="106" t="inlineStr">
        <is>
          <t>84</t>
        </is>
      </c>
      <c r="CU31" s="107" t="inlineStr">
        <is>
          <t>0,30%</t>
        </is>
      </c>
      <c r="CV31" s="108" t="inlineStr">
        <is>
          <t>85</t>
        </is>
      </c>
      <c r="CW31" s="109" t="inlineStr">
        <is>
          <t>10,34x</t>
        </is>
      </c>
      <c r="CX31" s="110" t="inlineStr">
        <is>
          <t>87</t>
        </is>
      </c>
      <c r="CY31" s="111" t="inlineStr">
        <is>
          <t>0,14x</t>
        </is>
      </c>
      <c r="CZ31" s="112" t="inlineStr">
        <is>
          <t>1,35%</t>
        </is>
      </c>
      <c r="DA31" s="113" t="inlineStr">
        <is>
          <t>16,87x</t>
        </is>
      </c>
      <c r="DB31" s="114" t="inlineStr">
        <is>
          <t>91</t>
        </is>
      </c>
      <c r="DC31" s="115" t="inlineStr">
        <is>
          <t>3,82x</t>
        </is>
      </c>
      <c r="DD31" s="116" t="inlineStr">
        <is>
          <t>72</t>
        </is>
      </c>
      <c r="DE31" s="117" t="inlineStr">
        <is>
          <t>19,49x</t>
        </is>
      </c>
      <c r="DF31" s="118" t="inlineStr">
        <is>
          <t>88</t>
        </is>
      </c>
      <c r="DG31" s="119" t="inlineStr">
        <is>
          <t>14,25x</t>
        </is>
      </c>
      <c r="DH31" s="120" t="inlineStr">
        <is>
          <t>90</t>
        </is>
      </c>
      <c r="DI31" s="121" t="inlineStr">
        <is>
          <t>0,76x</t>
        </is>
      </c>
      <c r="DJ31" s="122" t="inlineStr">
        <is>
          <t>46</t>
        </is>
      </c>
      <c r="DK31" s="123" t="inlineStr">
        <is>
          <t>6,88x</t>
        </is>
      </c>
      <c r="DL31" s="124" t="inlineStr">
        <is>
          <t>82</t>
        </is>
      </c>
      <c r="DM31" s="125" t="inlineStr">
        <is>
          <t>12.426</t>
        </is>
      </c>
      <c r="DN31" s="126" t="inlineStr">
        <is>
          <t>-1.317</t>
        </is>
      </c>
      <c r="DO31" s="127" t="inlineStr">
        <is>
          <t>-9,58%</t>
        </is>
      </c>
      <c r="DP31" s="128" t="inlineStr">
        <is>
          <t>604</t>
        </is>
      </c>
      <c r="DQ31" s="129" t="inlineStr">
        <is>
          <t>4</t>
        </is>
      </c>
      <c r="DR31" s="130" t="inlineStr">
        <is>
          <t>0,67%</t>
        </is>
      </c>
      <c r="DS31" s="131" t="inlineStr">
        <is>
          <t>513</t>
        </is>
      </c>
      <c r="DT31" s="132" t="inlineStr">
        <is>
          <t>1</t>
        </is>
      </c>
      <c r="DU31" s="133" t="inlineStr">
        <is>
          <t>0,20%</t>
        </is>
      </c>
      <c r="DV31" s="134" t="inlineStr">
        <is>
          <t>2.358</t>
        </is>
      </c>
      <c r="DW31" s="135" t="inlineStr">
        <is>
          <t>6</t>
        </is>
      </c>
      <c r="DX31" s="136" t="inlineStr">
        <is>
          <t>0,26%</t>
        </is>
      </c>
      <c r="DY31" s="137" t="inlineStr">
        <is>
          <t>PitchBook Research</t>
        </is>
      </c>
      <c r="DZ31" s="785">
        <f>HYPERLINK("https://my.pitchbook.com?c=62510-41", "View company online")</f>
      </c>
    </row>
    <row r="32">
      <c r="A32" s="139" t="inlineStr">
        <is>
          <t>167531-14</t>
        </is>
      </c>
      <c r="B32" s="140" t="inlineStr">
        <is>
          <t>Alan (health insurance)</t>
        </is>
      </c>
      <c r="C32" s="141" t="inlineStr">
        <is>
          <t/>
        </is>
      </c>
      <c r="D32" s="142" t="inlineStr">
        <is>
          <t/>
        </is>
      </c>
      <c r="E32" s="143" t="inlineStr">
        <is>
          <t>167531-14</t>
        </is>
      </c>
      <c r="F32" s="144" t="inlineStr">
        <is>
          <t>Provider of an online health insurance platform. The company provides health insurance related services through a web portal which allows its customers to submit reimbursements, add their partner on their health plan and get more details about their coverage.</t>
        </is>
      </c>
      <c r="G32" s="145" t="inlineStr">
        <is>
          <t>Financial Services</t>
        </is>
      </c>
      <c r="H32" s="146" t="inlineStr">
        <is>
          <t>Insurance</t>
        </is>
      </c>
      <c r="I32" s="147" t="inlineStr">
        <is>
          <t>Life and Health Insurance</t>
        </is>
      </c>
      <c r="J32" s="148" t="inlineStr">
        <is>
          <t>Life and Health Insurance*</t>
        </is>
      </c>
      <c r="K32" s="149" t="inlineStr">
        <is>
          <t>SaaS</t>
        </is>
      </c>
      <c r="L32" s="150" t="inlineStr">
        <is>
          <t>Venture Capital-Backed</t>
        </is>
      </c>
      <c r="M32" s="151" t="n">
        <v>11.77</v>
      </c>
      <c r="N32" s="152" t="inlineStr">
        <is>
          <t>Startup</t>
        </is>
      </c>
      <c r="O32" s="153" t="inlineStr">
        <is>
          <t>Privately Held (backing)</t>
        </is>
      </c>
      <c r="P32" s="154" t="inlineStr">
        <is>
          <t>Venture Capital</t>
        </is>
      </c>
      <c r="Q32" s="155" t="inlineStr">
        <is>
          <t>alan.eu</t>
        </is>
      </c>
      <c r="R32" s="156" t="n">
        <v>11.0</v>
      </c>
      <c r="S32" s="157" t="inlineStr">
        <is>
          <t/>
        </is>
      </c>
      <c r="T32" s="158" t="inlineStr">
        <is>
          <t/>
        </is>
      </c>
      <c r="U32" s="159" t="n">
        <v>2015.0</v>
      </c>
      <c r="V32" s="160" t="inlineStr">
        <is>
          <t/>
        </is>
      </c>
      <c r="W32" s="161" t="inlineStr">
        <is>
          <t/>
        </is>
      </c>
      <c r="X32" s="162" t="inlineStr">
        <is>
          <t/>
        </is>
      </c>
      <c r="Y32" s="163" t="inlineStr">
        <is>
          <t/>
        </is>
      </c>
      <c r="Z32" s="164" t="inlineStr">
        <is>
          <t/>
        </is>
      </c>
      <c r="AA32" s="165" t="inlineStr">
        <is>
          <t/>
        </is>
      </c>
      <c r="AB32" s="166" t="inlineStr">
        <is>
          <t/>
        </is>
      </c>
      <c r="AC32" s="167" t="inlineStr">
        <is>
          <t/>
        </is>
      </c>
      <c r="AD32" s="168" t="inlineStr">
        <is>
          <t/>
        </is>
      </c>
      <c r="AE32" s="169" t="inlineStr">
        <is>
          <t>148415-32P</t>
        </is>
      </c>
      <c r="AF32" s="170" t="inlineStr">
        <is>
          <t>Charles Gorintin</t>
        </is>
      </c>
      <c r="AG32" s="171" t="inlineStr">
        <is>
          <t>Co-Founder &amp; Chief Technology Officer</t>
        </is>
      </c>
      <c r="AH32" s="172" t="inlineStr">
        <is>
          <t>charles@alan.eu</t>
        </is>
      </c>
      <c r="AI32" s="173" t="inlineStr">
        <is>
          <t/>
        </is>
      </c>
      <c r="AJ32" s="174" t="inlineStr">
        <is>
          <t>Paris, France</t>
        </is>
      </c>
      <c r="AK32" s="175" t="inlineStr">
        <is>
          <t>1 Cité Paradis</t>
        </is>
      </c>
      <c r="AL32" s="176" t="inlineStr">
        <is>
          <t/>
        </is>
      </c>
      <c r="AM32" s="177" t="inlineStr">
        <is>
          <t>Paris</t>
        </is>
      </c>
      <c r="AN32" s="178" t="inlineStr">
        <is>
          <t/>
        </is>
      </c>
      <c r="AO32" s="179" t="inlineStr">
        <is>
          <t>75010</t>
        </is>
      </c>
      <c r="AP32" s="180" t="inlineStr">
        <is>
          <t>France</t>
        </is>
      </c>
      <c r="AQ32" s="181" t="inlineStr">
        <is>
          <t/>
        </is>
      </c>
      <c r="AR32" s="182" t="inlineStr">
        <is>
          <t/>
        </is>
      </c>
      <c r="AS32" s="183" t="inlineStr">
        <is>
          <t/>
        </is>
      </c>
      <c r="AT32" s="184" t="inlineStr">
        <is>
          <t>Europe</t>
        </is>
      </c>
      <c r="AU32" s="185" t="inlineStr">
        <is>
          <t>Western Europe</t>
        </is>
      </c>
      <c r="AV32" s="186" t="inlineStr">
        <is>
          <t>The company raised $13 million of venture funding from CNP Assurances, Power Financial and Partech Ventures on October 24, 2016. Other undisclosed angel investors also participated in this round.</t>
        </is>
      </c>
      <c r="AW32" s="187" t="inlineStr">
        <is>
          <t>Agoranov, CNP Assurances, Partech Ventures, Power Financial</t>
        </is>
      </c>
      <c r="AX32" s="188" t="n">
        <v>4.0</v>
      </c>
      <c r="AY32" s="189" t="inlineStr">
        <is>
          <t/>
        </is>
      </c>
      <c r="AZ32" s="190" t="inlineStr">
        <is>
          <t/>
        </is>
      </c>
      <c r="BA32" s="191" t="inlineStr">
        <is>
          <t/>
        </is>
      </c>
      <c r="BB32" s="192" t="inlineStr">
        <is>
          <t>Agoranov (www.agoranov.com), CNP Assurances (www.cnp.fr), Partech Ventures (www.partechventures.com), Power Financial (www.powerfinancial.com)</t>
        </is>
      </c>
      <c r="BC32" s="193" t="inlineStr">
        <is>
          <t/>
        </is>
      </c>
      <c r="BD32" s="194" t="inlineStr">
        <is>
          <t/>
        </is>
      </c>
      <c r="BE32" s="195" t="inlineStr">
        <is>
          <t/>
        </is>
      </c>
      <c r="BF32" s="196" t="inlineStr">
        <is>
          <t/>
        </is>
      </c>
      <c r="BG32" s="197" t="n">
        <v>42667.0</v>
      </c>
      <c r="BH32" s="198" t="n">
        <v>11.77</v>
      </c>
      <c r="BI32" s="199" t="inlineStr">
        <is>
          <t>Actual</t>
        </is>
      </c>
      <c r="BJ32" s="200" t="inlineStr">
        <is>
          <t/>
        </is>
      </c>
      <c r="BK32" s="201" t="inlineStr">
        <is>
          <t/>
        </is>
      </c>
      <c r="BL32" s="202" t="inlineStr">
        <is>
          <t>Early Stage VC</t>
        </is>
      </c>
      <c r="BM32" s="203" t="inlineStr">
        <is>
          <t/>
        </is>
      </c>
      <c r="BN32" s="204" t="inlineStr">
        <is>
          <t/>
        </is>
      </c>
      <c r="BO32" s="205" t="inlineStr">
        <is>
          <t>Venture Capital</t>
        </is>
      </c>
      <c r="BP32" s="206" t="inlineStr">
        <is>
          <t/>
        </is>
      </c>
      <c r="BQ32" s="207" t="inlineStr">
        <is>
          <t/>
        </is>
      </c>
      <c r="BR32" s="208" t="inlineStr">
        <is>
          <t/>
        </is>
      </c>
      <c r="BS32" s="209" t="inlineStr">
        <is>
          <t>Completed</t>
        </is>
      </c>
      <c r="BT32" s="210" t="n">
        <v>42667.0</v>
      </c>
      <c r="BU32" s="211" t="n">
        <v>11.77</v>
      </c>
      <c r="BV32" s="212" t="inlineStr">
        <is>
          <t>Actual</t>
        </is>
      </c>
      <c r="BW32" s="213" t="inlineStr">
        <is>
          <t/>
        </is>
      </c>
      <c r="BX32" s="214" t="inlineStr">
        <is>
          <t/>
        </is>
      </c>
      <c r="BY32" s="215" t="inlineStr">
        <is>
          <t>Early Stage VC</t>
        </is>
      </c>
      <c r="BZ32" s="216" t="inlineStr">
        <is>
          <t/>
        </is>
      </c>
      <c r="CA32" s="217" t="inlineStr">
        <is>
          <t/>
        </is>
      </c>
      <c r="CB32" s="218" t="inlineStr">
        <is>
          <t>Venture Capital</t>
        </is>
      </c>
      <c r="CC32" s="219" t="inlineStr">
        <is>
          <t/>
        </is>
      </c>
      <c r="CD32" s="220" t="inlineStr">
        <is>
          <t/>
        </is>
      </c>
      <c r="CE32" s="221" t="inlineStr">
        <is>
          <t/>
        </is>
      </c>
      <c r="CF32" s="222" t="inlineStr">
        <is>
          <t>Completed</t>
        </is>
      </c>
      <c r="CG32" s="223" t="inlineStr">
        <is>
          <t>-1,43%</t>
        </is>
      </c>
      <c r="CH32" s="224" t="inlineStr">
        <is>
          <t>4</t>
        </is>
      </c>
      <c r="CI32" s="225" t="inlineStr">
        <is>
          <t>0,06%</t>
        </is>
      </c>
      <c r="CJ32" s="226" t="inlineStr">
        <is>
          <t>4,29%</t>
        </is>
      </c>
      <c r="CK32" s="227" t="inlineStr">
        <is>
          <t>-4,41%</t>
        </is>
      </c>
      <c r="CL32" s="228" t="inlineStr">
        <is>
          <t>2</t>
        </is>
      </c>
      <c r="CM32" s="229" t="inlineStr">
        <is>
          <t>1,55%</t>
        </is>
      </c>
      <c r="CN32" s="230" t="inlineStr">
        <is>
          <t>98</t>
        </is>
      </c>
      <c r="CO32" s="231" t="inlineStr">
        <is>
          <t>-8,82%</t>
        </is>
      </c>
      <c r="CP32" s="232" t="inlineStr">
        <is>
          <t>2</t>
        </is>
      </c>
      <c r="CQ32" s="233" t="inlineStr">
        <is>
          <t>0,00%</t>
        </is>
      </c>
      <c r="CR32" s="234" t="inlineStr">
        <is>
          <t>13</t>
        </is>
      </c>
      <c r="CS32" s="235" t="inlineStr">
        <is>
          <t>1,51%</t>
        </is>
      </c>
      <c r="CT32" s="236" t="inlineStr">
        <is>
          <t>97</t>
        </is>
      </c>
      <c r="CU32" s="237" t="inlineStr">
        <is>
          <t>1,58%</t>
        </is>
      </c>
      <c r="CV32" s="238" t="inlineStr">
        <is>
          <t>99</t>
        </is>
      </c>
      <c r="CW32" s="239" t="inlineStr">
        <is>
          <t>4,16x</t>
        </is>
      </c>
      <c r="CX32" s="240" t="inlineStr">
        <is>
          <t>76</t>
        </is>
      </c>
      <c r="CY32" s="241" t="inlineStr">
        <is>
          <t>0,06x</t>
        </is>
      </c>
      <c r="CZ32" s="242" t="inlineStr">
        <is>
          <t>1,51%</t>
        </is>
      </c>
      <c r="DA32" s="243" t="inlineStr">
        <is>
          <t>6,38x</t>
        </is>
      </c>
      <c r="DB32" s="244" t="inlineStr">
        <is>
          <t>83</t>
        </is>
      </c>
      <c r="DC32" s="245" t="inlineStr">
        <is>
          <t>1,94x</t>
        </is>
      </c>
      <c r="DD32" s="246" t="inlineStr">
        <is>
          <t>61</t>
        </is>
      </c>
      <c r="DE32" s="247" t="inlineStr">
        <is>
          <t>11,60x</t>
        </is>
      </c>
      <c r="DF32" s="248" t="inlineStr">
        <is>
          <t>85</t>
        </is>
      </c>
      <c r="DG32" s="249" t="inlineStr">
        <is>
          <t>1,17x</t>
        </is>
      </c>
      <c r="DH32" s="250" t="inlineStr">
        <is>
          <t>53</t>
        </is>
      </c>
      <c r="DI32" s="251" t="inlineStr">
        <is>
          <t>1,21x</t>
        </is>
      </c>
      <c r="DJ32" s="252" t="inlineStr">
        <is>
          <t>54</t>
        </is>
      </c>
      <c r="DK32" s="253" t="inlineStr">
        <is>
          <t>2,67x</t>
        </is>
      </c>
      <c r="DL32" s="254" t="inlineStr">
        <is>
          <t>68</t>
        </is>
      </c>
      <c r="DM32" s="255" t="inlineStr">
        <is>
          <t>7.518</t>
        </is>
      </c>
      <c r="DN32" s="256" t="inlineStr">
        <is>
          <t>-1.147</t>
        </is>
      </c>
      <c r="DO32" s="257" t="inlineStr">
        <is>
          <t>-13,24%</t>
        </is>
      </c>
      <c r="DP32" s="258" t="inlineStr">
        <is>
          <t>942</t>
        </is>
      </c>
      <c r="DQ32" s="259" t="inlineStr">
        <is>
          <t>40</t>
        </is>
      </c>
      <c r="DR32" s="260" t="inlineStr">
        <is>
          <t>4,43%</t>
        </is>
      </c>
      <c r="DS32" s="261" t="inlineStr">
        <is>
          <t>41</t>
        </is>
      </c>
      <c r="DT32" s="262" t="inlineStr">
        <is>
          <t>0</t>
        </is>
      </c>
      <c r="DU32" s="263" t="inlineStr">
        <is>
          <t>0,00%</t>
        </is>
      </c>
      <c r="DV32" s="264" t="inlineStr">
        <is>
          <t>907</t>
        </is>
      </c>
      <c r="DW32" s="265" t="inlineStr">
        <is>
          <t>10</t>
        </is>
      </c>
      <c r="DX32" s="266" t="inlineStr">
        <is>
          <t>1,11%</t>
        </is>
      </c>
      <c r="DY32" s="267" t="inlineStr">
        <is>
          <t>PitchBook Research</t>
        </is>
      </c>
      <c r="DZ32" s="786">
        <f>HYPERLINK("https://my.pitchbook.com?c=167531-14", "View company online")</f>
      </c>
    </row>
    <row r="33">
      <c r="A33" s="9" t="inlineStr">
        <is>
          <t>59252-32</t>
        </is>
      </c>
      <c r="B33" s="10" t="inlineStr">
        <is>
          <t>Algolia</t>
        </is>
      </c>
      <c r="C33" s="11" t="inlineStr">
        <is>
          <t/>
        </is>
      </c>
      <c r="D33" s="12" t="inlineStr">
        <is>
          <t/>
        </is>
      </c>
      <c r="E33" s="13" t="inlineStr">
        <is>
          <t>59252-32</t>
        </is>
      </c>
      <c r="F33" s="14" t="inlineStr">
        <is>
          <t>Developer of a hosted search platform designed to increase user engagement and conversions. The company's search development platform provides the infrastructure, engine and tools needed to create fast, relevant consumer-grade search, enabling developers to easily integrate their API to websites and applications and drive consumer engagement.</t>
        </is>
      </c>
      <c r="G33" s="15" t="inlineStr">
        <is>
          <t>Information Technology</t>
        </is>
      </c>
      <c r="H33" s="16" t="inlineStr">
        <is>
          <t>Software</t>
        </is>
      </c>
      <c r="I33" s="17" t="inlineStr">
        <is>
          <t>Database Software</t>
        </is>
      </c>
      <c r="J33" s="18" t="inlineStr">
        <is>
          <t>Database Software*; Automation/Workflow Software</t>
        </is>
      </c>
      <c r="K33" s="19" t="inlineStr">
        <is>
          <t>Big Data, Mobile, SaaS</t>
        </is>
      </c>
      <c r="L33" s="20" t="inlineStr">
        <is>
          <t>Venture Capital-Backed</t>
        </is>
      </c>
      <c r="M33" s="21" t="n">
        <v>65.76</v>
      </c>
      <c r="N33" s="22" t="inlineStr">
        <is>
          <t>Generating Revenue</t>
        </is>
      </c>
      <c r="O33" s="23" t="inlineStr">
        <is>
          <t>Privately Held (backing)</t>
        </is>
      </c>
      <c r="P33" s="24" t="inlineStr">
        <is>
          <t>Venture Capital</t>
        </is>
      </c>
      <c r="Q33" s="25" t="inlineStr">
        <is>
          <t>www.algolia.com</t>
        </is>
      </c>
      <c r="R33" s="26" t="n">
        <v>115.0</v>
      </c>
      <c r="S33" s="27" t="inlineStr">
        <is>
          <t/>
        </is>
      </c>
      <c r="T33" s="28" t="inlineStr">
        <is>
          <t/>
        </is>
      </c>
      <c r="U33" s="29" t="n">
        <v>2012.0</v>
      </c>
      <c r="V33" s="30" t="inlineStr">
        <is>
          <t/>
        </is>
      </c>
      <c r="W33" s="31" t="inlineStr">
        <is>
          <t/>
        </is>
      </c>
      <c r="X33" s="32" t="inlineStr">
        <is>
          <t/>
        </is>
      </c>
      <c r="Y33" s="33" t="inlineStr">
        <is>
          <t/>
        </is>
      </c>
      <c r="Z33" s="34" t="inlineStr">
        <is>
          <t/>
        </is>
      </c>
      <c r="AA33" s="35" t="inlineStr">
        <is>
          <t/>
        </is>
      </c>
      <c r="AB33" s="36" t="inlineStr">
        <is>
          <t/>
        </is>
      </c>
      <c r="AC33" s="37" t="inlineStr">
        <is>
          <t/>
        </is>
      </c>
      <c r="AD33" s="38" t="inlineStr">
        <is>
          <t/>
        </is>
      </c>
      <c r="AE33" s="39" t="inlineStr">
        <is>
          <t>54477-46P</t>
        </is>
      </c>
      <c r="AF33" s="40" t="inlineStr">
        <is>
          <t>Nicolas Dessaigne</t>
        </is>
      </c>
      <c r="AG33" s="41" t="inlineStr">
        <is>
          <t>Co-Founder &amp; Chief Executive Officer</t>
        </is>
      </c>
      <c r="AH33" s="42" t="inlineStr">
        <is>
          <t>nicolas@algolia.com</t>
        </is>
      </c>
      <c r="AI33" s="43" t="inlineStr">
        <is>
          <t>+33 (0)6 81 30 51 28</t>
        </is>
      </c>
      <c r="AJ33" s="44" t="inlineStr">
        <is>
          <t>Paris, France</t>
        </is>
      </c>
      <c r="AK33" s="45" t="inlineStr">
        <is>
          <t>88 rue de Rivoli</t>
        </is>
      </c>
      <c r="AL33" s="46" t="inlineStr">
        <is>
          <t/>
        </is>
      </c>
      <c r="AM33" s="47" t="inlineStr">
        <is>
          <t>Paris</t>
        </is>
      </c>
      <c r="AN33" s="48" t="inlineStr">
        <is>
          <t/>
        </is>
      </c>
      <c r="AO33" s="49" t="inlineStr">
        <is>
          <t>75003</t>
        </is>
      </c>
      <c r="AP33" s="50" t="inlineStr">
        <is>
          <t>France</t>
        </is>
      </c>
      <c r="AQ33" s="51" t="inlineStr">
        <is>
          <t>+33 (0)6 81 30 51 28</t>
        </is>
      </c>
      <c r="AR33" s="52" t="inlineStr">
        <is>
          <t/>
        </is>
      </c>
      <c r="AS33" s="53" t="inlineStr">
        <is>
          <t/>
        </is>
      </c>
      <c r="AT33" s="54" t="inlineStr">
        <is>
          <t>Europe</t>
        </is>
      </c>
      <c r="AU33" s="55" t="inlineStr">
        <is>
          <t>Western Europe</t>
        </is>
      </c>
      <c r="AV33" s="56" t="inlineStr">
        <is>
          <t>The company raised $53 million of Series B venture funding in a deal led by Accel on June 8, 2017. Alven Capital Partners, Point Nine Capital, Clark Valberg, Jyoti Bansal, Des Traynor and SaaStr also participated in the round. The capital injection will be used to open a new office in London and to bring more search innovations to apps and websites.</t>
        </is>
      </c>
      <c r="AW33" s="57" t="inlineStr">
        <is>
          <t>500 Startups, Accel, Alven Capital Partners, Anshu Sharma, Christoph Janz, Clark Valberg, Des Traynor, Erik Swan, Greg Brockman, Ilya Sukhar, Index Ventures (UK), Initialized Capital Management, Jyoti Bansal, Kevin Rose, Lead Edge Capital, LocalGlobe, Parker Thompson, Point Nine Capital, SaaStr, Solomon Hykes, Storm Ventures, TheFamily, Thibaud Elziere, Y Combinator</t>
        </is>
      </c>
      <c r="AX33" s="58" t="n">
        <v>24.0</v>
      </c>
      <c r="AY33" s="59" t="inlineStr">
        <is>
          <t/>
        </is>
      </c>
      <c r="AZ33" s="60" t="inlineStr">
        <is>
          <t/>
        </is>
      </c>
      <c r="BA33" s="61" t="inlineStr">
        <is>
          <t/>
        </is>
      </c>
      <c r="BB33" s="62" t="inlineStr">
        <is>
          <t>500 Startups (www.500.co), Accel (www.accel.com), Alven Capital Partners (www.alven.co), Greg Brockman (www.gregbrockman.com), Ilya Sukhar (www.ilya.sukhar.com), Index Ventures (UK) (www.indexventures.com), Initialized Capital Management (www.initialized.com), Kevin Rose (www.kevinrose.com), Lead Edge Capital (www.leadedgecapital.com), LocalGlobe (www.localglobe.vc), Point Nine Capital (www.pointninecap.com), SaaStr (www.saastr.com), Storm Ventures (www.stormventures.com), TheFamily (www.thefamily.co), Y Combinator (www.ycombinator.com)</t>
        </is>
      </c>
      <c r="BC33" s="63" t="inlineStr">
        <is>
          <t/>
        </is>
      </c>
      <c r="BD33" s="64" t="inlineStr">
        <is>
          <t/>
        </is>
      </c>
      <c r="BE33" s="65" t="inlineStr">
        <is>
          <t>Orrick Herrington &amp; Sutcliffe (Legal Advisor)</t>
        </is>
      </c>
      <c r="BF33" s="66" t="inlineStr">
        <is>
          <t>Orrick Herrington &amp; Sutcliffe (Legal Advisor)</t>
        </is>
      </c>
      <c r="BG33" s="67" t="n">
        <v>41640.0</v>
      </c>
      <c r="BH33" s="68" t="inlineStr">
        <is>
          <t/>
        </is>
      </c>
      <c r="BI33" s="69" t="inlineStr">
        <is>
          <t/>
        </is>
      </c>
      <c r="BJ33" s="70" t="inlineStr">
        <is>
          <t/>
        </is>
      </c>
      <c r="BK33" s="71" t="inlineStr">
        <is>
          <t/>
        </is>
      </c>
      <c r="BL33" s="72" t="inlineStr">
        <is>
          <t>Seed Round</t>
        </is>
      </c>
      <c r="BM33" s="73" t="inlineStr">
        <is>
          <t>Seed</t>
        </is>
      </c>
      <c r="BN33" s="74" t="inlineStr">
        <is>
          <t/>
        </is>
      </c>
      <c r="BO33" s="75" t="inlineStr">
        <is>
          <t>Venture Capital</t>
        </is>
      </c>
      <c r="BP33" s="76" t="inlineStr">
        <is>
          <t/>
        </is>
      </c>
      <c r="BQ33" s="77" t="inlineStr">
        <is>
          <t/>
        </is>
      </c>
      <c r="BR33" s="78" t="inlineStr">
        <is>
          <t/>
        </is>
      </c>
      <c r="BS33" s="79" t="inlineStr">
        <is>
          <t>Completed</t>
        </is>
      </c>
      <c r="BT33" s="80" t="n">
        <v>42894.0</v>
      </c>
      <c r="BU33" s="81" t="n">
        <v>47.24</v>
      </c>
      <c r="BV33" s="82" t="inlineStr">
        <is>
          <t>Actual</t>
        </is>
      </c>
      <c r="BW33" s="83" t="inlineStr">
        <is>
          <t/>
        </is>
      </c>
      <c r="BX33" s="84" t="inlineStr">
        <is>
          <t/>
        </is>
      </c>
      <c r="BY33" s="85" t="inlineStr">
        <is>
          <t>Early Stage VC</t>
        </is>
      </c>
      <c r="BZ33" s="86" t="inlineStr">
        <is>
          <t>Series B</t>
        </is>
      </c>
      <c r="CA33" s="87" t="inlineStr">
        <is>
          <t/>
        </is>
      </c>
      <c r="CB33" s="88" t="inlineStr">
        <is>
          <t>Venture Capital</t>
        </is>
      </c>
      <c r="CC33" s="89" t="inlineStr">
        <is>
          <t/>
        </is>
      </c>
      <c r="CD33" s="90" t="inlineStr">
        <is>
          <t/>
        </is>
      </c>
      <c r="CE33" s="91" t="inlineStr">
        <is>
          <t/>
        </is>
      </c>
      <c r="CF33" s="92" t="inlineStr">
        <is>
          <t>Completed</t>
        </is>
      </c>
      <c r="CG33" s="93" t="inlineStr">
        <is>
          <t>-0,71%</t>
        </is>
      </c>
      <c r="CH33" s="94" t="inlineStr">
        <is>
          <t>7</t>
        </is>
      </c>
      <c r="CI33" s="95" t="inlineStr">
        <is>
          <t>-0,03%</t>
        </is>
      </c>
      <c r="CJ33" s="96" t="inlineStr">
        <is>
          <t>-5,02%</t>
        </is>
      </c>
      <c r="CK33" s="97" t="inlineStr">
        <is>
          <t>-1,80%</t>
        </is>
      </c>
      <c r="CL33" s="98" t="inlineStr">
        <is>
          <t>6</t>
        </is>
      </c>
      <c r="CM33" s="99" t="inlineStr">
        <is>
          <t>0,39%</t>
        </is>
      </c>
      <c r="CN33" s="100" t="inlineStr">
        <is>
          <t>86</t>
        </is>
      </c>
      <c r="CO33" s="101" t="inlineStr">
        <is>
          <t>-4,50%</t>
        </is>
      </c>
      <c r="CP33" s="102" t="inlineStr">
        <is>
          <t>8</t>
        </is>
      </c>
      <c r="CQ33" s="103" t="inlineStr">
        <is>
          <t>0,90%</t>
        </is>
      </c>
      <c r="CR33" s="104" t="inlineStr">
        <is>
          <t>88</t>
        </is>
      </c>
      <c r="CS33" s="105" t="inlineStr">
        <is>
          <t>0,39%</t>
        </is>
      </c>
      <c r="CT33" s="106" t="inlineStr">
        <is>
          <t>83</t>
        </is>
      </c>
      <c r="CU33" s="107" t="inlineStr">
        <is>
          <t>0,39%</t>
        </is>
      </c>
      <c r="CV33" s="108" t="inlineStr">
        <is>
          <t>89</t>
        </is>
      </c>
      <c r="CW33" s="109" t="inlineStr">
        <is>
          <t>76,27x</t>
        </is>
      </c>
      <c r="CX33" s="110" t="inlineStr">
        <is>
          <t>97</t>
        </is>
      </c>
      <c r="CY33" s="111" t="inlineStr">
        <is>
          <t>0,61x</t>
        </is>
      </c>
      <c r="CZ33" s="112" t="inlineStr">
        <is>
          <t>0,81%</t>
        </is>
      </c>
      <c r="DA33" s="113" t="inlineStr">
        <is>
          <t>132,00x</t>
        </is>
      </c>
      <c r="DB33" s="114" t="inlineStr">
        <is>
          <t>98</t>
        </is>
      </c>
      <c r="DC33" s="115" t="inlineStr">
        <is>
          <t>20,55x</t>
        </is>
      </c>
      <c r="DD33" s="116" t="inlineStr">
        <is>
          <t>90</t>
        </is>
      </c>
      <c r="DE33" s="117" t="inlineStr">
        <is>
          <t>209,45x</t>
        </is>
      </c>
      <c r="DF33" s="118" t="inlineStr">
        <is>
          <t>98</t>
        </is>
      </c>
      <c r="DG33" s="119" t="inlineStr">
        <is>
          <t>54,56x</t>
        </is>
      </c>
      <c r="DH33" s="120" t="inlineStr">
        <is>
          <t>97</t>
        </is>
      </c>
      <c r="DI33" s="121" t="inlineStr">
        <is>
          <t>5,75x</t>
        </is>
      </c>
      <c r="DJ33" s="122" t="inlineStr">
        <is>
          <t>76</t>
        </is>
      </c>
      <c r="DK33" s="123" t="inlineStr">
        <is>
          <t>35,34x</t>
        </is>
      </c>
      <c r="DL33" s="124" t="inlineStr">
        <is>
          <t>95</t>
        </is>
      </c>
      <c r="DM33" s="125" t="inlineStr">
        <is>
          <t>131.961</t>
        </is>
      </c>
      <c r="DN33" s="126" t="inlineStr">
        <is>
          <t>-9.454</t>
        </is>
      </c>
      <c r="DO33" s="127" t="inlineStr">
        <is>
          <t>-6,69%</t>
        </is>
      </c>
      <c r="DP33" s="128" t="inlineStr">
        <is>
          <t>4.590</t>
        </is>
      </c>
      <c r="DQ33" s="129" t="inlineStr">
        <is>
          <t>5</t>
        </is>
      </c>
      <c r="DR33" s="130" t="inlineStr">
        <is>
          <t>0,11%</t>
        </is>
      </c>
      <c r="DS33" s="131" t="inlineStr">
        <is>
          <t>1.961</t>
        </is>
      </c>
      <c r="DT33" s="132" t="inlineStr">
        <is>
          <t>8</t>
        </is>
      </c>
      <c r="DU33" s="133" t="inlineStr">
        <is>
          <t>0,41%</t>
        </is>
      </c>
      <c r="DV33" s="134" t="inlineStr">
        <is>
          <t>12.123</t>
        </is>
      </c>
      <c r="DW33" s="135" t="inlineStr">
        <is>
          <t>20</t>
        </is>
      </c>
      <c r="DX33" s="136" t="inlineStr">
        <is>
          <t>0,17%</t>
        </is>
      </c>
      <c r="DY33" s="137" t="inlineStr">
        <is>
          <t>PitchBook Research</t>
        </is>
      </c>
      <c r="DZ33" s="785">
        <f>HYPERLINK("https://my.pitchbook.com?c=59252-32", "View company online")</f>
      </c>
    </row>
    <row r="34">
      <c r="A34" s="139" t="inlineStr">
        <is>
          <t>61923-16</t>
        </is>
      </c>
      <c r="B34" s="140" t="inlineStr">
        <is>
          <t>Algomi</t>
        </is>
      </c>
      <c r="C34" s="141" t="inlineStr">
        <is>
          <t/>
        </is>
      </c>
      <c r="D34" s="142" t="inlineStr">
        <is>
          <t/>
        </is>
      </c>
      <c r="E34" s="143" t="inlineStr">
        <is>
          <t>61923-16</t>
        </is>
      </c>
      <c r="F34" s="144" t="inlineStr">
        <is>
          <t>Provider of a financial trading platform designed to connect fixed income professionals, empowering them to make better trading relationships. The company's Honeycomb network enables all market participants to securely harness data to make valuable financial trading connections permitting investors see which dealer is best placed to make corporate bond trades into a secure network, which then matches those trades and suggests similar bond trades if the ones desired are unavailable.</t>
        </is>
      </c>
      <c r="G34" s="145" t="inlineStr">
        <is>
          <t>Information Technology</t>
        </is>
      </c>
      <c r="H34" s="146" t="inlineStr">
        <is>
          <t>Software</t>
        </is>
      </c>
      <c r="I34" s="147" t="inlineStr">
        <is>
          <t>Financial Software</t>
        </is>
      </c>
      <c r="J34" s="148" t="inlineStr">
        <is>
          <t>Financial Software*</t>
        </is>
      </c>
      <c r="K34" s="149" t="inlineStr">
        <is>
          <t>FinTech, SaaS</t>
        </is>
      </c>
      <c r="L34" s="150" t="inlineStr">
        <is>
          <t>Venture Capital-Backed</t>
        </is>
      </c>
      <c r="M34" s="151" t="n">
        <v>16.82</v>
      </c>
      <c r="N34" s="152" t="inlineStr">
        <is>
          <t>Profitable</t>
        </is>
      </c>
      <c r="O34" s="153" t="inlineStr">
        <is>
          <t>Privately Held (backing)</t>
        </is>
      </c>
      <c r="P34" s="154" t="inlineStr">
        <is>
          <t>Venture Capital</t>
        </is>
      </c>
      <c r="Q34" s="155" t="inlineStr">
        <is>
          <t>www.algomi.com</t>
        </is>
      </c>
      <c r="R34" s="156" t="n">
        <v>140.0</v>
      </c>
      <c r="S34" s="157" t="inlineStr">
        <is>
          <t/>
        </is>
      </c>
      <c r="T34" s="158" t="inlineStr">
        <is>
          <t/>
        </is>
      </c>
      <c r="U34" s="159" t="n">
        <v>2012.0</v>
      </c>
      <c r="V34" s="160" t="inlineStr">
        <is>
          <t/>
        </is>
      </c>
      <c r="W34" s="161" t="inlineStr">
        <is>
          <t/>
        </is>
      </c>
      <c r="X34" s="162" t="inlineStr">
        <is>
          <t/>
        </is>
      </c>
      <c r="Y34" s="163" t="inlineStr">
        <is>
          <t/>
        </is>
      </c>
      <c r="Z34" s="164" t="inlineStr">
        <is>
          <t/>
        </is>
      </c>
      <c r="AA34" s="165" t="n">
        <v>-12.41204</v>
      </c>
      <c r="AB34" s="166" t="inlineStr">
        <is>
          <t/>
        </is>
      </c>
      <c r="AC34" s="167" t="inlineStr">
        <is>
          <t/>
        </is>
      </c>
      <c r="AD34" s="168" t="inlineStr">
        <is>
          <t>FY 2015</t>
        </is>
      </c>
      <c r="AE34" s="169" t="inlineStr">
        <is>
          <t>64742-95P</t>
        </is>
      </c>
      <c r="AF34" s="170" t="inlineStr">
        <is>
          <t>Stu Taylor</t>
        </is>
      </c>
      <c r="AG34" s="171" t="inlineStr">
        <is>
          <t>Co-Founder, Chief Executive Officer &amp; Board Member</t>
        </is>
      </c>
      <c r="AH34" s="172" t="inlineStr">
        <is>
          <t>stu.taylor@algomi.com</t>
        </is>
      </c>
      <c r="AI34" s="173" t="inlineStr">
        <is>
          <t>+44 (0)20 7954 4501</t>
        </is>
      </c>
      <c r="AJ34" s="174" t="inlineStr">
        <is>
          <t>London, United Kingdom</t>
        </is>
      </c>
      <c r="AK34" s="175" t="inlineStr">
        <is>
          <t>One America Square</t>
        </is>
      </c>
      <c r="AL34" s="176" t="inlineStr">
        <is>
          <t>12th Floor</t>
        </is>
      </c>
      <c r="AM34" s="177" t="inlineStr">
        <is>
          <t>London</t>
        </is>
      </c>
      <c r="AN34" s="178" t="inlineStr">
        <is>
          <t>England</t>
        </is>
      </c>
      <c r="AO34" s="179" t="inlineStr">
        <is>
          <t>EC3N 2LB</t>
        </is>
      </c>
      <c r="AP34" s="180" t="inlineStr">
        <is>
          <t>United Kingdom</t>
        </is>
      </c>
      <c r="AQ34" s="181" t="inlineStr">
        <is>
          <t>+44 (0)20 7954 4501</t>
        </is>
      </c>
      <c r="AR34" s="182" t="inlineStr">
        <is>
          <t/>
        </is>
      </c>
      <c r="AS34" s="183" t="inlineStr">
        <is>
          <t/>
        </is>
      </c>
      <c r="AT34" s="184" t="inlineStr">
        <is>
          <t>Europe</t>
        </is>
      </c>
      <c r="AU34" s="185" t="inlineStr">
        <is>
          <t>Western Europe</t>
        </is>
      </c>
      <c r="AV34" s="186" t="inlineStr">
        <is>
          <t>The company received $10 million of financing from Euronext (Paris: ENX) (AMS: ENX) (Brussels: ENX) on March 3, 2017. The investment will enable corporate bond traders to access Algomi's innovative bond information network on a global basis and exchange risk more efficiently by identifying the most appropriate counter party.</t>
        </is>
      </c>
      <c r="AW34" s="187" t="inlineStr">
        <is>
          <t>Euronext, Howard Edelstein, Hoxton Ventures, Lakestar, Thomas Glocer</t>
        </is>
      </c>
      <c r="AX34" s="188" t="n">
        <v>5.0</v>
      </c>
      <c r="AY34" s="189" t="inlineStr">
        <is>
          <t/>
        </is>
      </c>
      <c r="AZ34" s="190" t="inlineStr">
        <is>
          <t/>
        </is>
      </c>
      <c r="BA34" s="191" t="inlineStr">
        <is>
          <t/>
        </is>
      </c>
      <c r="BB34" s="192" t="inlineStr">
        <is>
          <t>Euronext (www.euronext.com), Hoxton Ventures (www.hoxtonventures.com), Lakestar (www.lakestar.com), Thomas Glocer (www.tomglocer.com)</t>
        </is>
      </c>
      <c r="BC34" s="193" t="inlineStr">
        <is>
          <t/>
        </is>
      </c>
      <c r="BD34" s="194" t="inlineStr">
        <is>
          <t/>
        </is>
      </c>
      <c r="BE34" s="195" t="inlineStr">
        <is>
          <t>Future Fifty (Consulting), JAG Shaw Baker (Legal Advisor)</t>
        </is>
      </c>
      <c r="BF34" s="196" t="inlineStr">
        <is>
          <t/>
        </is>
      </c>
      <c r="BG34" s="197" t="n">
        <v>41244.0</v>
      </c>
      <c r="BH34" s="198" t="n">
        <v>2.0</v>
      </c>
      <c r="BI34" s="199" t="inlineStr">
        <is>
          <t>Actual</t>
        </is>
      </c>
      <c r="BJ34" s="200" t="n">
        <v>20.17</v>
      </c>
      <c r="BK34" s="201" t="inlineStr">
        <is>
          <t>Actual</t>
        </is>
      </c>
      <c r="BL34" s="202" t="inlineStr">
        <is>
          <t>Early Stage VC</t>
        </is>
      </c>
      <c r="BM34" s="203" t="inlineStr">
        <is>
          <t>Series A</t>
        </is>
      </c>
      <c r="BN34" s="204" t="inlineStr">
        <is>
          <t/>
        </is>
      </c>
      <c r="BO34" s="205" t="inlineStr">
        <is>
          <t>Venture Capital</t>
        </is>
      </c>
      <c r="BP34" s="206" t="inlineStr">
        <is>
          <t/>
        </is>
      </c>
      <c r="BQ34" s="207" t="inlineStr">
        <is>
          <t/>
        </is>
      </c>
      <c r="BR34" s="208" t="inlineStr">
        <is>
          <t/>
        </is>
      </c>
      <c r="BS34" s="209" t="inlineStr">
        <is>
          <t>Completed</t>
        </is>
      </c>
      <c r="BT34" s="210" t="n">
        <v>42797.0</v>
      </c>
      <c r="BU34" s="211" t="n">
        <v>9.36</v>
      </c>
      <c r="BV34" s="212" t="inlineStr">
        <is>
          <t>Actual</t>
        </is>
      </c>
      <c r="BW34" s="213" t="inlineStr">
        <is>
          <t/>
        </is>
      </c>
      <c r="BX34" s="214" t="inlineStr">
        <is>
          <t/>
        </is>
      </c>
      <c r="BY34" s="215" t="inlineStr">
        <is>
          <t>Corporate</t>
        </is>
      </c>
      <c r="BZ34" s="216" t="inlineStr">
        <is>
          <t>Corporate</t>
        </is>
      </c>
      <c r="CA34" s="217" t="inlineStr">
        <is>
          <t/>
        </is>
      </c>
      <c r="CB34" s="218" t="inlineStr">
        <is>
          <t>Corporate</t>
        </is>
      </c>
      <c r="CC34" s="219" t="inlineStr">
        <is>
          <t/>
        </is>
      </c>
      <c r="CD34" s="220" t="inlineStr">
        <is>
          <t/>
        </is>
      </c>
      <c r="CE34" s="221" t="inlineStr">
        <is>
          <t/>
        </is>
      </c>
      <c r="CF34" s="222" t="inlineStr">
        <is>
          <t>Completed</t>
        </is>
      </c>
      <c r="CG34" s="223" t="inlineStr">
        <is>
          <t>-1,97%</t>
        </is>
      </c>
      <c r="CH34" s="224" t="inlineStr">
        <is>
          <t>3</t>
        </is>
      </c>
      <c r="CI34" s="225" t="inlineStr">
        <is>
          <t>0,04%</t>
        </is>
      </c>
      <c r="CJ34" s="226" t="inlineStr">
        <is>
          <t>2,19%</t>
        </is>
      </c>
      <c r="CK34" s="227" t="inlineStr">
        <is>
          <t>-4,01%</t>
        </is>
      </c>
      <c r="CL34" s="228" t="inlineStr">
        <is>
          <t>2</t>
        </is>
      </c>
      <c r="CM34" s="229" t="inlineStr">
        <is>
          <t>0,06%</t>
        </is>
      </c>
      <c r="CN34" s="230" t="inlineStr">
        <is>
          <t>54</t>
        </is>
      </c>
      <c r="CO34" s="231" t="inlineStr">
        <is>
          <t>-7,62%</t>
        </is>
      </c>
      <c r="CP34" s="232" t="inlineStr">
        <is>
          <t>3</t>
        </is>
      </c>
      <c r="CQ34" s="233" t="inlineStr">
        <is>
          <t>-0,39%</t>
        </is>
      </c>
      <c r="CR34" s="234" t="inlineStr">
        <is>
          <t>8</t>
        </is>
      </c>
      <c r="CS34" s="235" t="inlineStr">
        <is>
          <t>-0,04%</t>
        </is>
      </c>
      <c r="CT34" s="236" t="inlineStr">
        <is>
          <t>8</t>
        </is>
      </c>
      <c r="CU34" s="237" t="inlineStr">
        <is>
          <t>0,16%</t>
        </is>
      </c>
      <c r="CV34" s="238" t="inlineStr">
        <is>
          <t>74</t>
        </is>
      </c>
      <c r="CW34" s="239" t="inlineStr">
        <is>
          <t>3,41x</t>
        </is>
      </c>
      <c r="CX34" s="240" t="inlineStr">
        <is>
          <t>73</t>
        </is>
      </c>
      <c r="CY34" s="241" t="inlineStr">
        <is>
          <t>0,08x</t>
        </is>
      </c>
      <c r="CZ34" s="242" t="inlineStr">
        <is>
          <t>2,30%</t>
        </is>
      </c>
      <c r="DA34" s="243" t="inlineStr">
        <is>
          <t>4,10x</t>
        </is>
      </c>
      <c r="DB34" s="244" t="inlineStr">
        <is>
          <t>77</t>
        </is>
      </c>
      <c r="DC34" s="245" t="inlineStr">
        <is>
          <t>2,73x</t>
        </is>
      </c>
      <c r="DD34" s="246" t="inlineStr">
        <is>
          <t>67</t>
        </is>
      </c>
      <c r="DE34" s="247" t="inlineStr">
        <is>
          <t>2,12x</t>
        </is>
      </c>
      <c r="DF34" s="248" t="inlineStr">
        <is>
          <t>64</t>
        </is>
      </c>
      <c r="DG34" s="249" t="inlineStr">
        <is>
          <t>6,08x</t>
        </is>
      </c>
      <c r="DH34" s="250" t="inlineStr">
        <is>
          <t>81</t>
        </is>
      </c>
      <c r="DI34" s="251" t="inlineStr">
        <is>
          <t>1,94x</t>
        </is>
      </c>
      <c r="DJ34" s="252" t="inlineStr">
        <is>
          <t>62</t>
        </is>
      </c>
      <c r="DK34" s="253" t="inlineStr">
        <is>
          <t>3,51x</t>
        </is>
      </c>
      <c r="DL34" s="254" t="inlineStr">
        <is>
          <t>73</t>
        </is>
      </c>
      <c r="DM34" s="255" t="inlineStr">
        <is>
          <t>1.315</t>
        </is>
      </c>
      <c r="DN34" s="256" t="inlineStr">
        <is>
          <t>-38</t>
        </is>
      </c>
      <c r="DO34" s="257" t="inlineStr">
        <is>
          <t>-2,81%</t>
        </is>
      </c>
      <c r="DP34" s="258" t="inlineStr">
        <is>
          <t>1.556</t>
        </is>
      </c>
      <c r="DQ34" s="259" t="inlineStr">
        <is>
          <t>-1</t>
        </is>
      </c>
      <c r="DR34" s="260" t="inlineStr">
        <is>
          <t>-0,06%</t>
        </is>
      </c>
      <c r="DS34" s="261" t="inlineStr">
        <is>
          <t>218</t>
        </is>
      </c>
      <c r="DT34" s="262" t="inlineStr">
        <is>
          <t>0</t>
        </is>
      </c>
      <c r="DU34" s="263" t="inlineStr">
        <is>
          <t>0,00%</t>
        </is>
      </c>
      <c r="DV34" s="264" t="inlineStr">
        <is>
          <t>1.203</t>
        </is>
      </c>
      <c r="DW34" s="265" t="inlineStr">
        <is>
          <t>5</t>
        </is>
      </c>
      <c r="DX34" s="266" t="inlineStr">
        <is>
          <t>0,42%</t>
        </is>
      </c>
      <c r="DY34" s="267" t="inlineStr">
        <is>
          <t>PitchBook Research</t>
        </is>
      </c>
      <c r="DZ34" s="786">
        <f>HYPERLINK("https://my.pitchbook.com?c=61923-16", "View company online")</f>
      </c>
    </row>
    <row r="35">
      <c r="A35" s="9" t="inlineStr">
        <is>
          <t>56648-08</t>
        </is>
      </c>
      <c r="B35" s="10" t="inlineStr">
        <is>
          <t>Allecra Therapeutics</t>
        </is>
      </c>
      <c r="C35" s="11" t="inlineStr">
        <is>
          <t/>
        </is>
      </c>
      <c r="D35" s="12" t="inlineStr">
        <is>
          <t/>
        </is>
      </c>
      <c r="E35" s="13" t="inlineStr">
        <is>
          <t>56648-08</t>
        </is>
      </c>
      <c r="F35" s="14" t="inlineStr">
        <is>
          <t>Developer of novel antibiotics to combat Gram-negative bacterial infections. The company has developed products intended to treat multi-drug-resistant infections.</t>
        </is>
      </c>
      <c r="G35" s="15" t="inlineStr">
        <is>
          <t>Healthcare</t>
        </is>
      </c>
      <c r="H35" s="16" t="inlineStr">
        <is>
          <t>Pharmaceuticals and Biotechnology</t>
        </is>
      </c>
      <c r="I35" s="17" t="inlineStr">
        <is>
          <t>Biotechnology</t>
        </is>
      </c>
      <c r="J35" s="18" t="inlineStr">
        <is>
          <t>Biotechnology*; Pharmaceuticals</t>
        </is>
      </c>
      <c r="K35" s="19" t="inlineStr">
        <is>
          <t>Life Sciences</t>
        </is>
      </c>
      <c r="L35" s="20" t="inlineStr">
        <is>
          <t>Venture Capital-Backed</t>
        </is>
      </c>
      <c r="M35" s="21" t="n">
        <v>37.0</v>
      </c>
      <c r="N35" s="22" t="inlineStr">
        <is>
          <t>Clinical Trials - Phase 1</t>
        </is>
      </c>
      <c r="O35" s="23" t="inlineStr">
        <is>
          <t>Privately Held (backing)</t>
        </is>
      </c>
      <c r="P35" s="24" t="inlineStr">
        <is>
          <t>Venture Capital</t>
        </is>
      </c>
      <c r="Q35" s="25" t="inlineStr">
        <is>
          <t>www.allecra.com</t>
        </is>
      </c>
      <c r="R35" s="26" t="n">
        <v>6.0</v>
      </c>
      <c r="S35" s="27" t="inlineStr">
        <is>
          <t/>
        </is>
      </c>
      <c r="T35" s="28" t="inlineStr">
        <is>
          <t/>
        </is>
      </c>
      <c r="U35" s="29" t="n">
        <v>2013.0</v>
      </c>
      <c r="V35" s="30" t="inlineStr">
        <is>
          <t/>
        </is>
      </c>
      <c r="W35" s="31" t="inlineStr">
        <is>
          <t/>
        </is>
      </c>
      <c r="X35" s="32" t="inlineStr">
        <is>
          <t/>
        </is>
      </c>
      <c r="Y35" s="33" t="inlineStr">
        <is>
          <t/>
        </is>
      </c>
      <c r="Z35" s="34" t="inlineStr">
        <is>
          <t/>
        </is>
      </c>
      <c r="AA35" s="35" t="inlineStr">
        <is>
          <t/>
        </is>
      </c>
      <c r="AB35" s="36" t="inlineStr">
        <is>
          <t/>
        </is>
      </c>
      <c r="AC35" s="37" t="inlineStr">
        <is>
          <t/>
        </is>
      </c>
      <c r="AD35" s="38" t="inlineStr">
        <is>
          <t/>
        </is>
      </c>
      <c r="AE35" s="39" t="inlineStr">
        <is>
          <t>54992-89P</t>
        </is>
      </c>
      <c r="AF35" s="40" t="inlineStr">
        <is>
          <t>Nicholas Benedict</t>
        </is>
      </c>
      <c r="AG35" s="41" t="inlineStr">
        <is>
          <t>Co-Founder &amp; Chief Executive Officer</t>
        </is>
      </c>
      <c r="AH35" s="42" t="inlineStr">
        <is>
          <t>nmb@allecra.com</t>
        </is>
      </c>
      <c r="AI35" s="43" t="inlineStr">
        <is>
          <t>+49 (0)41 7959 2200 5</t>
        </is>
      </c>
      <c r="AJ35" s="44" t="inlineStr">
        <is>
          <t>Weil am Rhein, Germany</t>
        </is>
      </c>
      <c r="AK35" s="45" t="inlineStr">
        <is>
          <t>Im Kränzliacker 9</t>
        </is>
      </c>
      <c r="AL35" s="46" t="inlineStr">
        <is>
          <t/>
        </is>
      </c>
      <c r="AM35" s="47" t="inlineStr">
        <is>
          <t>Weil am Rhein</t>
        </is>
      </c>
      <c r="AN35" s="48" t="inlineStr">
        <is>
          <t/>
        </is>
      </c>
      <c r="AO35" s="49" t="inlineStr">
        <is>
          <t>79576</t>
        </is>
      </c>
      <c r="AP35" s="50" t="inlineStr">
        <is>
          <t>Germany</t>
        </is>
      </c>
      <c r="AQ35" s="51" t="inlineStr">
        <is>
          <t>+49 (0)79 5922 005</t>
        </is>
      </c>
      <c r="AR35" s="52" t="inlineStr">
        <is>
          <t/>
        </is>
      </c>
      <c r="AS35" s="53" t="inlineStr">
        <is>
          <t>info@allecra.com</t>
        </is>
      </c>
      <c r="AT35" s="54" t="inlineStr">
        <is>
          <t>Europe</t>
        </is>
      </c>
      <c r="AU35" s="55" t="inlineStr">
        <is>
          <t>Western Europe</t>
        </is>
      </c>
      <c r="AV35" s="56" t="inlineStr">
        <is>
          <t>The company raised EUR 22 million of Series B venture funding in a deal led by Delos Capital on May 20, 2016. Forbion Capital Partners, Edmond de Rothschild Investment Partners, EMBL Ventures and Allecra's co-Founder Nicholas Benedict also participated in the round. The company will use the funds for Phase 2 development of AAI202, its proprietary, novel antibiotic combination designed to treat drug-resistant Gram-negative bacterial infections.</t>
        </is>
      </c>
      <c r="AW35" s="57" t="inlineStr">
        <is>
          <t>Delos Capital (Hong Kong), Edmond de Rothschild Investment Partners, EMBL Ventures, Forbion Capital Partners, Orchid Pharma</t>
        </is>
      </c>
      <c r="AX35" s="58" t="n">
        <v>5.0</v>
      </c>
      <c r="AY35" s="59" t="inlineStr">
        <is>
          <t/>
        </is>
      </c>
      <c r="AZ35" s="60" t="inlineStr">
        <is>
          <t/>
        </is>
      </c>
      <c r="BA35" s="61" t="inlineStr">
        <is>
          <t/>
        </is>
      </c>
      <c r="BB35" s="62" t="inlineStr">
        <is>
          <t>EMBL Ventures (www.embl-ventures.com), Forbion Capital Partners (www.forbion.com), Orchid Pharma (www.orchidpharma.com)</t>
        </is>
      </c>
      <c r="BC35" s="63" t="inlineStr">
        <is>
          <t/>
        </is>
      </c>
      <c r="BD35" s="64" t="inlineStr">
        <is>
          <t/>
        </is>
      </c>
      <c r="BE35" s="65" t="inlineStr">
        <is>
          <t/>
        </is>
      </c>
      <c r="BF35" s="66" t="inlineStr">
        <is>
          <t/>
        </is>
      </c>
      <c r="BG35" s="67" t="n">
        <v>41382.0</v>
      </c>
      <c r="BH35" s="68" t="n">
        <v>15.0</v>
      </c>
      <c r="BI35" s="69" t="inlineStr">
        <is>
          <t>Actual</t>
        </is>
      </c>
      <c r="BJ35" s="70" t="inlineStr">
        <is>
          <t/>
        </is>
      </c>
      <c r="BK35" s="71" t="inlineStr">
        <is>
          <t/>
        </is>
      </c>
      <c r="BL35" s="72" t="inlineStr">
        <is>
          <t>Early Stage VC</t>
        </is>
      </c>
      <c r="BM35" s="73" t="inlineStr">
        <is>
          <t>Series A</t>
        </is>
      </c>
      <c r="BN35" s="74" t="inlineStr">
        <is>
          <t/>
        </is>
      </c>
      <c r="BO35" s="75" t="inlineStr">
        <is>
          <t>Venture Capital</t>
        </is>
      </c>
      <c r="BP35" s="76" t="inlineStr">
        <is>
          <t/>
        </is>
      </c>
      <c r="BQ35" s="77" t="inlineStr">
        <is>
          <t/>
        </is>
      </c>
      <c r="BR35" s="78" t="inlineStr">
        <is>
          <t/>
        </is>
      </c>
      <c r="BS35" s="79" t="inlineStr">
        <is>
          <t>Completed</t>
        </is>
      </c>
      <c r="BT35" s="80" t="n">
        <v>42510.0</v>
      </c>
      <c r="BU35" s="81" t="n">
        <v>22.0</v>
      </c>
      <c r="BV35" s="82" t="inlineStr">
        <is>
          <t>Actual</t>
        </is>
      </c>
      <c r="BW35" s="83" t="inlineStr">
        <is>
          <t/>
        </is>
      </c>
      <c r="BX35" s="84" t="inlineStr">
        <is>
          <t/>
        </is>
      </c>
      <c r="BY35" s="85" t="inlineStr">
        <is>
          <t>Early Stage VC</t>
        </is>
      </c>
      <c r="BZ35" s="86" t="inlineStr">
        <is>
          <t>Series B</t>
        </is>
      </c>
      <c r="CA35" s="87" t="inlineStr">
        <is>
          <t/>
        </is>
      </c>
      <c r="CB35" s="88" t="inlineStr">
        <is>
          <t>Venture Capital</t>
        </is>
      </c>
      <c r="CC35" s="89" t="inlineStr">
        <is>
          <t/>
        </is>
      </c>
      <c r="CD35" s="90" t="inlineStr">
        <is>
          <t/>
        </is>
      </c>
      <c r="CE35" s="91" t="inlineStr">
        <is>
          <t/>
        </is>
      </c>
      <c r="CF35" s="92" t="inlineStr">
        <is>
          <t>Completed</t>
        </is>
      </c>
      <c r="CG35" s="93" t="inlineStr">
        <is>
          <t>0,00%</t>
        </is>
      </c>
      <c r="CH35" s="94" t="inlineStr">
        <is>
          <t>23</t>
        </is>
      </c>
      <c r="CI35" s="95" t="inlineStr">
        <is>
          <t>0,00%</t>
        </is>
      </c>
      <c r="CJ35" s="96" t="inlineStr">
        <is>
          <t>0,00%</t>
        </is>
      </c>
      <c r="CK35" s="97" t="inlineStr">
        <is>
          <t>0,00%</t>
        </is>
      </c>
      <c r="CL35" s="98" t="inlineStr">
        <is>
          <t>18</t>
        </is>
      </c>
      <c r="CM35" s="99" t="inlineStr">
        <is>
          <t/>
        </is>
      </c>
      <c r="CN35" s="100" t="inlineStr">
        <is>
          <t/>
        </is>
      </c>
      <c r="CO35" s="101" t="inlineStr">
        <is>
          <t>0,00%</t>
        </is>
      </c>
      <c r="CP35" s="102" t="inlineStr">
        <is>
          <t>26</t>
        </is>
      </c>
      <c r="CQ35" s="103" t="inlineStr">
        <is>
          <t>0,00%</t>
        </is>
      </c>
      <c r="CR35" s="104" t="inlineStr">
        <is>
          <t>13</t>
        </is>
      </c>
      <c r="CS35" s="105" t="inlineStr">
        <is>
          <t/>
        </is>
      </c>
      <c r="CT35" s="106" t="inlineStr">
        <is>
          <t/>
        </is>
      </c>
      <c r="CU35" s="107" t="inlineStr">
        <is>
          <t/>
        </is>
      </c>
      <c r="CV35" s="108" t="inlineStr">
        <is>
          <t/>
        </is>
      </c>
      <c r="CW35" s="109" t="inlineStr">
        <is>
          <t>0,88x</t>
        </is>
      </c>
      <c r="CX35" s="110" t="inlineStr">
        <is>
          <t>46</t>
        </is>
      </c>
      <c r="CY35" s="111" t="inlineStr">
        <is>
          <t>0,02x</t>
        </is>
      </c>
      <c r="CZ35" s="112" t="inlineStr">
        <is>
          <t>2,40%</t>
        </is>
      </c>
      <c r="DA35" s="113" t="inlineStr">
        <is>
          <t>0,88x</t>
        </is>
      </c>
      <c r="DB35" s="114" t="inlineStr">
        <is>
          <t>49</t>
        </is>
      </c>
      <c r="DC35" s="115" t="inlineStr">
        <is>
          <t/>
        </is>
      </c>
      <c r="DD35" s="116" t="inlineStr">
        <is>
          <t/>
        </is>
      </c>
      <c r="DE35" s="117" t="inlineStr">
        <is>
          <t>0,23x</t>
        </is>
      </c>
      <c r="DF35" s="118" t="inlineStr">
        <is>
          <t>21</t>
        </is>
      </c>
      <c r="DG35" s="119" t="inlineStr">
        <is>
          <t>1,53x</t>
        </is>
      </c>
      <c r="DH35" s="120" t="inlineStr">
        <is>
          <t>59</t>
        </is>
      </c>
      <c r="DI35" s="121" t="inlineStr">
        <is>
          <t/>
        </is>
      </c>
      <c r="DJ35" s="122" t="inlineStr">
        <is>
          <t/>
        </is>
      </c>
      <c r="DK35" s="123" t="inlineStr">
        <is>
          <t/>
        </is>
      </c>
      <c r="DL35" s="124" t="inlineStr">
        <is>
          <t/>
        </is>
      </c>
      <c r="DM35" s="125" t="inlineStr">
        <is>
          <t>146</t>
        </is>
      </c>
      <c r="DN35" s="126" t="inlineStr">
        <is>
          <t>-15</t>
        </is>
      </c>
      <c r="DO35" s="127" t="inlineStr">
        <is>
          <t>-9,32%</t>
        </is>
      </c>
      <c r="DP35" s="128" t="inlineStr">
        <is>
          <t/>
        </is>
      </c>
      <c r="DQ35" s="129" t="inlineStr">
        <is>
          <t/>
        </is>
      </c>
      <c r="DR35" s="130" t="inlineStr">
        <is>
          <t/>
        </is>
      </c>
      <c r="DS35" s="131" t="inlineStr">
        <is>
          <t>55</t>
        </is>
      </c>
      <c r="DT35" s="132" t="inlineStr">
        <is>
          <t>0</t>
        </is>
      </c>
      <c r="DU35" s="133" t="inlineStr">
        <is>
          <t>0,00%</t>
        </is>
      </c>
      <c r="DV35" s="134" t="inlineStr">
        <is>
          <t/>
        </is>
      </c>
      <c r="DW35" s="135" t="inlineStr">
        <is>
          <t/>
        </is>
      </c>
      <c r="DX35" s="136" t="inlineStr">
        <is>
          <t/>
        </is>
      </c>
      <c r="DY35" s="137" t="inlineStr">
        <is>
          <t>PitchBook Research</t>
        </is>
      </c>
      <c r="DZ35" s="785">
        <f>HYPERLINK("https://my.pitchbook.com?c=56648-08", "View company online")</f>
      </c>
    </row>
    <row r="36">
      <c r="A36" s="139" t="inlineStr">
        <is>
          <t>158293-09</t>
        </is>
      </c>
      <c r="B36" s="140" t="inlineStr">
        <is>
          <t>Alpha Ring International</t>
        </is>
      </c>
      <c r="C36" s="141" t="inlineStr">
        <is>
          <t/>
        </is>
      </c>
      <c r="D36" s="142" t="inlineStr">
        <is>
          <t>Ring Alpha</t>
        </is>
      </c>
      <c r="E36" s="143" t="inlineStr">
        <is>
          <t>158293-09</t>
        </is>
      </c>
      <c r="F36" s="144" t="inlineStr">
        <is>
          <t>Provider of Internet and Web development services intended to develop Web applications. The company's services include Web Application designing, Internal Web application development, desktop application development, game server development, social media connectivity, WordPress plugins and Magento extensions, enabling their clients to enjoy web experiences that connect people and businesses.</t>
        </is>
      </c>
      <c r="G36" s="145" t="inlineStr">
        <is>
          <t>Information Technology</t>
        </is>
      </c>
      <c r="H36" s="146" t="inlineStr">
        <is>
          <t>IT Services</t>
        </is>
      </c>
      <c r="I36" s="147" t="inlineStr">
        <is>
          <t>Other IT Services</t>
        </is>
      </c>
      <c r="J36" s="148" t="inlineStr">
        <is>
          <t>Other IT Services*; Application Software; Software Development Applications</t>
        </is>
      </c>
      <c r="K36" s="149" t="inlineStr">
        <is>
          <t/>
        </is>
      </c>
      <c r="L36" s="150" t="inlineStr">
        <is>
          <t>Venture Capital-Backed</t>
        </is>
      </c>
      <c r="M36" s="151" t="n">
        <v>10.96</v>
      </c>
      <c r="N36" s="152" t="inlineStr">
        <is>
          <t>Startup</t>
        </is>
      </c>
      <c r="O36" s="153" t="inlineStr">
        <is>
          <t>Privately Held (backing)</t>
        </is>
      </c>
      <c r="P36" s="154" t="inlineStr">
        <is>
          <t>Venture Capital</t>
        </is>
      </c>
      <c r="Q36" s="155" t="inlineStr">
        <is>
          <t>www.ringalpha.com</t>
        </is>
      </c>
      <c r="R36" s="156" t="inlineStr">
        <is>
          <t/>
        </is>
      </c>
      <c r="S36" s="157" t="inlineStr">
        <is>
          <t/>
        </is>
      </c>
      <c r="T36" s="158" t="inlineStr">
        <is>
          <t/>
        </is>
      </c>
      <c r="U36" s="159" t="n">
        <v>2015.0</v>
      </c>
      <c r="V36" s="160" t="inlineStr">
        <is>
          <t/>
        </is>
      </c>
      <c r="W36" s="161" t="inlineStr">
        <is>
          <t/>
        </is>
      </c>
      <c r="X36" s="162" t="inlineStr">
        <is>
          <t/>
        </is>
      </c>
      <c r="Y36" s="163" t="inlineStr">
        <is>
          <t/>
        </is>
      </c>
      <c r="Z36" s="164" t="inlineStr">
        <is>
          <t/>
        </is>
      </c>
      <c r="AA36" s="165" t="inlineStr">
        <is>
          <t/>
        </is>
      </c>
      <c r="AB36" s="166" t="inlineStr">
        <is>
          <t/>
        </is>
      </c>
      <c r="AC36" s="167" t="inlineStr">
        <is>
          <t/>
        </is>
      </c>
      <c r="AD36" s="168" t="inlineStr">
        <is>
          <t/>
        </is>
      </c>
      <c r="AE36" s="169" t="inlineStr">
        <is>
          <t>160526-08P</t>
        </is>
      </c>
      <c r="AF36" s="170" t="inlineStr">
        <is>
          <t>Alfred Wong</t>
        </is>
      </c>
      <c r="AG36" s="171" t="inlineStr">
        <is>
          <t>Executive Officer &amp; Board Member</t>
        </is>
      </c>
      <c r="AH36" s="172" t="inlineStr">
        <is>
          <t/>
        </is>
      </c>
      <c r="AI36" s="173" t="inlineStr">
        <is>
          <t>+44 (0)11 4360 3000</t>
        </is>
      </c>
      <c r="AJ36" s="174" t="inlineStr">
        <is>
          <t>South Yorkshire, United Kingdom</t>
        </is>
      </c>
      <c r="AK36" s="175" t="inlineStr">
        <is>
          <t/>
        </is>
      </c>
      <c r="AL36" s="176" t="inlineStr">
        <is>
          <t/>
        </is>
      </c>
      <c r="AM36" s="177" t="inlineStr">
        <is>
          <t>South Yorkshire</t>
        </is>
      </c>
      <c r="AN36" s="178" t="inlineStr">
        <is>
          <t>England</t>
        </is>
      </c>
      <c r="AO36" s="179" t="inlineStr">
        <is>
          <t/>
        </is>
      </c>
      <c r="AP36" s="180" t="inlineStr">
        <is>
          <t>United Kingdom</t>
        </is>
      </c>
      <c r="AQ36" s="181" t="inlineStr">
        <is>
          <t>+44 (0)11 4360 3000</t>
        </is>
      </c>
      <c r="AR36" s="182" t="inlineStr">
        <is>
          <t/>
        </is>
      </c>
      <c r="AS36" s="183" t="inlineStr">
        <is>
          <t>info@ringalpha.com</t>
        </is>
      </c>
      <c r="AT36" s="184" t="inlineStr">
        <is>
          <t>Europe</t>
        </is>
      </c>
      <c r="AU36" s="185" t="inlineStr">
        <is>
          <t>Western Europe</t>
        </is>
      </c>
      <c r="AV36" s="186" t="inlineStr">
        <is>
          <t>The company raised $12.42 million of Series A venture funding from WI Harper Group on April 29, 2016.</t>
        </is>
      </c>
      <c r="AW36" s="187" t="inlineStr">
        <is>
          <t>WI Harper Group</t>
        </is>
      </c>
      <c r="AX36" s="188" t="n">
        <v>1.0</v>
      </c>
      <c r="AY36" s="189" t="inlineStr">
        <is>
          <t/>
        </is>
      </c>
      <c r="AZ36" s="190" t="inlineStr">
        <is>
          <t/>
        </is>
      </c>
      <c r="BA36" s="191" t="inlineStr">
        <is>
          <t/>
        </is>
      </c>
      <c r="BB36" s="192" t="inlineStr">
        <is>
          <t>WI Harper Group (www.wiharper.com)</t>
        </is>
      </c>
      <c r="BC36" s="193" t="inlineStr">
        <is>
          <t/>
        </is>
      </c>
      <c r="BD36" s="194" t="inlineStr">
        <is>
          <t/>
        </is>
      </c>
      <c r="BE36" s="195" t="inlineStr">
        <is>
          <t/>
        </is>
      </c>
      <c r="BF36" s="196" t="inlineStr">
        <is>
          <t/>
        </is>
      </c>
      <c r="BG36" s="197" t="n">
        <v>42489.0</v>
      </c>
      <c r="BH36" s="198" t="n">
        <v>10.96</v>
      </c>
      <c r="BI36" s="199" t="inlineStr">
        <is>
          <t>Actual</t>
        </is>
      </c>
      <c r="BJ36" s="200" t="inlineStr">
        <is>
          <t/>
        </is>
      </c>
      <c r="BK36" s="201" t="inlineStr">
        <is>
          <t/>
        </is>
      </c>
      <c r="BL36" s="202" t="inlineStr">
        <is>
          <t>Early Stage VC</t>
        </is>
      </c>
      <c r="BM36" s="203" t="inlineStr">
        <is>
          <t>Series A</t>
        </is>
      </c>
      <c r="BN36" s="204" t="inlineStr">
        <is>
          <t/>
        </is>
      </c>
      <c r="BO36" s="205" t="inlineStr">
        <is>
          <t>Venture Capital</t>
        </is>
      </c>
      <c r="BP36" s="206" t="inlineStr">
        <is>
          <t/>
        </is>
      </c>
      <c r="BQ36" s="207" t="inlineStr">
        <is>
          <t/>
        </is>
      </c>
      <c r="BR36" s="208" t="inlineStr">
        <is>
          <t/>
        </is>
      </c>
      <c r="BS36" s="209" t="inlineStr">
        <is>
          <t>Completed</t>
        </is>
      </c>
      <c r="BT36" s="210" t="n">
        <v>42489.0</v>
      </c>
      <c r="BU36" s="211" t="n">
        <v>10.96</v>
      </c>
      <c r="BV36" s="212" t="inlineStr">
        <is>
          <t>Actual</t>
        </is>
      </c>
      <c r="BW36" s="213" t="inlineStr">
        <is>
          <t/>
        </is>
      </c>
      <c r="BX36" s="214" t="inlineStr">
        <is>
          <t/>
        </is>
      </c>
      <c r="BY36" s="215" t="inlineStr">
        <is>
          <t>Early Stage VC</t>
        </is>
      </c>
      <c r="BZ36" s="216" t="inlineStr">
        <is>
          <t>Series A</t>
        </is>
      </c>
      <c r="CA36" s="217" t="inlineStr">
        <is>
          <t/>
        </is>
      </c>
      <c r="CB36" s="218" t="inlineStr">
        <is>
          <t>Venture Capital</t>
        </is>
      </c>
      <c r="CC36" s="219" t="inlineStr">
        <is>
          <t/>
        </is>
      </c>
      <c r="CD36" s="220" t="inlineStr">
        <is>
          <t/>
        </is>
      </c>
      <c r="CE36" s="221" t="inlineStr">
        <is>
          <t/>
        </is>
      </c>
      <c r="CF36" s="222" t="inlineStr">
        <is>
          <t>Completed</t>
        </is>
      </c>
      <c r="CG36" s="223" t="inlineStr">
        <is>
          <t/>
        </is>
      </c>
      <c r="CH36" s="224" t="inlineStr">
        <is>
          <t/>
        </is>
      </c>
      <c r="CI36" s="225" t="inlineStr">
        <is>
          <t/>
        </is>
      </c>
      <c r="CJ36" s="226" t="inlineStr">
        <is>
          <t/>
        </is>
      </c>
      <c r="CK36" s="227" t="inlineStr">
        <is>
          <t/>
        </is>
      </c>
      <c r="CL36" s="228" t="inlineStr">
        <is>
          <t/>
        </is>
      </c>
      <c r="CM36" s="229" t="inlineStr">
        <is>
          <t/>
        </is>
      </c>
      <c r="CN36" s="230" t="inlineStr">
        <is>
          <t/>
        </is>
      </c>
      <c r="CO36" s="231" t="inlineStr">
        <is>
          <t/>
        </is>
      </c>
      <c r="CP36" s="232" t="inlineStr">
        <is>
          <t/>
        </is>
      </c>
      <c r="CQ36" s="233" t="inlineStr">
        <is>
          <t/>
        </is>
      </c>
      <c r="CR36" s="234" t="inlineStr">
        <is>
          <t/>
        </is>
      </c>
      <c r="CS36" s="235" t="inlineStr">
        <is>
          <t/>
        </is>
      </c>
      <c r="CT36" s="236" t="inlineStr">
        <is>
          <t/>
        </is>
      </c>
      <c r="CU36" s="237" t="inlineStr">
        <is>
          <t/>
        </is>
      </c>
      <c r="CV36" s="238" t="inlineStr">
        <is>
          <t/>
        </is>
      </c>
      <c r="CW36" s="239" t="inlineStr">
        <is>
          <t/>
        </is>
      </c>
      <c r="CX36" s="240" t="inlineStr">
        <is>
          <t/>
        </is>
      </c>
      <c r="CY36" s="241" t="inlineStr">
        <is>
          <t/>
        </is>
      </c>
      <c r="CZ36" s="242" t="inlineStr">
        <is>
          <t/>
        </is>
      </c>
      <c r="DA36" s="243" t="inlineStr">
        <is>
          <t/>
        </is>
      </c>
      <c r="DB36" s="244" t="inlineStr">
        <is>
          <t/>
        </is>
      </c>
      <c r="DC36" s="245" t="inlineStr">
        <is>
          <t/>
        </is>
      </c>
      <c r="DD36" s="246" t="inlineStr">
        <is>
          <t/>
        </is>
      </c>
      <c r="DE36" s="247" t="inlineStr">
        <is>
          <t/>
        </is>
      </c>
      <c r="DF36" s="248" t="inlineStr">
        <is>
          <t/>
        </is>
      </c>
      <c r="DG36" s="249" t="inlineStr">
        <is>
          <t/>
        </is>
      </c>
      <c r="DH36" s="250" t="inlineStr">
        <is>
          <t/>
        </is>
      </c>
      <c r="DI36" s="251" t="inlineStr">
        <is>
          <t/>
        </is>
      </c>
      <c r="DJ36" s="252" t="inlineStr">
        <is>
          <t/>
        </is>
      </c>
      <c r="DK36" s="253" t="inlineStr">
        <is>
          <t/>
        </is>
      </c>
      <c r="DL36" s="254" t="inlineStr">
        <is>
          <t/>
        </is>
      </c>
      <c r="DM36" s="255" t="inlineStr">
        <is>
          <t/>
        </is>
      </c>
      <c r="DN36" s="256" t="inlineStr">
        <is>
          <t/>
        </is>
      </c>
      <c r="DO36" s="257" t="inlineStr">
        <is>
          <t/>
        </is>
      </c>
      <c r="DP36" s="258" t="inlineStr">
        <is>
          <t/>
        </is>
      </c>
      <c r="DQ36" s="259" t="inlineStr">
        <is>
          <t/>
        </is>
      </c>
      <c r="DR36" s="260" t="inlineStr">
        <is>
          <t/>
        </is>
      </c>
      <c r="DS36" s="261" t="inlineStr">
        <is>
          <t/>
        </is>
      </c>
      <c r="DT36" s="262" t="inlineStr">
        <is>
          <t/>
        </is>
      </c>
      <c r="DU36" s="263" t="inlineStr">
        <is>
          <t/>
        </is>
      </c>
      <c r="DV36" s="264" t="inlineStr">
        <is>
          <t/>
        </is>
      </c>
      <c r="DW36" s="265" t="inlineStr">
        <is>
          <t/>
        </is>
      </c>
      <c r="DX36" s="266" t="inlineStr">
        <is>
          <t/>
        </is>
      </c>
      <c r="DY36" s="267" t="inlineStr">
        <is>
          <t>PitchBook Research</t>
        </is>
      </c>
      <c r="DZ36" s="786">
        <f>HYPERLINK("https://my.pitchbook.com?c=158293-09", "View company online")</f>
      </c>
    </row>
    <row r="37">
      <c r="A37" s="9" t="inlineStr">
        <is>
          <t>62440-93</t>
        </is>
      </c>
      <c r="B37" s="10" t="inlineStr">
        <is>
          <t>AltraTech</t>
        </is>
      </c>
      <c r="C37" s="11" t="inlineStr">
        <is>
          <t/>
        </is>
      </c>
      <c r="D37" s="12" t="inlineStr">
        <is>
          <t/>
        </is>
      </c>
      <c r="E37" s="13" t="inlineStr">
        <is>
          <t>62440-93</t>
        </is>
      </c>
      <c r="F37" s="14" t="inlineStr">
        <is>
          <t>Developer of a viral DNA/RNA detection device designed for the point of care testing of infectious viral diseases. The company's battery-operated 1-hour DNA/RNA test kit uses advanced NA enrichment and semiconductor techniques to achieve the sensitivity and specificity of PCR methods, in a small portable size and cost format, enabling nurses, clinicians, cancer specialists, veterinarians, consumers, retailers and regulators to achieve rapid diagnosis and decision-making, on-site and in-clinic by eliminating the delays of waiting for lab RT-PCR results.</t>
        </is>
      </c>
      <c r="G37" s="15" t="inlineStr">
        <is>
          <t>Healthcare</t>
        </is>
      </c>
      <c r="H37" s="16" t="inlineStr">
        <is>
          <t>Healthcare Devices and Supplies</t>
        </is>
      </c>
      <c r="I37" s="17" t="inlineStr">
        <is>
          <t>Diagnostic Equipment</t>
        </is>
      </c>
      <c r="J37" s="18" t="inlineStr">
        <is>
          <t>Diagnostic Equipment*</t>
        </is>
      </c>
      <c r="K37" s="19" t="inlineStr">
        <is>
          <t>Life Sciences</t>
        </is>
      </c>
      <c r="L37" s="20" t="inlineStr">
        <is>
          <t>Venture Capital-Backed</t>
        </is>
      </c>
      <c r="M37" s="21" t="n">
        <v>10.45</v>
      </c>
      <c r="N37" s="22" t="inlineStr">
        <is>
          <t>Product Development</t>
        </is>
      </c>
      <c r="O37" s="23" t="inlineStr">
        <is>
          <t>Privately Held (backing)</t>
        </is>
      </c>
      <c r="P37" s="24" t="inlineStr">
        <is>
          <t>Venture Capital</t>
        </is>
      </c>
      <c r="Q37" s="25" t="inlineStr">
        <is>
          <t>www.altratech.com</t>
        </is>
      </c>
      <c r="R37" s="26" t="n">
        <v>12.0</v>
      </c>
      <c r="S37" s="27" t="inlineStr">
        <is>
          <t/>
        </is>
      </c>
      <c r="T37" s="28" t="inlineStr">
        <is>
          <t/>
        </is>
      </c>
      <c r="U37" s="29" t="n">
        <v>2013.0</v>
      </c>
      <c r="V37" s="30" t="inlineStr">
        <is>
          <t/>
        </is>
      </c>
      <c r="W37" s="31" t="inlineStr">
        <is>
          <r>
            <rPr>
              <b/>
              <color rgb="ff26854d"/>
              <rFont val="Arial"/>
              <sz val="8.0"/>
            </rPr>
            <t>Deal</t>
          </r>
          <r>
            <rPr>
              <color rgb="ff707070"/>
              <rFont val="Arial"/>
              <sz val="7.0"/>
            </rPr>
            <t xml:space="preserve"> NEW  </t>
          </r>
          <r>
            <rPr>
              <color rgb="ff000000"/>
              <rFont val="Arial"/>
              <sz val="8.0"/>
            </rPr>
            <t>Grant, 2017</t>
          </r>
          <r>
            <rPr>
              <color rgb="ff707070"/>
              <rFont val="Arial"/>
              <sz val="7.0"/>
            </rPr>
            <t xml:space="preserve"> Completed</t>
          </r>
        </is>
      </c>
      <c r="X37" s="32" t="inlineStr">
        <is>
          <r>
            <rPr>
              <b/>
              <color rgb="ff26854d"/>
              <rFont val="Arial"/>
              <sz val="8.0"/>
            </rPr>
            <t>Deal</t>
          </r>
          <r>
            <rPr>
              <color rgb="ff707070"/>
              <rFont val="Arial"/>
              <sz val="7.0"/>
            </rPr>
            <t xml:space="preserve"> NEW  </t>
          </r>
          <r>
            <rPr>
              <color rgb="ff000000"/>
              <rFont val="Arial"/>
              <sz val="8.0"/>
            </rPr>
            <t>Grant, 2017</t>
          </r>
          <r>
            <rPr>
              <color rgb="ff707070"/>
              <rFont val="Arial"/>
              <sz val="7.0"/>
            </rPr>
            <t xml:space="preserve"> Completed</t>
          </r>
        </is>
      </c>
      <c r="Y37" s="33" t="inlineStr">
        <is>
          <t/>
        </is>
      </c>
      <c r="Z37" s="34" t="inlineStr">
        <is>
          <t/>
        </is>
      </c>
      <c r="AA37" s="35" t="inlineStr">
        <is>
          <t/>
        </is>
      </c>
      <c r="AB37" s="36" t="inlineStr">
        <is>
          <t/>
        </is>
      </c>
      <c r="AC37" s="37" t="inlineStr">
        <is>
          <t/>
        </is>
      </c>
      <c r="AD37" s="38" t="inlineStr">
        <is>
          <t/>
        </is>
      </c>
      <c r="AE37" s="39" t="inlineStr">
        <is>
          <t>42076-45P</t>
        </is>
      </c>
      <c r="AF37" s="40" t="inlineStr">
        <is>
          <t>Tim Cummins</t>
        </is>
      </c>
      <c r="AG37" s="41" t="inlineStr">
        <is>
          <t>Co-Founder, Chief Technology Officer &amp; Board Member</t>
        </is>
      </c>
      <c r="AH37" s="42" t="inlineStr">
        <is>
          <t>tim.cummins@altratech.com</t>
        </is>
      </c>
      <c r="AI37" s="43" t="inlineStr">
        <is>
          <t/>
        </is>
      </c>
      <c r="AJ37" s="44" t="inlineStr">
        <is>
          <t>Limerick, Ireland</t>
        </is>
      </c>
      <c r="AK37" s="45" t="inlineStr">
        <is>
          <t>4 Michael Street</t>
        </is>
      </c>
      <c r="AL37" s="46" t="inlineStr">
        <is>
          <t>Limerick &amp; UL Nexus Innovation Centre</t>
        </is>
      </c>
      <c r="AM37" s="47" t="inlineStr">
        <is>
          <t>Limerick</t>
        </is>
      </c>
      <c r="AN37" s="48" t="inlineStr">
        <is>
          <t/>
        </is>
      </c>
      <c r="AO37" s="49" t="inlineStr">
        <is>
          <t/>
        </is>
      </c>
      <c r="AP37" s="50" t="inlineStr">
        <is>
          <t>Ireland</t>
        </is>
      </c>
      <c r="AQ37" s="51" t="inlineStr">
        <is>
          <t/>
        </is>
      </c>
      <c r="AR37" s="52" t="inlineStr">
        <is>
          <t/>
        </is>
      </c>
      <c r="AS37" s="53" t="inlineStr">
        <is>
          <t>information@altratech.com</t>
        </is>
      </c>
      <c r="AT37" s="54" t="inlineStr">
        <is>
          <t>Europe</t>
        </is>
      </c>
      <c r="AU37" s="55" t="inlineStr">
        <is>
          <t>Western Europe</t>
        </is>
      </c>
      <c r="AV37" s="56" t="inlineStr">
        <is>
          <t>The company received an EUR 2.97 million grant from Horizon 2020 on July 3, 2017.</t>
        </is>
      </c>
      <c r="AW37" s="57" t="inlineStr">
        <is>
          <t>Enterprise Ireland, European Commission, Horizon 2020, Infinity Capital (investor), Irish Venture Capital Association, Kernel Capital (Ireland)</t>
        </is>
      </c>
      <c r="AX37" s="58" t="n">
        <v>6.0</v>
      </c>
      <c r="AY37" s="59" t="inlineStr">
        <is>
          <t/>
        </is>
      </c>
      <c r="AZ37" s="60" t="inlineStr">
        <is>
          <t/>
        </is>
      </c>
      <c r="BA37" s="61" t="inlineStr">
        <is>
          <t/>
        </is>
      </c>
      <c r="BB37" s="62" t="inlineStr">
        <is>
          <t>Enterprise Ireland (www.enterprise-ireland.com), European Commission (ec.europa.eu), Irish Venture Capital Association (www.ivca.ie), Kernel Capital (Ireland) (www.kernel-capital.com)</t>
        </is>
      </c>
      <c r="BC37" s="63" t="inlineStr">
        <is>
          <t/>
        </is>
      </c>
      <c r="BD37" s="64" t="inlineStr">
        <is>
          <t/>
        </is>
      </c>
      <c r="BE37" s="65" t="inlineStr">
        <is>
          <t>Beauchamps Solicitors (Legal Advisor)</t>
        </is>
      </c>
      <c r="BF37" s="66" t="inlineStr">
        <is>
          <t>Beauchamps Solicitors (Legal Advisor)</t>
        </is>
      </c>
      <c r="BG37" s="67" t="n">
        <v>41647.0</v>
      </c>
      <c r="BH37" s="68" t="n">
        <v>0.05</v>
      </c>
      <c r="BI37" s="69" t="inlineStr">
        <is>
          <t>Actual</t>
        </is>
      </c>
      <c r="BJ37" s="70" t="inlineStr">
        <is>
          <t/>
        </is>
      </c>
      <c r="BK37" s="71" t="inlineStr">
        <is>
          <t/>
        </is>
      </c>
      <c r="BL37" s="72" t="inlineStr">
        <is>
          <t>Grant</t>
        </is>
      </c>
      <c r="BM37" s="73" t="inlineStr">
        <is>
          <t/>
        </is>
      </c>
      <c r="BN37" s="74" t="inlineStr">
        <is>
          <t/>
        </is>
      </c>
      <c r="BO37" s="75" t="inlineStr">
        <is>
          <t>Other</t>
        </is>
      </c>
      <c r="BP37" s="76" t="inlineStr">
        <is>
          <t/>
        </is>
      </c>
      <c r="BQ37" s="77" t="inlineStr">
        <is>
          <t/>
        </is>
      </c>
      <c r="BR37" s="78" t="inlineStr">
        <is>
          <t/>
        </is>
      </c>
      <c r="BS37" s="79" t="inlineStr">
        <is>
          <t>Completed</t>
        </is>
      </c>
      <c r="BT37" s="80" t="n">
        <v>42919.0</v>
      </c>
      <c r="BU37" s="81" t="n">
        <v>2.97</v>
      </c>
      <c r="BV37" s="82" t="inlineStr">
        <is>
          <t>Actual</t>
        </is>
      </c>
      <c r="BW37" s="83" t="inlineStr">
        <is>
          <t/>
        </is>
      </c>
      <c r="BX37" s="84" t="inlineStr">
        <is>
          <t/>
        </is>
      </c>
      <c r="BY37" s="85" t="inlineStr">
        <is>
          <t>Grant</t>
        </is>
      </c>
      <c r="BZ37" s="86" t="inlineStr">
        <is>
          <t/>
        </is>
      </c>
      <c r="CA37" s="87" t="inlineStr">
        <is>
          <t/>
        </is>
      </c>
      <c r="CB37" s="88" t="inlineStr">
        <is>
          <t>Other</t>
        </is>
      </c>
      <c r="CC37" s="89" t="inlineStr">
        <is>
          <t/>
        </is>
      </c>
      <c r="CD37" s="90" t="inlineStr">
        <is>
          <t/>
        </is>
      </c>
      <c r="CE37" s="91" t="inlineStr">
        <is>
          <t/>
        </is>
      </c>
      <c r="CF37" s="92" t="inlineStr">
        <is>
          <t>Completed</t>
        </is>
      </c>
      <c r="CG37" s="93" t="inlineStr">
        <is>
          <t>0,00%</t>
        </is>
      </c>
      <c r="CH37" s="94" t="inlineStr">
        <is>
          <t>23</t>
        </is>
      </c>
      <c r="CI37" s="95" t="inlineStr">
        <is>
          <t>0,00%</t>
        </is>
      </c>
      <c r="CJ37" s="96" t="inlineStr">
        <is>
          <t>0,00%</t>
        </is>
      </c>
      <c r="CK37" s="97" t="inlineStr">
        <is>
          <t>0,00%</t>
        </is>
      </c>
      <c r="CL37" s="98" t="inlineStr">
        <is>
          <t>18</t>
        </is>
      </c>
      <c r="CM37" s="99" t="inlineStr">
        <is>
          <t/>
        </is>
      </c>
      <c r="CN37" s="100" t="inlineStr">
        <is>
          <t/>
        </is>
      </c>
      <c r="CO37" s="101" t="inlineStr">
        <is>
          <t>0,00%</t>
        </is>
      </c>
      <c r="CP37" s="102" t="inlineStr">
        <is>
          <t>26</t>
        </is>
      </c>
      <c r="CQ37" s="103" t="inlineStr">
        <is>
          <t>0,00%</t>
        </is>
      </c>
      <c r="CR37" s="104" t="inlineStr">
        <is>
          <t>13</t>
        </is>
      </c>
      <c r="CS37" s="105" t="inlineStr">
        <is>
          <t/>
        </is>
      </c>
      <c r="CT37" s="106" t="inlineStr">
        <is>
          <t/>
        </is>
      </c>
      <c r="CU37" s="107" t="inlineStr">
        <is>
          <t/>
        </is>
      </c>
      <c r="CV37" s="108" t="inlineStr">
        <is>
          <t/>
        </is>
      </c>
      <c r="CW37" s="109" t="inlineStr">
        <is>
          <t>0,48x</t>
        </is>
      </c>
      <c r="CX37" s="110" t="inlineStr">
        <is>
          <t>33</t>
        </is>
      </c>
      <c r="CY37" s="111" t="inlineStr">
        <is>
          <t>-0,02x</t>
        </is>
      </c>
      <c r="CZ37" s="112" t="inlineStr">
        <is>
          <t>-4,64%</t>
        </is>
      </c>
      <c r="DA37" s="113" t="inlineStr">
        <is>
          <t>0,48x</t>
        </is>
      </c>
      <c r="DB37" s="114" t="inlineStr">
        <is>
          <t>36</t>
        </is>
      </c>
      <c r="DC37" s="115" t="inlineStr">
        <is>
          <t/>
        </is>
      </c>
      <c r="DD37" s="116" t="inlineStr">
        <is>
          <t/>
        </is>
      </c>
      <c r="DE37" s="117" t="inlineStr">
        <is>
          <t>0,68x</t>
        </is>
      </c>
      <c r="DF37" s="118" t="inlineStr">
        <is>
          <t>43</t>
        </is>
      </c>
      <c r="DG37" s="119" t="inlineStr">
        <is>
          <t>0,28x</t>
        </is>
      </c>
      <c r="DH37" s="120" t="inlineStr">
        <is>
          <t>25</t>
        </is>
      </c>
      <c r="DI37" s="121" t="inlineStr">
        <is>
          <t/>
        </is>
      </c>
      <c r="DJ37" s="122" t="inlineStr">
        <is>
          <t/>
        </is>
      </c>
      <c r="DK37" s="123" t="inlineStr">
        <is>
          <t/>
        </is>
      </c>
      <c r="DL37" s="124" t="inlineStr">
        <is>
          <t/>
        </is>
      </c>
      <c r="DM37" s="125" t="inlineStr">
        <is>
          <t>412</t>
        </is>
      </c>
      <c r="DN37" s="126" t="inlineStr">
        <is>
          <t>40</t>
        </is>
      </c>
      <c r="DO37" s="127" t="inlineStr">
        <is>
          <t>10,75%</t>
        </is>
      </c>
      <c r="DP37" s="128" t="inlineStr">
        <is>
          <t/>
        </is>
      </c>
      <c r="DQ37" s="129" t="inlineStr">
        <is>
          <t/>
        </is>
      </c>
      <c r="DR37" s="130" t="inlineStr">
        <is>
          <t/>
        </is>
      </c>
      <c r="DS37" s="131" t="inlineStr">
        <is>
          <t>10</t>
        </is>
      </c>
      <c r="DT37" s="132" t="inlineStr">
        <is>
          <t>-2</t>
        </is>
      </c>
      <c r="DU37" s="133" t="inlineStr">
        <is>
          <t>-16,67%</t>
        </is>
      </c>
      <c r="DV37" s="134" t="inlineStr">
        <is>
          <t/>
        </is>
      </c>
      <c r="DW37" s="135" t="inlineStr">
        <is>
          <t/>
        </is>
      </c>
      <c r="DX37" s="136" t="inlineStr">
        <is>
          <t/>
        </is>
      </c>
      <c r="DY37" s="137" t="inlineStr">
        <is>
          <t>PitchBook Research</t>
        </is>
      </c>
      <c r="DZ37" s="785">
        <f>HYPERLINK("https://my.pitchbook.com?c=62440-93", "View company online")</f>
      </c>
    </row>
    <row r="38">
      <c r="A38" s="139" t="inlineStr">
        <is>
          <t>61586-92</t>
        </is>
      </c>
      <c r="B38" s="140" t="inlineStr">
        <is>
          <t>Amal Therapeutics</t>
        </is>
      </c>
      <c r="C38" s="141" t="inlineStr">
        <is>
          <t/>
        </is>
      </c>
      <c r="D38" s="142" t="inlineStr">
        <is>
          <t/>
        </is>
      </c>
      <c r="E38" s="143" t="inlineStr">
        <is>
          <t>61586-92</t>
        </is>
      </c>
      <c r="F38" s="144" t="inlineStr">
        <is>
          <t>Developer of novel, peptide-based therapeutic cancer vaccines. The company's proprietary therapeutic tumor vaccination technology platform KISIMA is able to simultaneously stimulate multi-epitopic cytotoxic T cell-mediated immunity, induce helper T (Th) cells and promote immunological memory.</t>
        </is>
      </c>
      <c r="G38" s="145" t="inlineStr">
        <is>
          <t>Healthcare</t>
        </is>
      </c>
      <c r="H38" s="146" t="inlineStr">
        <is>
          <t>Pharmaceuticals and Biotechnology</t>
        </is>
      </c>
      <c r="I38" s="147" t="inlineStr">
        <is>
          <t>Biotechnology</t>
        </is>
      </c>
      <c r="J38" s="148" t="inlineStr">
        <is>
          <t>Biotechnology*</t>
        </is>
      </c>
      <c r="K38" s="149" t="inlineStr">
        <is>
          <t>Life Sciences, Oncology</t>
        </is>
      </c>
      <c r="L38" s="150" t="inlineStr">
        <is>
          <t>Venture Capital-Backed</t>
        </is>
      </c>
      <c r="M38" s="151" t="n">
        <v>10.55</v>
      </c>
      <c r="N38" s="152" t="inlineStr">
        <is>
          <t>Pre-Clinical Trials</t>
        </is>
      </c>
      <c r="O38" s="153" t="inlineStr">
        <is>
          <t>Privately Held (backing)</t>
        </is>
      </c>
      <c r="P38" s="154" t="inlineStr">
        <is>
          <t>Venture Capital</t>
        </is>
      </c>
      <c r="Q38" s="155" t="inlineStr">
        <is>
          <t>www.amaltherapeutics.com</t>
        </is>
      </c>
      <c r="R38" s="156" t="n">
        <v>8.0</v>
      </c>
      <c r="S38" s="157" t="inlineStr">
        <is>
          <t/>
        </is>
      </c>
      <c r="T38" s="158" t="inlineStr">
        <is>
          <t/>
        </is>
      </c>
      <c r="U38" s="159" t="n">
        <v>2012.0</v>
      </c>
      <c r="V38" s="160" t="inlineStr">
        <is>
          <t/>
        </is>
      </c>
      <c r="W38" s="161" t="inlineStr">
        <is>
          <t/>
        </is>
      </c>
      <c r="X38" s="162" t="inlineStr">
        <is>
          <r>
            <rPr>
              <b/>
              <color rgb="ff26854d"/>
              <rFont val="Arial"/>
              <sz val="8.0"/>
            </rPr>
            <t>Deal</t>
          </r>
          <r>
            <rPr>
              <color rgb="ff707070"/>
              <rFont val="Arial"/>
              <sz val="7.0"/>
            </rPr>
            <t xml:space="preserve"> NEW  </t>
          </r>
          <r>
            <rPr>
              <color rgb="ff000000"/>
              <rFont val="Arial"/>
              <sz val="8.0"/>
            </rPr>
            <t>Early Stage VC (Series B), 2017</t>
          </r>
          <r>
            <rPr>
              <color rgb="ff707070"/>
              <rFont val="Arial"/>
              <sz val="7.0"/>
            </rPr>
            <t xml:space="preserve"> Completed</t>
          </r>
          <r>
            <rPr>
              <color rgb="ff000000"/>
              <rFont val="Arial"/>
              <sz val="8.0"/>
            </rPr>
            <t xml:space="preserve">
</t>
          </r>
          <r>
            <rPr>
              <b/>
              <color rgb="ff26854d"/>
              <rFont val="Arial"/>
              <sz val="8.0"/>
            </rPr>
            <t>Promotion</t>
          </r>
          <r>
            <rPr>
              <color rgb="ff707070"/>
              <rFont val="Arial"/>
              <sz val="7.0"/>
            </rPr>
            <t xml:space="preserve"> NEW  </t>
          </r>
          <r>
            <rPr>
              <color rgb="ff000000"/>
              <rFont val="Arial"/>
              <sz val="8.0"/>
            </rPr>
            <t>Madiha Derouazi, Founder, Chief Executive Officer &amp; Board Member</t>
          </r>
        </is>
      </c>
      <c r="Y38" s="163" t="inlineStr">
        <is>
          <t/>
        </is>
      </c>
      <c r="Z38" s="164" t="inlineStr">
        <is>
          <t/>
        </is>
      </c>
      <c r="AA38" s="165" t="inlineStr">
        <is>
          <t/>
        </is>
      </c>
      <c r="AB38" s="166" t="inlineStr">
        <is>
          <t/>
        </is>
      </c>
      <c r="AC38" s="167" t="inlineStr">
        <is>
          <t/>
        </is>
      </c>
      <c r="AD38" s="168" t="inlineStr">
        <is>
          <t/>
        </is>
      </c>
      <c r="AE38" s="169" t="inlineStr">
        <is>
          <t>61930-99P</t>
        </is>
      </c>
      <c r="AF38" s="170" t="inlineStr">
        <is>
          <t>Madiha Derouazi</t>
        </is>
      </c>
      <c r="AG38" s="171" t="inlineStr">
        <is>
          <t>Founder, Chief Executive Officer &amp; Board Member</t>
        </is>
      </c>
      <c r="AH38" s="172" t="inlineStr">
        <is>
          <t>madiha.derouazi@amaltherapeutics.com</t>
        </is>
      </c>
      <c r="AI38" s="173" t="inlineStr">
        <is>
          <t>+41 (0)22 379 4688</t>
        </is>
      </c>
      <c r="AJ38" s="174" t="inlineStr">
        <is>
          <t>Geneva, Switzerland</t>
        </is>
      </c>
      <c r="AK38" s="175" t="inlineStr">
        <is>
          <t>C/o Fondation pour Recherches Médicales</t>
        </is>
      </c>
      <c r="AL38" s="176" t="inlineStr">
        <is>
          <t>64 av. de la Roseraie</t>
        </is>
      </c>
      <c r="AM38" s="177" t="inlineStr">
        <is>
          <t>Geneva</t>
        </is>
      </c>
      <c r="AN38" s="178" t="inlineStr">
        <is>
          <t/>
        </is>
      </c>
      <c r="AO38" s="179" t="inlineStr">
        <is>
          <t>1205</t>
        </is>
      </c>
      <c r="AP38" s="180" t="inlineStr">
        <is>
          <t>Switzerland</t>
        </is>
      </c>
      <c r="AQ38" s="181" t="inlineStr">
        <is>
          <t>+41 (0)22 379 4688</t>
        </is>
      </c>
      <c r="AR38" s="182" t="inlineStr">
        <is>
          <t/>
        </is>
      </c>
      <c r="AS38" s="183" t="inlineStr">
        <is>
          <t>contact@amaltherapeutics.com</t>
        </is>
      </c>
      <c r="AT38" s="184" t="inlineStr">
        <is>
          <t>Europe</t>
        </is>
      </c>
      <c r="AU38" s="185" t="inlineStr">
        <is>
          <t>Western Europe</t>
        </is>
      </c>
      <c r="AV38" s="186" t="inlineStr">
        <is>
          <t>The company raised CHF 8.8 million of Series B venture funding from lead investors Boehringer Ingelheim Venture Fund, BioMedPartners and Helsinn Investment Fund on September 5, 2017. Schroder Adveq, High-Tech Gründerfonds and VI Partners also participated in the round. The funds will be used to progress its lead vaccine (ATP128) towards clinical studies and proof-of-concept in colorectal cancer as well as to further develop its proprietary therapeutic tumor vaccination technology platform called KISIMA. This is the first tranche of the Series B round.</t>
        </is>
      </c>
      <c r="AW38" s="187" t="inlineStr">
        <is>
          <t>BioMedPartners, Boehringer Ingelheim Venture Fund, Commission for Technology and Innovation, Helsinn Investment Fund, High-Tech Gründerfonds, Schroder Adveq Management, Venture kick, VI Partners</t>
        </is>
      </c>
      <c r="AX38" s="188" t="n">
        <v>8.0</v>
      </c>
      <c r="AY38" s="189" t="inlineStr">
        <is>
          <t/>
        </is>
      </c>
      <c r="AZ38" s="190" t="inlineStr">
        <is>
          <t/>
        </is>
      </c>
      <c r="BA38" s="191" t="inlineStr">
        <is>
          <t/>
        </is>
      </c>
      <c r="BB38" s="192" t="inlineStr">
        <is>
          <t>BioMedPartners (www.biomedvc.com), Boehringer Ingelheim Venture Fund (www.boehringer-ingelheim-venture.com), Commission for Technology and Innovation (www.kti.admin.ch), Helsinn Investment Fund (helsinninvestmentfund.com), High-Tech Gründerfonds (www.high-tech-gruenderfonds.de), Schroder Adveq Management (www.schroderadveq.com), Venture kick (www.venturekick.ch), VI Partners (www.vipartners.ch)</t>
        </is>
      </c>
      <c r="BC38" s="193" t="inlineStr">
        <is>
          <t/>
        </is>
      </c>
      <c r="BD38" s="194" t="inlineStr">
        <is>
          <t/>
        </is>
      </c>
      <c r="BE38" s="195" t="inlineStr">
        <is>
          <t/>
        </is>
      </c>
      <c r="BF38" s="196" t="inlineStr">
        <is>
          <t>Fondation pour l'Innovation Technologique, Eidgenössische Stiftung zur Förderung schweizerischer Volkswirtschaft durch wissenschaftliche Forschung</t>
        </is>
      </c>
      <c r="BG38" s="197" t="inlineStr">
        <is>
          <t/>
        </is>
      </c>
      <c r="BH38" s="198" t="inlineStr">
        <is>
          <t/>
        </is>
      </c>
      <c r="BI38" s="199" t="inlineStr">
        <is>
          <t/>
        </is>
      </c>
      <c r="BJ38" s="200" t="inlineStr">
        <is>
          <t/>
        </is>
      </c>
      <c r="BK38" s="201" t="inlineStr">
        <is>
          <t/>
        </is>
      </c>
      <c r="BL38" s="202" t="inlineStr">
        <is>
          <t>Accelerator/Incubator</t>
        </is>
      </c>
      <c r="BM38" s="203" t="inlineStr">
        <is>
          <t/>
        </is>
      </c>
      <c r="BN38" s="204" t="inlineStr">
        <is>
          <t/>
        </is>
      </c>
      <c r="BO38" s="205" t="inlineStr">
        <is>
          <t>Other</t>
        </is>
      </c>
      <c r="BP38" s="206" t="inlineStr">
        <is>
          <t/>
        </is>
      </c>
      <c r="BQ38" s="207" t="inlineStr">
        <is>
          <t/>
        </is>
      </c>
      <c r="BR38" s="208" t="inlineStr">
        <is>
          <t/>
        </is>
      </c>
      <c r="BS38" s="209" t="inlineStr">
        <is>
          <t>Completed</t>
        </is>
      </c>
      <c r="BT38" s="210" t="n">
        <v>42983.0</v>
      </c>
      <c r="BU38" s="211" t="n">
        <v>7.72</v>
      </c>
      <c r="BV38" s="212" t="inlineStr">
        <is>
          <t>Actual</t>
        </is>
      </c>
      <c r="BW38" s="213" t="inlineStr">
        <is>
          <t/>
        </is>
      </c>
      <c r="BX38" s="214" t="inlineStr">
        <is>
          <t/>
        </is>
      </c>
      <c r="BY38" s="215" t="inlineStr">
        <is>
          <t>Early Stage VC</t>
        </is>
      </c>
      <c r="BZ38" s="216" t="inlineStr">
        <is>
          <t>Series B</t>
        </is>
      </c>
      <c r="CA38" s="217" t="inlineStr">
        <is>
          <t/>
        </is>
      </c>
      <c r="CB38" s="218" t="inlineStr">
        <is>
          <t>Venture Capital</t>
        </is>
      </c>
      <c r="CC38" s="219" t="inlineStr">
        <is>
          <t/>
        </is>
      </c>
      <c r="CD38" s="220" t="inlineStr">
        <is>
          <t/>
        </is>
      </c>
      <c r="CE38" s="221" t="inlineStr">
        <is>
          <t/>
        </is>
      </c>
      <c r="CF38" s="222" t="inlineStr">
        <is>
          <t>Completed</t>
        </is>
      </c>
      <c r="CG38" s="223" t="inlineStr">
        <is>
          <t>0,01%</t>
        </is>
      </c>
      <c r="CH38" s="224" t="inlineStr">
        <is>
          <t>64</t>
        </is>
      </c>
      <c r="CI38" s="225" t="inlineStr">
        <is>
          <t>0,00%</t>
        </is>
      </c>
      <c r="CJ38" s="226" t="inlineStr">
        <is>
          <t>0,00%</t>
        </is>
      </c>
      <c r="CK38" s="227" t="inlineStr">
        <is>
          <t>0,01%</t>
        </is>
      </c>
      <c r="CL38" s="228" t="inlineStr">
        <is>
          <t>79</t>
        </is>
      </c>
      <c r="CM38" s="229" t="inlineStr">
        <is>
          <t/>
        </is>
      </c>
      <c r="CN38" s="230" t="inlineStr">
        <is>
          <t/>
        </is>
      </c>
      <c r="CO38" s="231" t="inlineStr">
        <is>
          <t>0,03%</t>
        </is>
      </c>
      <c r="CP38" s="232" t="inlineStr">
        <is>
          <t>78</t>
        </is>
      </c>
      <c r="CQ38" s="233" t="inlineStr">
        <is>
          <t>0,00%</t>
        </is>
      </c>
      <c r="CR38" s="234" t="inlineStr">
        <is>
          <t>13</t>
        </is>
      </c>
      <c r="CS38" s="235" t="inlineStr">
        <is>
          <t/>
        </is>
      </c>
      <c r="CT38" s="236" t="inlineStr">
        <is>
          <t/>
        </is>
      </c>
      <c r="CU38" s="237" t="inlineStr">
        <is>
          <t/>
        </is>
      </c>
      <c r="CV38" s="238" t="inlineStr">
        <is>
          <t/>
        </is>
      </c>
      <c r="CW38" s="239" t="inlineStr">
        <is>
          <t>1,96x</t>
        </is>
      </c>
      <c r="CX38" s="240" t="inlineStr">
        <is>
          <t>64</t>
        </is>
      </c>
      <c r="CY38" s="241" t="inlineStr">
        <is>
          <t>0,03x</t>
        </is>
      </c>
      <c r="CZ38" s="242" t="inlineStr">
        <is>
          <t>1,60%</t>
        </is>
      </c>
      <c r="DA38" s="243" t="inlineStr">
        <is>
          <t>1,96x</t>
        </is>
      </c>
      <c r="DB38" s="244" t="inlineStr">
        <is>
          <t>66</t>
        </is>
      </c>
      <c r="DC38" s="245" t="inlineStr">
        <is>
          <t/>
        </is>
      </c>
      <c r="DD38" s="246" t="inlineStr">
        <is>
          <t/>
        </is>
      </c>
      <c r="DE38" s="247" t="inlineStr">
        <is>
          <t>1,64x</t>
        </is>
      </c>
      <c r="DF38" s="248" t="inlineStr">
        <is>
          <t>60</t>
        </is>
      </c>
      <c r="DG38" s="249" t="inlineStr">
        <is>
          <t>2,28x</t>
        </is>
      </c>
      <c r="DH38" s="250" t="inlineStr">
        <is>
          <t>66</t>
        </is>
      </c>
      <c r="DI38" s="251" t="inlineStr">
        <is>
          <t/>
        </is>
      </c>
      <c r="DJ38" s="252" t="inlineStr">
        <is>
          <t/>
        </is>
      </c>
      <c r="DK38" s="253" t="inlineStr">
        <is>
          <t/>
        </is>
      </c>
      <c r="DL38" s="254" t="inlineStr">
        <is>
          <t/>
        </is>
      </c>
      <c r="DM38" s="255" t="inlineStr">
        <is>
          <t>975</t>
        </is>
      </c>
      <c r="DN38" s="256" t="inlineStr">
        <is>
          <t>104</t>
        </is>
      </c>
      <c r="DO38" s="257" t="inlineStr">
        <is>
          <t>11,94%</t>
        </is>
      </c>
      <c r="DP38" s="258" t="inlineStr">
        <is>
          <t/>
        </is>
      </c>
      <c r="DQ38" s="259" t="inlineStr">
        <is>
          <t/>
        </is>
      </c>
      <c r="DR38" s="260" t="inlineStr">
        <is>
          <t/>
        </is>
      </c>
      <c r="DS38" s="261" t="inlineStr">
        <is>
          <t>82</t>
        </is>
      </c>
      <c r="DT38" s="262" t="inlineStr">
        <is>
          <t>1</t>
        </is>
      </c>
      <c r="DU38" s="263" t="inlineStr">
        <is>
          <t>1,23%</t>
        </is>
      </c>
      <c r="DV38" s="264" t="inlineStr">
        <is>
          <t/>
        </is>
      </c>
      <c r="DW38" s="265" t="inlineStr">
        <is>
          <t/>
        </is>
      </c>
      <c r="DX38" s="266" t="inlineStr">
        <is>
          <t/>
        </is>
      </c>
      <c r="DY38" s="267" t="inlineStr">
        <is>
          <t>PitchBook Research</t>
        </is>
      </c>
      <c r="DZ38" s="786">
        <f>HYPERLINK("https://my.pitchbook.com?c=61586-92", "View company online")</f>
      </c>
    </row>
    <row r="39">
      <c r="A39" s="9" t="inlineStr">
        <is>
          <t>57414-43</t>
        </is>
      </c>
      <c r="B39" s="10" t="inlineStr">
        <is>
          <t>Amarenco</t>
        </is>
      </c>
      <c r="C39" s="11" t="inlineStr">
        <is>
          <t/>
        </is>
      </c>
      <c r="D39" s="12" t="inlineStr">
        <is>
          <t/>
        </is>
      </c>
      <c r="E39" s="13" t="inlineStr">
        <is>
          <t>57414-43</t>
        </is>
      </c>
      <c r="F39" s="14" t="inlineStr">
        <is>
          <t>Operator of an solar investment platform intended to provide opportunity to harvest solar energy. The company's solar investment platform builds and operates solar Photo Voltaic power plants to landowners, project developers, businesses and investors who want to harvest the benefit of renewable energy.</t>
        </is>
      </c>
      <c r="G39" s="15" t="inlineStr">
        <is>
          <t>Energy</t>
        </is>
      </c>
      <c r="H39" s="16" t="inlineStr">
        <is>
          <t>Energy Equipment</t>
        </is>
      </c>
      <c r="I39" s="17" t="inlineStr">
        <is>
          <t>Alternative Energy Equipment</t>
        </is>
      </c>
      <c r="J39" s="18" t="inlineStr">
        <is>
          <t>Alternative Energy Equipment*; Other Energy Services</t>
        </is>
      </c>
      <c r="K39" s="19" t="inlineStr">
        <is>
          <t>CleanTech</t>
        </is>
      </c>
      <c r="L39" s="20" t="inlineStr">
        <is>
          <t>Venture Capital-Backed</t>
        </is>
      </c>
      <c r="M39" s="21" t="n">
        <v>7.0</v>
      </c>
      <c r="N39" s="22" t="inlineStr">
        <is>
          <t>Generating Revenue</t>
        </is>
      </c>
      <c r="O39" s="23" t="inlineStr">
        <is>
          <t>Privately Held (backing)</t>
        </is>
      </c>
      <c r="P39" s="24" t="inlineStr">
        <is>
          <t>Venture Capital</t>
        </is>
      </c>
      <c r="Q39" s="25" t="inlineStr">
        <is>
          <t>www.amarencosolar.com</t>
        </is>
      </c>
      <c r="R39" s="26" t="inlineStr">
        <is>
          <t/>
        </is>
      </c>
      <c r="S39" s="27" t="inlineStr">
        <is>
          <t/>
        </is>
      </c>
      <c r="T39" s="28" t="inlineStr">
        <is>
          <t/>
        </is>
      </c>
      <c r="U39" s="29" t="n">
        <v>2013.0</v>
      </c>
      <c r="V39" s="30" t="inlineStr">
        <is>
          <t/>
        </is>
      </c>
      <c r="W39" s="31" t="inlineStr">
        <is>
          <t/>
        </is>
      </c>
      <c r="X39" s="32" t="inlineStr">
        <is>
          <t/>
        </is>
      </c>
      <c r="Y39" s="33" t="inlineStr">
        <is>
          <t/>
        </is>
      </c>
      <c r="Z39" s="34" t="inlineStr">
        <is>
          <t/>
        </is>
      </c>
      <c r="AA39" s="35" t="inlineStr">
        <is>
          <t/>
        </is>
      </c>
      <c r="AB39" s="36" t="inlineStr">
        <is>
          <t/>
        </is>
      </c>
      <c r="AC39" s="37" t="inlineStr">
        <is>
          <t/>
        </is>
      </c>
      <c r="AD39" s="38" t="inlineStr">
        <is>
          <t/>
        </is>
      </c>
      <c r="AE39" s="39" t="inlineStr">
        <is>
          <t>168594-04P</t>
        </is>
      </c>
      <c r="AF39" s="40" t="inlineStr">
        <is>
          <t>Aoife Brew</t>
        </is>
      </c>
      <c r="AG39" s="41" t="inlineStr">
        <is>
          <t>Head, Finance</t>
        </is>
      </c>
      <c r="AH39" s="42" t="inlineStr">
        <is>
          <t/>
        </is>
      </c>
      <c r="AI39" s="43" t="inlineStr">
        <is>
          <t>+353 (0)21 235 5353</t>
        </is>
      </c>
      <c r="AJ39" s="44" t="inlineStr">
        <is>
          <t>Cork, Ireland</t>
        </is>
      </c>
      <c r="AK39" s="45" t="inlineStr">
        <is>
          <t>11 Anglesea Street</t>
        </is>
      </c>
      <c r="AL39" s="46" t="inlineStr">
        <is>
          <t/>
        </is>
      </c>
      <c r="AM39" s="47" t="inlineStr">
        <is>
          <t>Cork</t>
        </is>
      </c>
      <c r="AN39" s="48" t="inlineStr">
        <is>
          <t/>
        </is>
      </c>
      <c r="AO39" s="49" t="inlineStr">
        <is>
          <t/>
        </is>
      </c>
      <c r="AP39" s="50" t="inlineStr">
        <is>
          <t>Ireland</t>
        </is>
      </c>
      <c r="AQ39" s="51" t="inlineStr">
        <is>
          <t>+353 (0)21 235 5353</t>
        </is>
      </c>
      <c r="AR39" s="52" t="inlineStr">
        <is>
          <t/>
        </is>
      </c>
      <c r="AS39" s="53" t="inlineStr">
        <is>
          <t>info@amarencosolar.com</t>
        </is>
      </c>
      <c r="AT39" s="54" t="inlineStr">
        <is>
          <t>Europe</t>
        </is>
      </c>
      <c r="AU39" s="55" t="inlineStr">
        <is>
          <t>Western Europe</t>
        </is>
      </c>
      <c r="AV39" s="56" t="inlineStr">
        <is>
          <t>The company raised EUR 7 million of venture funding from Irish Venture Capital Association and Oyster Capital on February 12, 2017.</t>
        </is>
      </c>
      <c r="AW39" s="57" t="inlineStr">
        <is>
          <t>Irish Venture Capital Association, Oyster Capital</t>
        </is>
      </c>
      <c r="AX39" s="58" t="n">
        <v>2.0</v>
      </c>
      <c r="AY39" s="59" t="inlineStr">
        <is>
          <t/>
        </is>
      </c>
      <c r="AZ39" s="60" t="inlineStr">
        <is>
          <t/>
        </is>
      </c>
      <c r="BA39" s="61" t="inlineStr">
        <is>
          <t/>
        </is>
      </c>
      <c r="BB39" s="62" t="inlineStr">
        <is>
          <t>Irish Venture Capital Association (www.ivca.ie), Oyster Capital (www.oystercp.com)</t>
        </is>
      </c>
      <c r="BC39" s="63" t="inlineStr">
        <is>
          <t/>
        </is>
      </c>
      <c r="BD39" s="64" t="inlineStr">
        <is>
          <t/>
        </is>
      </c>
      <c r="BE39" s="65" t="inlineStr">
        <is>
          <t/>
        </is>
      </c>
      <c r="BF39" s="66" t="inlineStr">
        <is>
          <t/>
        </is>
      </c>
      <c r="BG39" s="67" t="n">
        <v>42778.0</v>
      </c>
      <c r="BH39" s="68" t="n">
        <v>7.0</v>
      </c>
      <c r="BI39" s="69" t="inlineStr">
        <is>
          <t>Actual</t>
        </is>
      </c>
      <c r="BJ39" s="70" t="inlineStr">
        <is>
          <t/>
        </is>
      </c>
      <c r="BK39" s="71" t="inlineStr">
        <is>
          <t/>
        </is>
      </c>
      <c r="BL39" s="72" t="inlineStr">
        <is>
          <t>Early Stage VC</t>
        </is>
      </c>
      <c r="BM39" s="73" t="inlineStr">
        <is>
          <t/>
        </is>
      </c>
      <c r="BN39" s="74" t="inlineStr">
        <is>
          <t/>
        </is>
      </c>
      <c r="BO39" s="75" t="inlineStr">
        <is>
          <t>Venture Capital</t>
        </is>
      </c>
      <c r="BP39" s="76" t="inlineStr">
        <is>
          <t/>
        </is>
      </c>
      <c r="BQ39" s="77" t="inlineStr">
        <is>
          <t/>
        </is>
      </c>
      <c r="BR39" s="78" t="inlineStr">
        <is>
          <t/>
        </is>
      </c>
      <c r="BS39" s="79" t="inlineStr">
        <is>
          <t>Completed</t>
        </is>
      </c>
      <c r="BT39" s="80" t="n">
        <v>42778.0</v>
      </c>
      <c r="BU39" s="81" t="n">
        <v>7.0</v>
      </c>
      <c r="BV39" s="82" t="inlineStr">
        <is>
          <t>Actual</t>
        </is>
      </c>
      <c r="BW39" s="83" t="inlineStr">
        <is>
          <t/>
        </is>
      </c>
      <c r="BX39" s="84" t="inlineStr">
        <is>
          <t/>
        </is>
      </c>
      <c r="BY39" s="85" t="inlineStr">
        <is>
          <t>Early Stage VC</t>
        </is>
      </c>
      <c r="BZ39" s="86" t="inlineStr">
        <is>
          <t/>
        </is>
      </c>
      <c r="CA39" s="87" t="inlineStr">
        <is>
          <t/>
        </is>
      </c>
      <c r="CB39" s="88" t="inlineStr">
        <is>
          <t>Venture Capital</t>
        </is>
      </c>
      <c r="CC39" s="89" t="inlineStr">
        <is>
          <t/>
        </is>
      </c>
      <c r="CD39" s="90" t="inlineStr">
        <is>
          <t/>
        </is>
      </c>
      <c r="CE39" s="91" t="inlineStr">
        <is>
          <t/>
        </is>
      </c>
      <c r="CF39" s="92" t="inlineStr">
        <is>
          <t>Completed</t>
        </is>
      </c>
      <c r="CG39" s="93" t="inlineStr">
        <is>
          <t/>
        </is>
      </c>
      <c r="CH39" s="94" t="inlineStr">
        <is>
          <t/>
        </is>
      </c>
      <c r="CI39" s="95" t="inlineStr">
        <is>
          <t/>
        </is>
      </c>
      <c r="CJ39" s="96" t="inlineStr">
        <is>
          <t/>
        </is>
      </c>
      <c r="CK39" s="97" t="inlineStr">
        <is>
          <t/>
        </is>
      </c>
      <c r="CL39" s="98" t="inlineStr">
        <is>
          <t/>
        </is>
      </c>
      <c r="CM39" s="99" t="inlineStr">
        <is>
          <t/>
        </is>
      </c>
      <c r="CN39" s="100" t="inlineStr">
        <is>
          <t/>
        </is>
      </c>
      <c r="CO39" s="101" t="inlineStr">
        <is>
          <t/>
        </is>
      </c>
      <c r="CP39" s="102" t="inlineStr">
        <is>
          <t/>
        </is>
      </c>
      <c r="CQ39" s="103" t="inlineStr">
        <is>
          <t/>
        </is>
      </c>
      <c r="CR39" s="104" t="inlineStr">
        <is>
          <t/>
        </is>
      </c>
      <c r="CS39" s="105" t="inlineStr">
        <is>
          <t/>
        </is>
      </c>
      <c r="CT39" s="106" t="inlineStr">
        <is>
          <t/>
        </is>
      </c>
      <c r="CU39" s="107" t="inlineStr">
        <is>
          <t/>
        </is>
      </c>
      <c r="CV39" s="108" t="inlineStr">
        <is>
          <t/>
        </is>
      </c>
      <c r="CW39" s="109" t="inlineStr">
        <is>
          <t/>
        </is>
      </c>
      <c r="CX39" s="110" t="inlineStr">
        <is>
          <t/>
        </is>
      </c>
      <c r="CY39" s="111" t="inlineStr">
        <is>
          <t/>
        </is>
      </c>
      <c r="CZ39" s="112" t="inlineStr">
        <is>
          <t/>
        </is>
      </c>
      <c r="DA39" s="113" t="inlineStr">
        <is>
          <t/>
        </is>
      </c>
      <c r="DB39" s="114" t="inlineStr">
        <is>
          <t/>
        </is>
      </c>
      <c r="DC39" s="115" t="inlineStr">
        <is>
          <t/>
        </is>
      </c>
      <c r="DD39" s="116" t="inlineStr">
        <is>
          <t/>
        </is>
      </c>
      <c r="DE39" s="117" t="inlineStr">
        <is>
          <t/>
        </is>
      </c>
      <c r="DF39" s="118" t="inlineStr">
        <is>
          <t/>
        </is>
      </c>
      <c r="DG39" s="119" t="inlineStr">
        <is>
          <t/>
        </is>
      </c>
      <c r="DH39" s="120" t="inlineStr">
        <is>
          <t/>
        </is>
      </c>
      <c r="DI39" s="121" t="inlineStr">
        <is>
          <t/>
        </is>
      </c>
      <c r="DJ39" s="122" t="inlineStr">
        <is>
          <t/>
        </is>
      </c>
      <c r="DK39" s="123" t="inlineStr">
        <is>
          <t/>
        </is>
      </c>
      <c r="DL39" s="124" t="inlineStr">
        <is>
          <t/>
        </is>
      </c>
      <c r="DM39" s="125" t="inlineStr">
        <is>
          <t/>
        </is>
      </c>
      <c r="DN39" s="126" t="inlineStr">
        <is>
          <t/>
        </is>
      </c>
      <c r="DO39" s="127" t="inlineStr">
        <is>
          <t/>
        </is>
      </c>
      <c r="DP39" s="128" t="inlineStr">
        <is>
          <t/>
        </is>
      </c>
      <c r="DQ39" s="129" t="inlineStr">
        <is>
          <t/>
        </is>
      </c>
      <c r="DR39" s="130" t="inlineStr">
        <is>
          <t/>
        </is>
      </c>
      <c r="DS39" s="131" t="inlineStr">
        <is>
          <t/>
        </is>
      </c>
      <c r="DT39" s="132" t="inlineStr">
        <is>
          <t/>
        </is>
      </c>
      <c r="DU39" s="133" t="inlineStr">
        <is>
          <t/>
        </is>
      </c>
      <c r="DV39" s="134" t="inlineStr">
        <is>
          <t/>
        </is>
      </c>
      <c r="DW39" s="135" t="inlineStr">
        <is>
          <t/>
        </is>
      </c>
      <c r="DX39" s="136" t="inlineStr">
        <is>
          <t/>
        </is>
      </c>
      <c r="DY39" s="137" t="inlineStr">
        <is>
          <t>PitchBook Research</t>
        </is>
      </c>
      <c r="DZ39" s="785">
        <f>HYPERLINK("https://my.pitchbook.com?c=57414-43", "View company online")</f>
      </c>
    </row>
    <row r="40">
      <c r="A40" s="139" t="inlineStr">
        <is>
          <t>57084-13</t>
        </is>
      </c>
      <c r="B40" s="140" t="inlineStr">
        <is>
          <t>amcure</t>
        </is>
      </c>
      <c r="C40" s="141" t="inlineStr">
        <is>
          <t/>
        </is>
      </c>
      <c r="D40" s="142" t="inlineStr">
        <is>
          <t/>
        </is>
      </c>
      <c r="E40" s="143" t="inlineStr">
        <is>
          <t>57084-13</t>
        </is>
      </c>
      <c r="F40" s="144" t="inlineStr">
        <is>
          <t>Developer of medical compounds intended for the treatment of highly metastatic forms of cancer. The company's medical compounds include advanced development candidate, AMC303 uses peptide-based compounds that target one highly specific co-receptor, CD44v6, which blocks several relevant oncological pathways (VEGF/VEGFR-2, HGF/c-Met and MSP/RON) involved in tumor growth, angiogenesis and the development and regression of metastases, enabling doctors to help in the treatment of pancreatic cancer, head cancer, neck cancer, gastric cancer, colorectal cancer, breast cancer and lung cancer.</t>
        </is>
      </c>
      <c r="G40" s="145" t="inlineStr">
        <is>
          <t>Healthcare</t>
        </is>
      </c>
      <c r="H40" s="146" t="inlineStr">
        <is>
          <t>Pharmaceuticals and Biotechnology</t>
        </is>
      </c>
      <c r="I40" s="147" t="inlineStr">
        <is>
          <t>Drug Discovery</t>
        </is>
      </c>
      <c r="J40" s="148" t="inlineStr">
        <is>
          <t>Drug Discovery*; Biotechnology</t>
        </is>
      </c>
      <c r="K40" s="149" t="inlineStr">
        <is>
          <t>Life Sciences, Oncology</t>
        </is>
      </c>
      <c r="L40" s="150" t="inlineStr">
        <is>
          <t>Venture Capital-Backed</t>
        </is>
      </c>
      <c r="M40" s="151" t="n">
        <v>23.0</v>
      </c>
      <c r="N40" s="152" t="inlineStr">
        <is>
          <t>Startup</t>
        </is>
      </c>
      <c r="O40" s="153" t="inlineStr">
        <is>
          <t>Privately Held (backing)</t>
        </is>
      </c>
      <c r="P40" s="154" t="inlineStr">
        <is>
          <t>Venture Capital</t>
        </is>
      </c>
      <c r="Q40" s="155" t="inlineStr">
        <is>
          <t>www.amcure.com</t>
        </is>
      </c>
      <c r="R40" s="156" t="n">
        <v>5.0</v>
      </c>
      <c r="S40" s="157" t="inlineStr">
        <is>
          <t/>
        </is>
      </c>
      <c r="T40" s="158" t="inlineStr">
        <is>
          <t/>
        </is>
      </c>
      <c r="U40" s="159" t="n">
        <v>2012.0</v>
      </c>
      <c r="V40" s="160" t="inlineStr">
        <is>
          <t/>
        </is>
      </c>
      <c r="W40" s="161" t="inlineStr">
        <is>
          <t/>
        </is>
      </c>
      <c r="X40" s="162" t="inlineStr">
        <is>
          <t/>
        </is>
      </c>
      <c r="Y40" s="163" t="inlineStr">
        <is>
          <t/>
        </is>
      </c>
      <c r="Z40" s="164" t="inlineStr">
        <is>
          <t/>
        </is>
      </c>
      <c r="AA40" s="165" t="inlineStr">
        <is>
          <t/>
        </is>
      </c>
      <c r="AB40" s="166" t="inlineStr">
        <is>
          <t/>
        </is>
      </c>
      <c r="AC40" s="167" t="inlineStr">
        <is>
          <t/>
        </is>
      </c>
      <c r="AD40" s="168" t="inlineStr">
        <is>
          <t/>
        </is>
      </c>
      <c r="AE40" s="169" t="inlineStr">
        <is>
          <t>49665-34P</t>
        </is>
      </c>
      <c r="AF40" s="170" t="inlineStr">
        <is>
          <t>Matthias Klaften</t>
        </is>
      </c>
      <c r="AG40" s="171" t="inlineStr">
        <is>
          <t>Chief Operating Officer, Chief Financial Officer &amp; Co-Founder</t>
        </is>
      </c>
      <c r="AH40" s="172" t="inlineStr">
        <is>
          <t>matthias.klaften@amcure.com</t>
        </is>
      </c>
      <c r="AI40" s="173" t="inlineStr">
        <is>
          <t>+49 (0)72 4793 4249 0</t>
        </is>
      </c>
      <c r="AJ40" s="174" t="inlineStr">
        <is>
          <t>Eggenstein-Leopoldshafen, Germany</t>
        </is>
      </c>
      <c r="AK40" s="175" t="inlineStr">
        <is>
          <t>Herrmann-von-Helmholtz-Platz 1</t>
        </is>
      </c>
      <c r="AL40" s="176" t="inlineStr">
        <is>
          <t/>
        </is>
      </c>
      <c r="AM40" s="177" t="inlineStr">
        <is>
          <t>Eggenstein-Leopoldshafen</t>
        </is>
      </c>
      <c r="AN40" s="178" t="inlineStr">
        <is>
          <t/>
        </is>
      </c>
      <c r="AO40" s="179" t="inlineStr">
        <is>
          <t>76344</t>
        </is>
      </c>
      <c r="AP40" s="180" t="inlineStr">
        <is>
          <t>Germany</t>
        </is>
      </c>
      <c r="AQ40" s="181" t="inlineStr">
        <is>
          <t>+49 (0)72 4793 4249 0</t>
        </is>
      </c>
      <c r="AR40" s="182" t="inlineStr">
        <is>
          <t>+49 (0)72 4793 4249 9</t>
        </is>
      </c>
      <c r="AS40" s="183" t="inlineStr">
        <is>
          <t>matthias.klaften@amcure.com</t>
        </is>
      </c>
      <c r="AT40" s="184" t="inlineStr">
        <is>
          <t>Europe</t>
        </is>
      </c>
      <c r="AU40" s="185" t="inlineStr">
        <is>
          <t>Western Europe</t>
        </is>
      </c>
      <c r="AV40" s="186" t="inlineStr">
        <is>
          <t>The company raised EUR 6 million of Series B venture funding in a deal led by LBBW Venture Capital on December 14, 2016. Kreditanstalt Fur Wiederaufbau, Karlsruhe Institute of Technology, Mittelständische Beteiligungsgesellschaft Baden-Württemberg, S-Kap Beteiligungen Pforzheim and other undisclosed investors also participated in the round. The company will use the funds to continue and accelerate the clinical development of amcure's lead product candidate, AMC303, for treating metastasizing solid tumors. AMC303 has been developed to target CD44v6, a key extracellular molecule in molecular pathways of several receptor-tyrosine-kinases.</t>
        </is>
      </c>
      <c r="AW40" s="187" t="inlineStr">
        <is>
          <t>BioM, German Ministry of Education and Research, Karlsruhe Institute of Technology, KfW Bankengruppe, LBBW Venture Capital, Mittelständische Beteiligungsgesellschaft Baden-Württemberg, S-Kap Beteiligungen Pforzheim</t>
        </is>
      </c>
      <c r="AX40" s="188" t="n">
        <v>7.0</v>
      </c>
      <c r="AY40" s="189" t="inlineStr">
        <is>
          <t/>
        </is>
      </c>
      <c r="AZ40" s="190" t="inlineStr">
        <is>
          <t/>
        </is>
      </c>
      <c r="BA40" s="191" t="inlineStr">
        <is>
          <t/>
        </is>
      </c>
      <c r="BB40" s="192" t="inlineStr">
        <is>
          <t>BioM (www.bio-m.org), KfW Bankengruppe (www.kfw.de), LBBW Venture Capital (www.lbbw-venture.de), Mittelständische Beteiligungsgesellschaft Baden-Württemberg (www.mbg.de)</t>
        </is>
      </c>
      <c r="BC40" s="193" t="inlineStr">
        <is>
          <t/>
        </is>
      </c>
      <c r="BD40" s="194" t="inlineStr">
        <is>
          <t/>
        </is>
      </c>
      <c r="BE40" s="195" t="inlineStr">
        <is>
          <t/>
        </is>
      </c>
      <c r="BF40" s="196" t="inlineStr">
        <is>
          <t/>
        </is>
      </c>
      <c r="BG40" s="197" t="inlineStr">
        <is>
          <t/>
        </is>
      </c>
      <c r="BH40" s="198" t="n">
        <v>4.0</v>
      </c>
      <c r="BI40" s="199" t="inlineStr">
        <is>
          <t>Actual</t>
        </is>
      </c>
      <c r="BJ40" s="200" t="inlineStr">
        <is>
          <t/>
        </is>
      </c>
      <c r="BK40" s="201" t="inlineStr">
        <is>
          <t/>
        </is>
      </c>
      <c r="BL40" s="202" t="inlineStr">
        <is>
          <t>Early Stage VC</t>
        </is>
      </c>
      <c r="BM40" s="203" t="inlineStr">
        <is>
          <t/>
        </is>
      </c>
      <c r="BN40" s="204" t="inlineStr">
        <is>
          <t/>
        </is>
      </c>
      <c r="BO40" s="205" t="inlineStr">
        <is>
          <t>Venture Capital</t>
        </is>
      </c>
      <c r="BP40" s="206" t="inlineStr">
        <is>
          <t/>
        </is>
      </c>
      <c r="BQ40" s="207" t="inlineStr">
        <is>
          <t/>
        </is>
      </c>
      <c r="BR40" s="208" t="inlineStr">
        <is>
          <t/>
        </is>
      </c>
      <c r="BS40" s="209" t="inlineStr">
        <is>
          <t>Completed</t>
        </is>
      </c>
      <c r="BT40" s="210" t="n">
        <v>42978.0</v>
      </c>
      <c r="BU40" s="211" t="n">
        <v>1.75</v>
      </c>
      <c r="BV40" s="212" t="inlineStr">
        <is>
          <t>Actual</t>
        </is>
      </c>
      <c r="BW40" s="213" t="inlineStr">
        <is>
          <t/>
        </is>
      </c>
      <c r="BX40" s="214" t="inlineStr">
        <is>
          <t/>
        </is>
      </c>
      <c r="BY40" s="215" t="inlineStr">
        <is>
          <t>Grant</t>
        </is>
      </c>
      <c r="BZ40" s="216" t="inlineStr">
        <is>
          <t/>
        </is>
      </c>
      <c r="CA40" s="217" t="inlineStr">
        <is>
          <t/>
        </is>
      </c>
      <c r="CB40" s="218" t="inlineStr">
        <is>
          <t>Other</t>
        </is>
      </c>
      <c r="CC40" s="219" t="inlineStr">
        <is>
          <t/>
        </is>
      </c>
      <c r="CD40" s="220" t="inlineStr">
        <is>
          <t/>
        </is>
      </c>
      <c r="CE40" s="221" t="inlineStr">
        <is>
          <t/>
        </is>
      </c>
      <c r="CF40" s="222" t="inlineStr">
        <is>
          <t>Completed</t>
        </is>
      </c>
      <c r="CG40" s="223" t="inlineStr">
        <is>
          <t>0,00%</t>
        </is>
      </c>
      <c r="CH40" s="224" t="inlineStr">
        <is>
          <t>23</t>
        </is>
      </c>
      <c r="CI40" s="225" t="inlineStr">
        <is>
          <t>0,00%</t>
        </is>
      </c>
      <c r="CJ40" s="226" t="inlineStr">
        <is>
          <t>0,00%</t>
        </is>
      </c>
      <c r="CK40" s="227" t="inlineStr">
        <is>
          <t>0,00%</t>
        </is>
      </c>
      <c r="CL40" s="228" t="inlineStr">
        <is>
          <t>18</t>
        </is>
      </c>
      <c r="CM40" s="229" t="inlineStr">
        <is>
          <t/>
        </is>
      </c>
      <c r="CN40" s="230" t="inlineStr">
        <is>
          <t/>
        </is>
      </c>
      <c r="CO40" s="231" t="inlineStr">
        <is>
          <t>0,00%</t>
        </is>
      </c>
      <c r="CP40" s="232" t="inlineStr">
        <is>
          <t>26</t>
        </is>
      </c>
      <c r="CQ40" s="233" t="inlineStr">
        <is>
          <t>0,00%</t>
        </is>
      </c>
      <c r="CR40" s="234" t="inlineStr">
        <is>
          <t>13</t>
        </is>
      </c>
      <c r="CS40" s="235" t="inlineStr">
        <is>
          <t/>
        </is>
      </c>
      <c r="CT40" s="236" t="inlineStr">
        <is>
          <t/>
        </is>
      </c>
      <c r="CU40" s="237" t="inlineStr">
        <is>
          <t/>
        </is>
      </c>
      <c r="CV40" s="238" t="inlineStr">
        <is>
          <t/>
        </is>
      </c>
      <c r="CW40" s="239" t="inlineStr">
        <is>
          <t>0,31x</t>
        </is>
      </c>
      <c r="CX40" s="240" t="inlineStr">
        <is>
          <t>24</t>
        </is>
      </c>
      <c r="CY40" s="241" t="inlineStr">
        <is>
          <t>0,02x</t>
        </is>
      </c>
      <c r="CZ40" s="242" t="inlineStr">
        <is>
          <t>7,44%</t>
        </is>
      </c>
      <c r="DA40" s="243" t="inlineStr">
        <is>
          <t>0,31x</t>
        </is>
      </c>
      <c r="DB40" s="244" t="inlineStr">
        <is>
          <t>26</t>
        </is>
      </c>
      <c r="DC40" s="245" t="inlineStr">
        <is>
          <t/>
        </is>
      </c>
      <c r="DD40" s="246" t="inlineStr">
        <is>
          <t/>
        </is>
      </c>
      <c r="DE40" s="247" t="inlineStr">
        <is>
          <t>0,02x</t>
        </is>
      </c>
      <c r="DF40" s="248" t="inlineStr">
        <is>
          <t>4</t>
        </is>
      </c>
      <c r="DG40" s="249" t="inlineStr">
        <is>
          <t>0,61x</t>
        </is>
      </c>
      <c r="DH40" s="250" t="inlineStr">
        <is>
          <t>40</t>
        </is>
      </c>
      <c r="DI40" s="251" t="inlineStr">
        <is>
          <t/>
        </is>
      </c>
      <c r="DJ40" s="252" t="inlineStr">
        <is>
          <t/>
        </is>
      </c>
      <c r="DK40" s="253" t="inlineStr">
        <is>
          <t/>
        </is>
      </c>
      <c r="DL40" s="254" t="inlineStr">
        <is>
          <t/>
        </is>
      </c>
      <c r="DM40" s="255" t="inlineStr">
        <is>
          <t>26</t>
        </is>
      </c>
      <c r="DN40" s="256" t="inlineStr">
        <is>
          <t>-70</t>
        </is>
      </c>
      <c r="DO40" s="257" t="inlineStr">
        <is>
          <t>-72,92%</t>
        </is>
      </c>
      <c r="DP40" s="258" t="inlineStr">
        <is>
          <t/>
        </is>
      </c>
      <c r="DQ40" s="259" t="inlineStr">
        <is>
          <t/>
        </is>
      </c>
      <c r="DR40" s="260" t="inlineStr">
        <is>
          <t/>
        </is>
      </c>
      <c r="DS40" s="261" t="inlineStr">
        <is>
          <t>21</t>
        </is>
      </c>
      <c r="DT40" s="262" t="inlineStr">
        <is>
          <t>0</t>
        </is>
      </c>
      <c r="DU40" s="263" t="inlineStr">
        <is>
          <t>0,00%</t>
        </is>
      </c>
      <c r="DV40" s="264" t="inlineStr">
        <is>
          <t/>
        </is>
      </c>
      <c r="DW40" s="265" t="inlineStr">
        <is>
          <t/>
        </is>
      </c>
      <c r="DX40" s="266" t="inlineStr">
        <is>
          <t/>
        </is>
      </c>
      <c r="DY40" s="267" t="inlineStr">
        <is>
          <t>PitchBook Research</t>
        </is>
      </c>
      <c r="DZ40" s="786">
        <f>HYPERLINK("https://my.pitchbook.com?c=57084-13", "View company online")</f>
      </c>
    </row>
    <row r="41">
      <c r="A41" s="9" t="inlineStr">
        <is>
          <t>172224-46</t>
        </is>
      </c>
      <c r="B41" s="10" t="inlineStr">
        <is>
          <t>Anaconda BioMed</t>
        </is>
      </c>
      <c r="C41" s="11" t="inlineStr">
        <is>
          <t/>
        </is>
      </c>
      <c r="D41" s="12" t="inlineStr">
        <is>
          <t/>
        </is>
      </c>
      <c r="E41" s="13" t="inlineStr">
        <is>
          <t>172224-46</t>
        </is>
      </c>
      <c r="F41" s="14" t="inlineStr">
        <is>
          <t>Developer of neuro-thrombectomy systems intended to be used for the treatment of Acute Ischemic Stroke (AIS). The company's neuro-thrombectomy systems are next generation of catheters to perform safely and efficiently mechanical thrombectomies, enabling patients to get an instant cure from stroke and reduce the chances of fatality.</t>
        </is>
      </c>
      <c r="G41" s="15" t="inlineStr">
        <is>
          <t>Healthcare</t>
        </is>
      </c>
      <c r="H41" s="16" t="inlineStr">
        <is>
          <t>Healthcare Devices and Supplies</t>
        </is>
      </c>
      <c r="I41" s="17" t="inlineStr">
        <is>
          <t>Therapeutic Devices</t>
        </is>
      </c>
      <c r="J41" s="18" t="inlineStr">
        <is>
          <t>Therapeutic Devices*; Discovery Tools (Healthcare)</t>
        </is>
      </c>
      <c r="K41" s="19" t="inlineStr">
        <is>
          <t/>
        </is>
      </c>
      <c r="L41" s="20" t="inlineStr">
        <is>
          <t>Venture Capital-Backed</t>
        </is>
      </c>
      <c r="M41" s="21" t="n">
        <v>13.58</v>
      </c>
      <c r="N41" s="22" t="inlineStr">
        <is>
          <t>Startup</t>
        </is>
      </c>
      <c r="O41" s="23" t="inlineStr">
        <is>
          <t>Privately Held (backing)</t>
        </is>
      </c>
      <c r="P41" s="24" t="inlineStr">
        <is>
          <t>Venture Capital</t>
        </is>
      </c>
      <c r="Q41" s="25" t="inlineStr">
        <is>
          <t>www.anaconda.bio</t>
        </is>
      </c>
      <c r="R41" s="26" t="inlineStr">
        <is>
          <t/>
        </is>
      </c>
      <c r="S41" s="27" t="inlineStr">
        <is>
          <t/>
        </is>
      </c>
      <c r="T41" s="28" t="inlineStr">
        <is>
          <t/>
        </is>
      </c>
      <c r="U41" s="29" t="n">
        <v>2015.0</v>
      </c>
      <c r="V41" s="30" t="inlineStr">
        <is>
          <t/>
        </is>
      </c>
      <c r="W41" s="31" t="inlineStr">
        <is>
          <t/>
        </is>
      </c>
      <c r="X41" s="32" t="inlineStr">
        <is>
          <t/>
        </is>
      </c>
      <c r="Y41" s="33" t="inlineStr">
        <is>
          <t/>
        </is>
      </c>
      <c r="Z41" s="34" t="inlineStr">
        <is>
          <t/>
        </is>
      </c>
      <c r="AA41" s="35" t="inlineStr">
        <is>
          <t/>
        </is>
      </c>
      <c r="AB41" s="36" t="inlineStr">
        <is>
          <t/>
        </is>
      </c>
      <c r="AC41" s="37" t="inlineStr">
        <is>
          <t/>
        </is>
      </c>
      <c r="AD41" s="38" t="inlineStr">
        <is>
          <t/>
        </is>
      </c>
      <c r="AE41" s="39" t="inlineStr">
        <is>
          <t>163609-75P</t>
        </is>
      </c>
      <c r="AF41" s="40" t="inlineStr">
        <is>
          <t>Ofir Arad</t>
        </is>
      </c>
      <c r="AG41" s="41" t="inlineStr">
        <is>
          <t>Co-Founder &amp; Chief Executive Officer</t>
        </is>
      </c>
      <c r="AH41" s="42" t="inlineStr">
        <is>
          <t>ofir.arad@anaconda.bio</t>
        </is>
      </c>
      <c r="AI41" s="43" t="inlineStr">
        <is>
          <t>+34 93 639 7710</t>
        </is>
      </c>
      <c r="AJ41" s="44" t="inlineStr">
        <is>
          <t>Barcelona, Spain</t>
        </is>
      </c>
      <c r="AK41" s="45" t="inlineStr">
        <is>
          <t>Plaça Catalonia 1</t>
        </is>
      </c>
      <c r="AL41" s="46" t="inlineStr">
        <is>
          <t>4th floor</t>
        </is>
      </c>
      <c r="AM41" s="47" t="inlineStr">
        <is>
          <t>Barcelona</t>
        </is>
      </c>
      <c r="AN41" s="48" t="inlineStr">
        <is>
          <t/>
        </is>
      </c>
      <c r="AO41" s="49" t="inlineStr">
        <is>
          <t>08002</t>
        </is>
      </c>
      <c r="AP41" s="50" t="inlineStr">
        <is>
          <t>Spain</t>
        </is>
      </c>
      <c r="AQ41" s="51" t="inlineStr">
        <is>
          <t>+34 93 639 7710</t>
        </is>
      </c>
      <c r="AR41" s="52" t="inlineStr">
        <is>
          <t/>
        </is>
      </c>
      <c r="AS41" s="53" t="inlineStr">
        <is>
          <t>info@anaconda.bio</t>
        </is>
      </c>
      <c r="AT41" s="54" t="inlineStr">
        <is>
          <t>Europe</t>
        </is>
      </c>
      <c r="AU41" s="55" t="inlineStr">
        <is>
          <t>Southern Europe</t>
        </is>
      </c>
      <c r="AV41" s="56" t="inlineStr">
        <is>
          <t>The company raised $17 million of Series A venture funding in a deal led by Banco Sabadell Foundation, Innogest, Omega Funds and Ysios Capital Partners on May 23, 2017. Other undisclosed investors also participated in the round. The company will use the funding to substantially progress the development of their ANCD BRAIN device, including the validation and verification process, clinical studies to support the initial commercialization of ANCD BRAIN in Europe and an initial submission to FDA.</t>
        </is>
      </c>
      <c r="AW41" s="57" t="inlineStr">
        <is>
          <t>Banco Sabadell Foundation, Innogest, Omega Funds, Ysios Capital</t>
        </is>
      </c>
      <c r="AX41" s="58" t="n">
        <v>4.0</v>
      </c>
      <c r="AY41" s="59" t="inlineStr">
        <is>
          <t/>
        </is>
      </c>
      <c r="AZ41" s="60" t="inlineStr">
        <is>
          <t/>
        </is>
      </c>
      <c r="BA41" s="61" t="inlineStr">
        <is>
          <t/>
        </is>
      </c>
      <c r="BB41" s="62" t="inlineStr">
        <is>
          <t>Innogest (www.innogest.it), Omega Funds (www.omegafunds.net), Ysios Capital (www.ysioscapital.com)</t>
        </is>
      </c>
      <c r="BC41" s="63" t="inlineStr">
        <is>
          <t/>
        </is>
      </c>
      <c r="BD41" s="64" t="inlineStr">
        <is>
          <t/>
        </is>
      </c>
      <c r="BE41" s="65" t="inlineStr">
        <is>
          <t>Rousaud Costas Duran (Legal Advisor)</t>
        </is>
      </c>
      <c r="BF41" s="66" t="inlineStr">
        <is>
          <t>Rousaud Costas Duran (Legal Advisor)</t>
        </is>
      </c>
      <c r="BG41" s="67" t="inlineStr">
        <is>
          <t/>
        </is>
      </c>
      <c r="BH41" s="68" t="inlineStr">
        <is>
          <t/>
        </is>
      </c>
      <c r="BI41" s="69" t="inlineStr">
        <is>
          <t/>
        </is>
      </c>
      <c r="BJ41" s="70" t="inlineStr">
        <is>
          <t/>
        </is>
      </c>
      <c r="BK41" s="71" t="inlineStr">
        <is>
          <t/>
        </is>
      </c>
      <c r="BL41" s="72" t="inlineStr">
        <is>
          <t>Early Stage VC</t>
        </is>
      </c>
      <c r="BM41" s="73" t="inlineStr">
        <is>
          <t/>
        </is>
      </c>
      <c r="BN41" s="74" t="inlineStr">
        <is>
          <t/>
        </is>
      </c>
      <c r="BO41" s="75" t="inlineStr">
        <is>
          <t>Venture Capital</t>
        </is>
      </c>
      <c r="BP41" s="76" t="inlineStr">
        <is>
          <t/>
        </is>
      </c>
      <c r="BQ41" s="77" t="inlineStr">
        <is>
          <t/>
        </is>
      </c>
      <c r="BR41" s="78" t="inlineStr">
        <is>
          <t/>
        </is>
      </c>
      <c r="BS41" s="79" t="inlineStr">
        <is>
          <t>Completed</t>
        </is>
      </c>
      <c r="BT41" s="80" t="n">
        <v>42878.0</v>
      </c>
      <c r="BU41" s="81" t="n">
        <v>15.39</v>
      </c>
      <c r="BV41" s="82" t="inlineStr">
        <is>
          <t>Actual</t>
        </is>
      </c>
      <c r="BW41" s="83" t="inlineStr">
        <is>
          <t/>
        </is>
      </c>
      <c r="BX41" s="84" t="inlineStr">
        <is>
          <t/>
        </is>
      </c>
      <c r="BY41" s="85" t="inlineStr">
        <is>
          <t>Early Stage VC</t>
        </is>
      </c>
      <c r="BZ41" s="86" t="inlineStr">
        <is>
          <t>Series A</t>
        </is>
      </c>
      <c r="CA41" s="87" t="inlineStr">
        <is>
          <t/>
        </is>
      </c>
      <c r="CB41" s="88" t="inlineStr">
        <is>
          <t>Venture Capital</t>
        </is>
      </c>
      <c r="CC41" s="89" t="inlineStr">
        <is>
          <t/>
        </is>
      </c>
      <c r="CD41" s="90" t="inlineStr">
        <is>
          <t/>
        </is>
      </c>
      <c r="CE41" s="91" t="inlineStr">
        <is>
          <t/>
        </is>
      </c>
      <c r="CF41" s="92" t="inlineStr">
        <is>
          <t>Completed</t>
        </is>
      </c>
      <c r="CG41" s="93" t="inlineStr">
        <is>
          <t>-0,02%</t>
        </is>
      </c>
      <c r="CH41" s="94" t="inlineStr">
        <is>
          <t>19</t>
        </is>
      </c>
      <c r="CI41" s="95" t="inlineStr">
        <is>
          <t>0,00%</t>
        </is>
      </c>
      <c r="CJ41" s="96" t="inlineStr">
        <is>
          <t>0,00%</t>
        </is>
      </c>
      <c r="CK41" s="97" t="inlineStr">
        <is>
          <t>0,00%</t>
        </is>
      </c>
      <c r="CL41" s="98" t="inlineStr">
        <is>
          <t>18</t>
        </is>
      </c>
      <c r="CM41" s="99" t="inlineStr">
        <is>
          <t>-0,05%</t>
        </is>
      </c>
      <c r="CN41" s="100" t="inlineStr">
        <is>
          <t>8</t>
        </is>
      </c>
      <c r="CO41" s="101" t="inlineStr">
        <is>
          <t>0,00%</t>
        </is>
      </c>
      <c r="CP41" s="102" t="inlineStr">
        <is>
          <t>26</t>
        </is>
      </c>
      <c r="CQ41" s="103" t="inlineStr">
        <is>
          <t>0,00%</t>
        </is>
      </c>
      <c r="CR41" s="104" t="inlineStr">
        <is>
          <t>13</t>
        </is>
      </c>
      <c r="CS41" s="105" t="inlineStr">
        <is>
          <t>0,00%</t>
        </is>
      </c>
      <c r="CT41" s="106" t="inlineStr">
        <is>
          <t>18</t>
        </is>
      </c>
      <c r="CU41" s="107" t="inlineStr">
        <is>
          <t>-0,10%</t>
        </is>
      </c>
      <c r="CV41" s="108" t="inlineStr">
        <is>
          <t>6</t>
        </is>
      </c>
      <c r="CW41" s="109" t="inlineStr">
        <is>
          <t>0,45x</t>
        </is>
      </c>
      <c r="CX41" s="110" t="inlineStr">
        <is>
          <t>31</t>
        </is>
      </c>
      <c r="CY41" s="111" t="inlineStr">
        <is>
          <t>-0,01x</t>
        </is>
      </c>
      <c r="CZ41" s="112" t="inlineStr">
        <is>
          <t>-1,17%</t>
        </is>
      </c>
      <c r="DA41" s="113" t="inlineStr">
        <is>
          <t>0,70x</t>
        </is>
      </c>
      <c r="DB41" s="114" t="inlineStr">
        <is>
          <t>44</t>
        </is>
      </c>
      <c r="DC41" s="115" t="inlineStr">
        <is>
          <t>0,20x</t>
        </is>
      </c>
      <c r="DD41" s="116" t="inlineStr">
        <is>
          <t>22</t>
        </is>
      </c>
      <c r="DE41" s="117" t="inlineStr">
        <is>
          <t>0,49x</t>
        </is>
      </c>
      <c r="DF41" s="118" t="inlineStr">
        <is>
          <t>36</t>
        </is>
      </c>
      <c r="DG41" s="119" t="inlineStr">
        <is>
          <t>0,92x</t>
        </is>
      </c>
      <c r="DH41" s="120" t="inlineStr">
        <is>
          <t>48</t>
        </is>
      </c>
      <c r="DI41" s="121" t="inlineStr">
        <is>
          <t>0,03x</t>
        </is>
      </c>
      <c r="DJ41" s="122" t="inlineStr">
        <is>
          <t>5</t>
        </is>
      </c>
      <c r="DK41" s="123" t="inlineStr">
        <is>
          <t>0,37x</t>
        </is>
      </c>
      <c r="DL41" s="124" t="inlineStr">
        <is>
          <t>34</t>
        </is>
      </c>
      <c r="DM41" s="125" t="inlineStr">
        <is>
          <t>301</t>
        </is>
      </c>
      <c r="DN41" s="126" t="inlineStr">
        <is>
          <t>-1</t>
        </is>
      </c>
      <c r="DO41" s="127" t="inlineStr">
        <is>
          <t>-0,33%</t>
        </is>
      </c>
      <c r="DP41" s="128" t="inlineStr">
        <is>
          <t>21</t>
        </is>
      </c>
      <c r="DQ41" s="129" t="inlineStr">
        <is>
          <t>0</t>
        </is>
      </c>
      <c r="DR41" s="130" t="inlineStr">
        <is>
          <t>0,00%</t>
        </is>
      </c>
      <c r="DS41" s="131" t="inlineStr">
        <is>
          <t>33</t>
        </is>
      </c>
      <c r="DT41" s="132" t="inlineStr">
        <is>
          <t>-2</t>
        </is>
      </c>
      <c r="DU41" s="133" t="inlineStr">
        <is>
          <t>-5,71%</t>
        </is>
      </c>
      <c r="DV41" s="134" t="inlineStr">
        <is>
          <t>127</t>
        </is>
      </c>
      <c r="DW41" s="135" t="inlineStr">
        <is>
          <t>0</t>
        </is>
      </c>
      <c r="DX41" s="136" t="inlineStr">
        <is>
          <t>0,00%</t>
        </is>
      </c>
      <c r="DY41" s="137" t="inlineStr">
        <is>
          <t>PitchBook Research</t>
        </is>
      </c>
      <c r="DZ41" s="785">
        <f>HYPERLINK("https://my.pitchbook.com?c=172224-46", "View company online")</f>
      </c>
    </row>
    <row r="42">
      <c r="A42" s="139" t="inlineStr">
        <is>
          <t>114280-66</t>
        </is>
      </c>
      <c r="B42" s="140" t="inlineStr">
        <is>
          <t>Anatwine</t>
        </is>
      </c>
      <c r="C42" s="141" t="inlineStr">
        <is>
          <t/>
        </is>
      </c>
      <c r="D42" s="142" t="inlineStr">
        <is>
          <t/>
        </is>
      </c>
      <c r="E42" s="143" t="inlineStr">
        <is>
          <t>114280-66</t>
        </is>
      </c>
      <c r="F42" s="144" t="inlineStr">
        <is>
          <t>Provider of a supply chain platform designed to connect brands with retailers. The company's supply chain platform allows retailers and brands to integrate sales and product demand, enabling them to increase sales, strengthen their stocking and purchasing processes and deliver enhanced brand exposure and customer experience.</t>
        </is>
      </c>
      <c r="G42" s="145" t="inlineStr">
        <is>
          <t>Information Technology</t>
        </is>
      </c>
      <c r="H42" s="146" t="inlineStr">
        <is>
          <t>Software</t>
        </is>
      </c>
      <c r="I42" s="147" t="inlineStr">
        <is>
          <t>Automation/Workflow Software</t>
        </is>
      </c>
      <c r="J42" s="148" t="inlineStr">
        <is>
          <t>Automation/Workflow Software*; Business/Productivity Software</t>
        </is>
      </c>
      <c r="K42" s="149" t="inlineStr">
        <is>
          <t/>
        </is>
      </c>
      <c r="L42" s="150" t="inlineStr">
        <is>
          <t>Venture Capital-Backed</t>
        </is>
      </c>
      <c r="M42" s="151" t="n">
        <v>10.68</v>
      </c>
      <c r="N42" s="152" t="inlineStr">
        <is>
          <t>Generating Revenue</t>
        </is>
      </c>
      <c r="O42" s="153" t="inlineStr">
        <is>
          <t>Privately Held (backing)</t>
        </is>
      </c>
      <c r="P42" s="154" t="inlineStr">
        <is>
          <t>Venture Capital, M&amp;A</t>
        </is>
      </c>
      <c r="Q42" s="155" t="inlineStr">
        <is>
          <t>www.anatwine.com</t>
        </is>
      </c>
      <c r="R42" s="156" t="n">
        <v>83.0</v>
      </c>
      <c r="S42" s="157" t="inlineStr">
        <is>
          <t/>
        </is>
      </c>
      <c r="T42" s="158" t="inlineStr">
        <is>
          <t/>
        </is>
      </c>
      <c r="U42" s="159" t="n">
        <v>2013.0</v>
      </c>
      <c r="V42" s="160" t="inlineStr">
        <is>
          <t/>
        </is>
      </c>
      <c r="W42" s="161" t="inlineStr">
        <is>
          <t/>
        </is>
      </c>
      <c r="X42" s="162" t="inlineStr">
        <is>
          <t/>
        </is>
      </c>
      <c r="Y42" s="163" t="n">
        <v>1.07642</v>
      </c>
      <c r="Z42" s="164" t="n">
        <v>-7.08126</v>
      </c>
      <c r="AA42" s="165" t="n">
        <v>-9.2252</v>
      </c>
      <c r="AB42" s="166" t="inlineStr">
        <is>
          <t/>
        </is>
      </c>
      <c r="AC42" s="167" t="n">
        <v>-8.21105</v>
      </c>
      <c r="AD42" s="168" t="inlineStr">
        <is>
          <t>FY 2016</t>
        </is>
      </c>
      <c r="AE42" s="169" t="inlineStr">
        <is>
          <t>101328-85P</t>
        </is>
      </c>
      <c r="AF42" s="170" t="inlineStr">
        <is>
          <t>Christopher Griffin</t>
        </is>
      </c>
      <c r="AG42" s="171" t="inlineStr">
        <is>
          <t>Chief Executive Officer &amp; Founder</t>
        </is>
      </c>
      <c r="AH42" s="172" t="inlineStr">
        <is>
          <t>chris.griffin@anatwine.com</t>
        </is>
      </c>
      <c r="AI42" s="173" t="inlineStr">
        <is>
          <t>+44 (0)84 5527 4804</t>
        </is>
      </c>
      <c r="AJ42" s="174" t="inlineStr">
        <is>
          <t>Cheltenham, United Kingdom</t>
        </is>
      </c>
      <c r="AK42" s="175" t="inlineStr">
        <is>
          <t>Eagle Tower</t>
        </is>
      </c>
      <c r="AL42" s="176" t="inlineStr">
        <is>
          <t>Montpelier Drive</t>
        </is>
      </c>
      <c r="AM42" s="177" t="inlineStr">
        <is>
          <t>Cheltenham</t>
        </is>
      </c>
      <c r="AN42" s="178" t="inlineStr">
        <is>
          <t>England</t>
        </is>
      </c>
      <c r="AO42" s="179" t="inlineStr">
        <is>
          <t>GL50 1TA</t>
        </is>
      </c>
      <c r="AP42" s="180" t="inlineStr">
        <is>
          <t>United Kingdom</t>
        </is>
      </c>
      <c r="AQ42" s="181" t="inlineStr">
        <is>
          <t>+44 (0)84 5527 4804</t>
        </is>
      </c>
      <c r="AR42" s="182" t="inlineStr">
        <is>
          <t/>
        </is>
      </c>
      <c r="AS42" s="183" t="inlineStr">
        <is>
          <t>info@anatwine.com</t>
        </is>
      </c>
      <c r="AT42" s="184" t="inlineStr">
        <is>
          <t>Europe</t>
        </is>
      </c>
      <c r="AU42" s="185" t="inlineStr">
        <is>
          <t>Western Europe</t>
        </is>
      </c>
      <c r="AV42" s="186" t="inlineStr">
        <is>
          <t>The company raised $12 milion of venture funding from Zalando (ETR: ZAL), Oxford Capital and other undisclosed investors on June 15, 2016. The company intends to use the funds to expand its capabilities and its technical offering internationally.</t>
        </is>
      </c>
      <c r="AW42" s="187" t="inlineStr">
        <is>
          <t>Oxford Capital Partners, Zalando</t>
        </is>
      </c>
      <c r="AX42" s="188" t="n">
        <v>2.0</v>
      </c>
      <c r="AY42" s="189" t="inlineStr">
        <is>
          <t/>
        </is>
      </c>
      <c r="AZ42" s="190" t="inlineStr">
        <is>
          <t/>
        </is>
      </c>
      <c r="BA42" s="191" t="inlineStr">
        <is>
          <t/>
        </is>
      </c>
      <c r="BB42" s="192" t="inlineStr">
        <is>
          <t>Oxford Capital Partners (www.oxcp.com), Zalando (corporate.zalando.com)</t>
        </is>
      </c>
      <c r="BC42" s="193" t="inlineStr">
        <is>
          <t/>
        </is>
      </c>
      <c r="BD42" s="194" t="inlineStr">
        <is>
          <t/>
        </is>
      </c>
      <c r="BE42" s="195" t="inlineStr">
        <is>
          <t>Hazlewoods Corporate Finance (Auditor)</t>
        </is>
      </c>
      <c r="BF42" s="196" t="inlineStr">
        <is>
          <t/>
        </is>
      </c>
      <c r="BG42" s="197" t="n">
        <v>42146.0</v>
      </c>
      <c r="BH42" s="198" t="inlineStr">
        <is>
          <t/>
        </is>
      </c>
      <c r="BI42" s="199" t="inlineStr">
        <is>
          <t/>
        </is>
      </c>
      <c r="BJ42" s="200" t="inlineStr">
        <is>
          <t/>
        </is>
      </c>
      <c r="BK42" s="201" t="inlineStr">
        <is>
          <t/>
        </is>
      </c>
      <c r="BL42" s="202" t="inlineStr">
        <is>
          <t>Corporate</t>
        </is>
      </c>
      <c r="BM42" s="203" t="inlineStr">
        <is>
          <t>Corporate</t>
        </is>
      </c>
      <c r="BN42" s="204" t="inlineStr">
        <is>
          <t/>
        </is>
      </c>
      <c r="BO42" s="205" t="inlineStr">
        <is>
          <t>Corporate</t>
        </is>
      </c>
      <c r="BP42" s="206" t="inlineStr">
        <is>
          <t/>
        </is>
      </c>
      <c r="BQ42" s="207" t="inlineStr">
        <is>
          <t/>
        </is>
      </c>
      <c r="BR42" s="208" t="inlineStr">
        <is>
          <t/>
        </is>
      </c>
      <c r="BS42" s="209" t="inlineStr">
        <is>
          <t>Completed</t>
        </is>
      </c>
      <c r="BT42" s="210" t="n">
        <v>42536.0</v>
      </c>
      <c r="BU42" s="211" t="n">
        <v>10.68</v>
      </c>
      <c r="BV42" s="212" t="inlineStr">
        <is>
          <t>Actual</t>
        </is>
      </c>
      <c r="BW42" s="213" t="inlineStr">
        <is>
          <t/>
        </is>
      </c>
      <c r="BX42" s="214" t="inlineStr">
        <is>
          <t/>
        </is>
      </c>
      <c r="BY42" s="215" t="inlineStr">
        <is>
          <t>Early Stage VC</t>
        </is>
      </c>
      <c r="BZ42" s="216" t="inlineStr">
        <is>
          <t/>
        </is>
      </c>
      <c r="CA42" s="217" t="inlineStr">
        <is>
          <t/>
        </is>
      </c>
      <c r="CB42" s="218" t="inlineStr">
        <is>
          <t>Venture Capital</t>
        </is>
      </c>
      <c r="CC42" s="219" t="inlineStr">
        <is>
          <t/>
        </is>
      </c>
      <c r="CD42" s="220" t="inlineStr">
        <is>
          <t/>
        </is>
      </c>
      <c r="CE42" s="221" t="inlineStr">
        <is>
          <t/>
        </is>
      </c>
      <c r="CF42" s="222" t="inlineStr">
        <is>
          <t>Completed</t>
        </is>
      </c>
      <c r="CG42" s="223" t="inlineStr">
        <is>
          <t>1,25%</t>
        </is>
      </c>
      <c r="CH42" s="224" t="inlineStr">
        <is>
          <t>90</t>
        </is>
      </c>
      <c r="CI42" s="225" t="inlineStr">
        <is>
          <t>-0,05%</t>
        </is>
      </c>
      <c r="CJ42" s="226" t="inlineStr">
        <is>
          <t>-3,54%</t>
        </is>
      </c>
      <c r="CK42" s="227" t="inlineStr">
        <is>
          <t>2,09%</t>
        </is>
      </c>
      <c r="CL42" s="228" t="inlineStr">
        <is>
          <t>91</t>
        </is>
      </c>
      <c r="CM42" s="229" t="inlineStr">
        <is>
          <t>0,40%</t>
        </is>
      </c>
      <c r="CN42" s="230" t="inlineStr">
        <is>
          <t>86</t>
        </is>
      </c>
      <c r="CO42" s="231" t="inlineStr">
        <is>
          <t>4,18%</t>
        </is>
      </c>
      <c r="CP42" s="232" t="inlineStr">
        <is>
          <t>95</t>
        </is>
      </c>
      <c r="CQ42" s="233" t="inlineStr">
        <is>
          <t>0,00%</t>
        </is>
      </c>
      <c r="CR42" s="234" t="inlineStr">
        <is>
          <t>13</t>
        </is>
      </c>
      <c r="CS42" s="235" t="inlineStr">
        <is>
          <t/>
        </is>
      </c>
      <c r="CT42" s="236" t="inlineStr">
        <is>
          <t/>
        </is>
      </c>
      <c r="CU42" s="237" t="inlineStr">
        <is>
          <t>0,40%</t>
        </is>
      </c>
      <c r="CV42" s="238" t="inlineStr">
        <is>
          <t>89</t>
        </is>
      </c>
      <c r="CW42" s="239" t="inlineStr">
        <is>
          <t>1,03x</t>
        </is>
      </c>
      <c r="CX42" s="240" t="inlineStr">
        <is>
          <t>50</t>
        </is>
      </c>
      <c r="CY42" s="241" t="inlineStr">
        <is>
          <t>0,00x</t>
        </is>
      </c>
      <c r="CZ42" s="242" t="inlineStr">
        <is>
          <t>0,28%</t>
        </is>
      </c>
      <c r="DA42" s="243" t="inlineStr">
        <is>
          <t>1,24x</t>
        </is>
      </c>
      <c r="DB42" s="244" t="inlineStr">
        <is>
          <t>57</t>
        </is>
      </c>
      <c r="DC42" s="245" t="inlineStr">
        <is>
          <t>0,83x</t>
        </is>
      </c>
      <c r="DD42" s="246" t="inlineStr">
        <is>
          <t>45</t>
        </is>
      </c>
      <c r="DE42" s="247" t="inlineStr">
        <is>
          <t>2,29x</t>
        </is>
      </c>
      <c r="DF42" s="248" t="inlineStr">
        <is>
          <t>66</t>
        </is>
      </c>
      <c r="DG42" s="249" t="inlineStr">
        <is>
          <t>0,19x</t>
        </is>
      </c>
      <c r="DH42" s="250" t="inlineStr">
        <is>
          <t>20</t>
        </is>
      </c>
      <c r="DI42" s="251" t="inlineStr">
        <is>
          <t/>
        </is>
      </c>
      <c r="DJ42" s="252" t="inlineStr">
        <is>
          <t/>
        </is>
      </c>
      <c r="DK42" s="253" t="inlineStr">
        <is>
          <t>0,83x</t>
        </is>
      </c>
      <c r="DL42" s="254" t="inlineStr">
        <is>
          <t>47</t>
        </is>
      </c>
      <c r="DM42" s="255" t="inlineStr">
        <is>
          <t>1.384</t>
        </is>
      </c>
      <c r="DN42" s="256" t="inlineStr">
        <is>
          <t>64</t>
        </is>
      </c>
      <c r="DO42" s="257" t="inlineStr">
        <is>
          <t>4,85%</t>
        </is>
      </c>
      <c r="DP42" s="258" t="inlineStr">
        <is>
          <t/>
        </is>
      </c>
      <c r="DQ42" s="259" t="inlineStr">
        <is>
          <t/>
        </is>
      </c>
      <c r="DR42" s="260" t="inlineStr">
        <is>
          <t/>
        </is>
      </c>
      <c r="DS42" s="261" t="inlineStr">
        <is>
          <t>7</t>
        </is>
      </c>
      <c r="DT42" s="262" t="inlineStr">
        <is>
          <t>-1</t>
        </is>
      </c>
      <c r="DU42" s="263" t="inlineStr">
        <is>
          <t>-12,50%</t>
        </is>
      </c>
      <c r="DV42" s="264" t="inlineStr">
        <is>
          <t>284</t>
        </is>
      </c>
      <c r="DW42" s="265" t="inlineStr">
        <is>
          <t>0</t>
        </is>
      </c>
      <c r="DX42" s="266" t="inlineStr">
        <is>
          <t>0,00%</t>
        </is>
      </c>
      <c r="DY42" s="267" t="inlineStr">
        <is>
          <t>PitchBook Research</t>
        </is>
      </c>
      <c r="DZ42" s="786">
        <f>HYPERLINK("https://my.pitchbook.com?c=114280-66", "View company online")</f>
      </c>
    </row>
    <row r="43">
      <c r="A43" s="9" t="inlineStr">
        <is>
          <t>62851-51</t>
        </is>
      </c>
      <c r="B43" s="10" t="inlineStr">
        <is>
          <t>Anokion</t>
        </is>
      </c>
      <c r="C43" s="11" t="inlineStr">
        <is>
          <t/>
        </is>
      </c>
      <c r="D43" s="12" t="inlineStr">
        <is>
          <t/>
        </is>
      </c>
      <c r="E43" s="13" t="inlineStr">
        <is>
          <t>62851-51</t>
        </is>
      </c>
      <c r="F43" s="14" t="inlineStr">
        <is>
          <t>Provider of antigen-specific immunotherapy. The company offers antigen-specific immune tolerance technology to reduce the immunogenicity of therapeutic proteins and to treat autoimmune and allergic diseases.</t>
        </is>
      </c>
      <c r="G43" s="15" t="inlineStr">
        <is>
          <t>Healthcare</t>
        </is>
      </c>
      <c r="H43" s="16" t="inlineStr">
        <is>
          <t>Healthcare Devices and Supplies</t>
        </is>
      </c>
      <c r="I43" s="17" t="inlineStr">
        <is>
          <t>Therapeutic Devices</t>
        </is>
      </c>
      <c r="J43" s="18" t="inlineStr">
        <is>
          <t>Therapeutic Devices*; Biotechnology</t>
        </is>
      </c>
      <c r="K43" s="19" t="inlineStr">
        <is>
          <t>Life Sciences</t>
        </is>
      </c>
      <c r="L43" s="20" t="inlineStr">
        <is>
          <t>Venture Capital-Backed</t>
        </is>
      </c>
      <c r="M43" s="21" t="n">
        <v>69.67</v>
      </c>
      <c r="N43" s="22" t="inlineStr">
        <is>
          <t>Startup</t>
        </is>
      </c>
      <c r="O43" s="23" t="inlineStr">
        <is>
          <t>Privately Held (backing)</t>
        </is>
      </c>
      <c r="P43" s="24" t="inlineStr">
        <is>
          <t>Venture Capital</t>
        </is>
      </c>
      <c r="Q43" s="25" t="inlineStr">
        <is>
          <t>www.anokion.com</t>
        </is>
      </c>
      <c r="R43" s="26" t="n">
        <v>12.0</v>
      </c>
      <c r="S43" s="27" t="inlineStr">
        <is>
          <t/>
        </is>
      </c>
      <c r="T43" s="28" t="inlineStr">
        <is>
          <t/>
        </is>
      </c>
      <c r="U43" s="29" t="n">
        <v>2012.0</v>
      </c>
      <c r="V43" s="30" t="inlineStr">
        <is>
          <t/>
        </is>
      </c>
      <c r="W43" s="31" t="inlineStr">
        <is>
          <t/>
        </is>
      </c>
      <c r="X43" s="32" t="inlineStr">
        <is>
          <t/>
        </is>
      </c>
      <c r="Y43" s="33" t="inlineStr">
        <is>
          <t/>
        </is>
      </c>
      <c r="Z43" s="34" t="inlineStr">
        <is>
          <t/>
        </is>
      </c>
      <c r="AA43" s="35" t="inlineStr">
        <is>
          <t/>
        </is>
      </c>
      <c r="AB43" s="36" t="inlineStr">
        <is>
          <t/>
        </is>
      </c>
      <c r="AC43" s="37" t="inlineStr">
        <is>
          <t/>
        </is>
      </c>
      <c r="AD43" s="38" t="inlineStr">
        <is>
          <t/>
        </is>
      </c>
      <c r="AE43" s="39" t="inlineStr">
        <is>
          <t>66528-82P</t>
        </is>
      </c>
      <c r="AF43" s="40" t="inlineStr">
        <is>
          <t>Jens Kurth</t>
        </is>
      </c>
      <c r="AG43" s="41" t="inlineStr">
        <is>
          <t>Chief Technology Officer</t>
        </is>
      </c>
      <c r="AH43" s="42" t="inlineStr">
        <is>
          <t>jens.kurth@anokion.com</t>
        </is>
      </c>
      <c r="AI43" s="43" t="inlineStr">
        <is>
          <t>+41 (0)21 693 7237</t>
        </is>
      </c>
      <c r="AJ43" s="44" t="inlineStr">
        <is>
          <t>Ecublens, Switzerland</t>
        </is>
      </c>
      <c r="AK43" s="45" t="inlineStr">
        <is>
          <t>EPFL Innovation Park-L</t>
        </is>
      </c>
      <c r="AL43" s="46" t="inlineStr">
        <is>
          <t>Chemin de la Dent d'Ochoe 1A</t>
        </is>
      </c>
      <c r="AM43" s="47" t="inlineStr">
        <is>
          <t>Ecublens</t>
        </is>
      </c>
      <c r="AN43" s="48" t="inlineStr">
        <is>
          <t/>
        </is>
      </c>
      <c r="AO43" s="49" t="inlineStr">
        <is>
          <t>1024</t>
        </is>
      </c>
      <c r="AP43" s="50" t="inlineStr">
        <is>
          <t>Switzerland</t>
        </is>
      </c>
      <c r="AQ43" s="51" t="inlineStr">
        <is>
          <t>+41 (0)21 693 7237</t>
        </is>
      </c>
      <c r="AR43" s="52" t="inlineStr">
        <is>
          <t/>
        </is>
      </c>
      <c r="AS43" s="53" t="inlineStr">
        <is>
          <t>info@anokion.com</t>
        </is>
      </c>
      <c r="AT43" s="54" t="inlineStr">
        <is>
          <t>Europe</t>
        </is>
      </c>
      <c r="AU43" s="55" t="inlineStr">
        <is>
          <t>Western Europe</t>
        </is>
      </c>
      <c r="AV43" s="56" t="inlineStr">
        <is>
          <t>The company received $45 million of financing from Celgene on January 8, 2017. Under the terms of the deal, the company will receive an additional $10 million payout contingent on whether they hit their preclinical marks. Celgene will also receive the exclusive right to acquire the company at "pre-specified option exercise points."</t>
        </is>
      </c>
      <c r="AW43" s="57" t="inlineStr">
        <is>
          <t>Celgene, EPFL Innovation Park, Novartis Venture Fund, Novo, Versant Venture Management</t>
        </is>
      </c>
      <c r="AX43" s="58" t="n">
        <v>5.0</v>
      </c>
      <c r="AY43" s="59" t="inlineStr">
        <is>
          <t/>
        </is>
      </c>
      <c r="AZ43" s="60" t="inlineStr">
        <is>
          <t/>
        </is>
      </c>
      <c r="BA43" s="61" t="inlineStr">
        <is>
          <t/>
        </is>
      </c>
      <c r="BB43" s="62" t="inlineStr">
        <is>
          <t>Celgene (www.celgene.com), EPFL Innovation Park (epfl-innovationpark.ch), Novartis Venture Fund (www.nvfund.com), Novo (www.novoholdings.dk), Versant Venture Management (www.versantventures.com)</t>
        </is>
      </c>
      <c r="BC43" s="63" t="inlineStr">
        <is>
          <t/>
        </is>
      </c>
      <c r="BD43" s="64" t="inlineStr">
        <is>
          <t/>
        </is>
      </c>
      <c r="BE43" s="65" t="inlineStr">
        <is>
          <t/>
        </is>
      </c>
      <c r="BF43" s="66" t="inlineStr">
        <is>
          <t>Vischer (Legal Advisor)</t>
        </is>
      </c>
      <c r="BG43" s="67" t="n">
        <v>41764.0</v>
      </c>
      <c r="BH43" s="68" t="n">
        <v>27.29</v>
      </c>
      <c r="BI43" s="69" t="inlineStr">
        <is>
          <t>Actual</t>
        </is>
      </c>
      <c r="BJ43" s="70" t="inlineStr">
        <is>
          <t/>
        </is>
      </c>
      <c r="BK43" s="71" t="inlineStr">
        <is>
          <t/>
        </is>
      </c>
      <c r="BL43" s="72" t="inlineStr">
        <is>
          <t>Early Stage VC</t>
        </is>
      </c>
      <c r="BM43" s="73" t="inlineStr">
        <is>
          <t>Series A</t>
        </is>
      </c>
      <c r="BN43" s="74" t="inlineStr">
        <is>
          <t/>
        </is>
      </c>
      <c r="BO43" s="75" t="inlineStr">
        <is>
          <t>Venture Capital</t>
        </is>
      </c>
      <c r="BP43" s="76" t="inlineStr">
        <is>
          <t/>
        </is>
      </c>
      <c r="BQ43" s="77" t="inlineStr">
        <is>
          <t/>
        </is>
      </c>
      <c r="BR43" s="78" t="inlineStr">
        <is>
          <t/>
        </is>
      </c>
      <c r="BS43" s="79" t="inlineStr">
        <is>
          <t>Completed</t>
        </is>
      </c>
      <c r="BT43" s="80" t="n">
        <v>42743.0</v>
      </c>
      <c r="BU43" s="81" t="n">
        <v>42.38</v>
      </c>
      <c r="BV43" s="82" t="inlineStr">
        <is>
          <t>Actual</t>
        </is>
      </c>
      <c r="BW43" s="83" t="inlineStr">
        <is>
          <t/>
        </is>
      </c>
      <c r="BX43" s="84" t="inlineStr">
        <is>
          <t/>
        </is>
      </c>
      <c r="BY43" s="85" t="inlineStr">
        <is>
          <t>Corporate</t>
        </is>
      </c>
      <c r="BZ43" s="86" t="inlineStr">
        <is>
          <t>Corporate</t>
        </is>
      </c>
      <c r="CA43" s="87" t="inlineStr">
        <is>
          <t/>
        </is>
      </c>
      <c r="CB43" s="88" t="inlineStr">
        <is>
          <t>Corporate</t>
        </is>
      </c>
      <c r="CC43" s="89" t="inlineStr">
        <is>
          <t/>
        </is>
      </c>
      <c r="CD43" s="90" t="inlineStr">
        <is>
          <t/>
        </is>
      </c>
      <c r="CE43" s="91" t="inlineStr">
        <is>
          <t/>
        </is>
      </c>
      <c r="CF43" s="92" t="inlineStr">
        <is>
          <t>Completed</t>
        </is>
      </c>
      <c r="CG43" s="93" t="inlineStr">
        <is>
          <t>0,00%</t>
        </is>
      </c>
      <c r="CH43" s="94" t="inlineStr">
        <is>
          <t>23</t>
        </is>
      </c>
      <c r="CI43" s="95" t="inlineStr">
        <is>
          <t>0,00%</t>
        </is>
      </c>
      <c r="CJ43" s="96" t="inlineStr">
        <is>
          <t>0,00%</t>
        </is>
      </c>
      <c r="CK43" s="97" t="inlineStr">
        <is>
          <t>0,00%</t>
        </is>
      </c>
      <c r="CL43" s="98" t="inlineStr">
        <is>
          <t>18</t>
        </is>
      </c>
      <c r="CM43" s="99" t="inlineStr">
        <is>
          <t/>
        </is>
      </c>
      <c r="CN43" s="100" t="inlineStr">
        <is>
          <t/>
        </is>
      </c>
      <c r="CO43" s="101" t="inlineStr">
        <is>
          <t>0,00%</t>
        </is>
      </c>
      <c r="CP43" s="102" t="inlineStr">
        <is>
          <t>26</t>
        </is>
      </c>
      <c r="CQ43" s="103" t="inlineStr">
        <is>
          <t>0,00%</t>
        </is>
      </c>
      <c r="CR43" s="104" t="inlineStr">
        <is>
          <t>13</t>
        </is>
      </c>
      <c r="CS43" s="105" t="inlineStr">
        <is>
          <t/>
        </is>
      </c>
      <c r="CT43" s="106" t="inlineStr">
        <is>
          <t/>
        </is>
      </c>
      <c r="CU43" s="107" t="inlineStr">
        <is>
          <t/>
        </is>
      </c>
      <c r="CV43" s="108" t="inlineStr">
        <is>
          <t/>
        </is>
      </c>
      <c r="CW43" s="109" t="inlineStr">
        <is>
          <t>0,37x</t>
        </is>
      </c>
      <c r="CX43" s="110" t="inlineStr">
        <is>
          <t>27</t>
        </is>
      </c>
      <c r="CY43" s="111" t="inlineStr">
        <is>
          <t>0,01x</t>
        </is>
      </c>
      <c r="CZ43" s="112" t="inlineStr">
        <is>
          <t>2,29%</t>
        </is>
      </c>
      <c r="DA43" s="113" t="inlineStr">
        <is>
          <t>0,37x</t>
        </is>
      </c>
      <c r="DB43" s="114" t="inlineStr">
        <is>
          <t>30</t>
        </is>
      </c>
      <c r="DC43" s="115" t="inlineStr">
        <is>
          <t/>
        </is>
      </c>
      <c r="DD43" s="116" t="inlineStr">
        <is>
          <t/>
        </is>
      </c>
      <c r="DE43" s="117" t="inlineStr">
        <is>
          <t>0,13x</t>
        </is>
      </c>
      <c r="DF43" s="118" t="inlineStr">
        <is>
          <t>12</t>
        </is>
      </c>
      <c r="DG43" s="119" t="inlineStr">
        <is>
          <t>0,61x</t>
        </is>
      </c>
      <c r="DH43" s="120" t="inlineStr">
        <is>
          <t>40</t>
        </is>
      </c>
      <c r="DI43" s="121" t="inlineStr">
        <is>
          <t/>
        </is>
      </c>
      <c r="DJ43" s="122" t="inlineStr">
        <is>
          <t/>
        </is>
      </c>
      <c r="DK43" s="123" t="inlineStr">
        <is>
          <t/>
        </is>
      </c>
      <c r="DL43" s="124" t="inlineStr">
        <is>
          <t/>
        </is>
      </c>
      <c r="DM43" s="125" t="inlineStr">
        <is>
          <t>125</t>
        </is>
      </c>
      <c r="DN43" s="126" t="inlineStr">
        <is>
          <t>-142</t>
        </is>
      </c>
      <c r="DO43" s="127" t="inlineStr">
        <is>
          <t>-53,18%</t>
        </is>
      </c>
      <c r="DP43" s="128" t="inlineStr">
        <is>
          <t/>
        </is>
      </c>
      <c r="DQ43" s="129" t="inlineStr">
        <is>
          <t/>
        </is>
      </c>
      <c r="DR43" s="130" t="inlineStr">
        <is>
          <t/>
        </is>
      </c>
      <c r="DS43" s="131" t="inlineStr">
        <is>
          <t>22</t>
        </is>
      </c>
      <c r="DT43" s="132" t="inlineStr">
        <is>
          <t>0</t>
        </is>
      </c>
      <c r="DU43" s="133" t="inlineStr">
        <is>
          <t>0,00%</t>
        </is>
      </c>
      <c r="DV43" s="134" t="inlineStr">
        <is>
          <t/>
        </is>
      </c>
      <c r="DW43" s="135" t="inlineStr">
        <is>
          <t/>
        </is>
      </c>
      <c r="DX43" s="136" t="inlineStr">
        <is>
          <t/>
        </is>
      </c>
      <c r="DY43" s="137" t="inlineStr">
        <is>
          <t>PitchBook Research</t>
        </is>
      </c>
      <c r="DZ43" s="785">
        <f>HYPERLINK("https://my.pitchbook.com?c=62851-51", "View company online")</f>
      </c>
    </row>
    <row r="44">
      <c r="A44" s="139" t="inlineStr">
        <is>
          <t>169977-61</t>
        </is>
      </c>
      <c r="B44" s="140" t="inlineStr">
        <is>
          <t>ApcinteX</t>
        </is>
      </c>
      <c r="C44" s="141" t="inlineStr">
        <is>
          <t>Serpin Haemostatics</t>
        </is>
      </c>
      <c r="D44" s="142" t="inlineStr">
        <is>
          <t/>
        </is>
      </c>
      <c r="E44" s="143" t="inlineStr">
        <is>
          <t>169977-61</t>
        </is>
      </c>
      <c r="F44" s="144" t="inlineStr">
        <is>
          <t>Developer of an anticoagulant protein pathway designed to treat hemophilia. The company's anticoagulant protein seeks to turn down the activity of a key natural anticoagulant pathway to produce normal blood clotting in patients with haemophilia, enabling patients to be treated with all types of haemophilia.</t>
        </is>
      </c>
      <c r="G44" s="145" t="inlineStr">
        <is>
          <t>Healthcare</t>
        </is>
      </c>
      <c r="H44" s="146" t="inlineStr">
        <is>
          <t>Pharmaceuticals and Biotechnology</t>
        </is>
      </c>
      <c r="I44" s="147" t="inlineStr">
        <is>
          <t>Drug Discovery</t>
        </is>
      </c>
      <c r="J44" s="148" t="inlineStr">
        <is>
          <t>Drug Discovery*; Biotechnology</t>
        </is>
      </c>
      <c r="K44" s="149" t="inlineStr">
        <is>
          <t>Life Sciences</t>
        </is>
      </c>
      <c r="L44" s="150" t="inlineStr">
        <is>
          <t>Venture Capital-Backed</t>
        </is>
      </c>
      <c r="M44" s="151" t="n">
        <v>16.41</v>
      </c>
      <c r="N44" s="152" t="inlineStr">
        <is>
          <t>Startup</t>
        </is>
      </c>
      <c r="O44" s="153" t="inlineStr">
        <is>
          <t>Privately Held (backing)</t>
        </is>
      </c>
      <c r="P44" s="154" t="inlineStr">
        <is>
          <t>Venture Capital</t>
        </is>
      </c>
      <c r="Q44" s="155" t="inlineStr">
        <is>
          <t/>
        </is>
      </c>
      <c r="R44" s="156" t="inlineStr">
        <is>
          <t/>
        </is>
      </c>
      <c r="S44" s="157" t="inlineStr">
        <is>
          <t/>
        </is>
      </c>
      <c r="T44" s="158" t="inlineStr">
        <is>
          <t/>
        </is>
      </c>
      <c r="U44" s="159" t="n">
        <v>2014.0</v>
      </c>
      <c r="V44" s="160" t="inlineStr">
        <is>
          <t/>
        </is>
      </c>
      <c r="W44" s="161" t="inlineStr">
        <is>
          <t/>
        </is>
      </c>
      <c r="X44" s="162" t="inlineStr">
        <is>
          <t/>
        </is>
      </c>
      <c r="Y44" s="163" t="inlineStr">
        <is>
          <t/>
        </is>
      </c>
      <c r="Z44" s="164" t="inlineStr">
        <is>
          <t/>
        </is>
      </c>
      <c r="AA44" s="165" t="inlineStr">
        <is>
          <t/>
        </is>
      </c>
      <c r="AB44" s="166" t="inlineStr">
        <is>
          <t/>
        </is>
      </c>
      <c r="AC44" s="167" t="inlineStr">
        <is>
          <t/>
        </is>
      </c>
      <c r="AD44" s="168" t="inlineStr">
        <is>
          <t/>
        </is>
      </c>
      <c r="AE44" s="169" t="inlineStr">
        <is>
          <t>155387-98P</t>
        </is>
      </c>
      <c r="AF44" s="170" t="inlineStr">
        <is>
          <t>Trevor Baglin</t>
        </is>
      </c>
      <c r="AG44" s="171" t="inlineStr">
        <is>
          <t>Co-Founder &amp; Chief Medical Officer</t>
        </is>
      </c>
      <c r="AH44" s="172" t="inlineStr">
        <is>
          <t>trevor@apcintex.com</t>
        </is>
      </c>
      <c r="AI44" s="173" t="inlineStr">
        <is>
          <t/>
        </is>
      </c>
      <c r="AJ44" s="174" t="inlineStr">
        <is>
          <t>Cambridge, United Kingdom</t>
        </is>
      </c>
      <c r="AK44" s="175" t="inlineStr">
        <is>
          <t/>
        </is>
      </c>
      <c r="AL44" s="176" t="inlineStr">
        <is>
          <t/>
        </is>
      </c>
      <c r="AM44" s="177" t="inlineStr">
        <is>
          <t>Cambridge</t>
        </is>
      </c>
      <c r="AN44" s="178" t="inlineStr">
        <is>
          <t>England</t>
        </is>
      </c>
      <c r="AO44" s="179" t="inlineStr">
        <is>
          <t/>
        </is>
      </c>
      <c r="AP44" s="180" t="inlineStr">
        <is>
          <t>United Kingdom</t>
        </is>
      </c>
      <c r="AQ44" s="181" t="inlineStr">
        <is>
          <t/>
        </is>
      </c>
      <c r="AR44" s="182" t="inlineStr">
        <is>
          <t/>
        </is>
      </c>
      <c r="AS44" s="183" t="inlineStr">
        <is>
          <t/>
        </is>
      </c>
      <c r="AT44" s="184" t="inlineStr">
        <is>
          <t>Europe</t>
        </is>
      </c>
      <c r="AU44" s="185" t="inlineStr">
        <is>
          <t>Western Europe</t>
        </is>
      </c>
      <c r="AV44" s="186" t="inlineStr">
        <is>
          <t>The company raised GBP 14 million of Series A venture funding in a round led by Medicxi Ventures and Touchstone Innovations Group (AIM: IVO) on February 2, 2017, putting the pre-money valuation at GBP 3.78 million. Cambridge Enterprise also participated in this round. The company will use the funding to advance an asset with the potential to treat patients with all types of hemophilia, including people who form antibodies to traditional blood clotting factors.</t>
        </is>
      </c>
      <c r="AW44" s="187" t="inlineStr">
        <is>
          <t>Cambridge Enterprise, Medicxi Ventures, Touchstone Innovations</t>
        </is>
      </c>
      <c r="AX44" s="188" t="n">
        <v>3.0</v>
      </c>
      <c r="AY44" s="189" t="inlineStr">
        <is>
          <t/>
        </is>
      </c>
      <c r="AZ44" s="190" t="inlineStr">
        <is>
          <t/>
        </is>
      </c>
      <c r="BA44" s="191" t="inlineStr">
        <is>
          <t/>
        </is>
      </c>
      <c r="BB44" s="192" t="inlineStr">
        <is>
          <t>Cambridge Enterprise (www.enterprise.cam.ac.uk), Medicxi Ventures (www.medicxi.com), Touchstone Innovations (www.touchstoneinnovations.com)</t>
        </is>
      </c>
      <c r="BC44" s="193" t="inlineStr">
        <is>
          <t/>
        </is>
      </c>
      <c r="BD44" s="194" t="inlineStr">
        <is>
          <t/>
        </is>
      </c>
      <c r="BE44" s="195" t="inlineStr">
        <is>
          <t/>
        </is>
      </c>
      <c r="BF44" s="196" t="inlineStr">
        <is>
          <t/>
        </is>
      </c>
      <c r="BG44" s="197" t="n">
        <v>42768.0</v>
      </c>
      <c r="BH44" s="198" t="n">
        <v>16.41</v>
      </c>
      <c r="BI44" s="199" t="inlineStr">
        <is>
          <t>Actual</t>
        </is>
      </c>
      <c r="BJ44" s="200" t="n">
        <v>11.5</v>
      </c>
      <c r="BK44" s="201" t="inlineStr">
        <is>
          <t>Actual</t>
        </is>
      </c>
      <c r="BL44" s="202" t="inlineStr">
        <is>
          <t>Early Stage VC</t>
        </is>
      </c>
      <c r="BM44" s="203" t="inlineStr">
        <is>
          <t>Series A</t>
        </is>
      </c>
      <c r="BN44" s="204" t="inlineStr">
        <is>
          <t/>
        </is>
      </c>
      <c r="BO44" s="205" t="inlineStr">
        <is>
          <t>Venture Capital</t>
        </is>
      </c>
      <c r="BP44" s="206" t="inlineStr">
        <is>
          <t>Convertible Debt</t>
        </is>
      </c>
      <c r="BQ44" s="207" t="inlineStr">
        <is>
          <t/>
        </is>
      </c>
      <c r="BR44" s="208" t="inlineStr">
        <is>
          <t/>
        </is>
      </c>
      <c r="BS44" s="209" t="inlineStr">
        <is>
          <t>Completed</t>
        </is>
      </c>
      <c r="BT44" s="210" t="n">
        <v>42768.0</v>
      </c>
      <c r="BU44" s="211" t="n">
        <v>16.41</v>
      </c>
      <c r="BV44" s="212" t="inlineStr">
        <is>
          <t>Actual</t>
        </is>
      </c>
      <c r="BW44" s="213" t="n">
        <v>11.5</v>
      </c>
      <c r="BX44" s="214" t="inlineStr">
        <is>
          <t>Actual</t>
        </is>
      </c>
      <c r="BY44" s="215" t="inlineStr">
        <is>
          <t>Early Stage VC</t>
        </is>
      </c>
      <c r="BZ44" s="216" t="inlineStr">
        <is>
          <t>Series A</t>
        </is>
      </c>
      <c r="CA44" s="217" t="inlineStr">
        <is>
          <t/>
        </is>
      </c>
      <c r="CB44" s="218" t="inlineStr">
        <is>
          <t>Venture Capital</t>
        </is>
      </c>
      <c r="CC44" s="219" t="inlineStr">
        <is>
          <t>Convertible Debt</t>
        </is>
      </c>
      <c r="CD44" s="220" t="inlineStr">
        <is>
          <t/>
        </is>
      </c>
      <c r="CE44" s="221" t="inlineStr">
        <is>
          <t/>
        </is>
      </c>
      <c r="CF44" s="222" t="inlineStr">
        <is>
          <t>Completed</t>
        </is>
      </c>
      <c r="CG44" s="223" t="inlineStr">
        <is>
          <t/>
        </is>
      </c>
      <c r="CH44" s="224" t="inlineStr">
        <is>
          <t/>
        </is>
      </c>
      <c r="CI44" s="225" t="inlineStr">
        <is>
          <t/>
        </is>
      </c>
      <c r="CJ44" s="226" t="inlineStr">
        <is>
          <t/>
        </is>
      </c>
      <c r="CK44" s="227" t="inlineStr">
        <is>
          <t/>
        </is>
      </c>
      <c r="CL44" s="228" t="inlineStr">
        <is>
          <t/>
        </is>
      </c>
      <c r="CM44" s="229" t="inlineStr">
        <is>
          <t/>
        </is>
      </c>
      <c r="CN44" s="230" t="inlineStr">
        <is>
          <t/>
        </is>
      </c>
      <c r="CO44" s="231" t="inlineStr">
        <is>
          <t/>
        </is>
      </c>
      <c r="CP44" s="232" t="inlineStr">
        <is>
          <t/>
        </is>
      </c>
      <c r="CQ44" s="233" t="inlineStr">
        <is>
          <t/>
        </is>
      </c>
      <c r="CR44" s="234" t="inlineStr">
        <is>
          <t/>
        </is>
      </c>
      <c r="CS44" s="235" t="inlineStr">
        <is>
          <t/>
        </is>
      </c>
      <c r="CT44" s="236" t="inlineStr">
        <is>
          <t/>
        </is>
      </c>
      <c r="CU44" s="237" t="inlineStr">
        <is>
          <t/>
        </is>
      </c>
      <c r="CV44" s="238" t="inlineStr">
        <is>
          <t/>
        </is>
      </c>
      <c r="CW44" s="239" t="inlineStr">
        <is>
          <t/>
        </is>
      </c>
      <c r="CX44" s="240" t="inlineStr">
        <is>
          <t/>
        </is>
      </c>
      <c r="CY44" s="241" t="inlineStr">
        <is>
          <t/>
        </is>
      </c>
      <c r="CZ44" s="242" t="inlineStr">
        <is>
          <t/>
        </is>
      </c>
      <c r="DA44" s="243" t="inlineStr">
        <is>
          <t/>
        </is>
      </c>
      <c r="DB44" s="244" t="inlineStr">
        <is>
          <t/>
        </is>
      </c>
      <c r="DC44" s="245" t="inlineStr">
        <is>
          <t/>
        </is>
      </c>
      <c r="DD44" s="246" t="inlineStr">
        <is>
          <t/>
        </is>
      </c>
      <c r="DE44" s="247" t="inlineStr">
        <is>
          <t/>
        </is>
      </c>
      <c r="DF44" s="248" t="inlineStr">
        <is>
          <t/>
        </is>
      </c>
      <c r="DG44" s="249" t="inlineStr">
        <is>
          <t/>
        </is>
      </c>
      <c r="DH44" s="250" t="inlineStr">
        <is>
          <t/>
        </is>
      </c>
      <c r="DI44" s="251" t="inlineStr">
        <is>
          <t/>
        </is>
      </c>
      <c r="DJ44" s="252" t="inlineStr">
        <is>
          <t/>
        </is>
      </c>
      <c r="DK44" s="253" t="inlineStr">
        <is>
          <t/>
        </is>
      </c>
      <c r="DL44" s="254" t="inlineStr">
        <is>
          <t/>
        </is>
      </c>
      <c r="DM44" s="255" t="inlineStr">
        <is>
          <t/>
        </is>
      </c>
      <c r="DN44" s="256" t="inlineStr">
        <is>
          <t/>
        </is>
      </c>
      <c r="DO44" s="257" t="inlineStr">
        <is>
          <t/>
        </is>
      </c>
      <c r="DP44" s="258" t="inlineStr">
        <is>
          <t/>
        </is>
      </c>
      <c r="DQ44" s="259" t="inlineStr">
        <is>
          <t/>
        </is>
      </c>
      <c r="DR44" s="260" t="inlineStr">
        <is>
          <t/>
        </is>
      </c>
      <c r="DS44" s="261" t="inlineStr">
        <is>
          <t/>
        </is>
      </c>
      <c r="DT44" s="262" t="inlineStr">
        <is>
          <t/>
        </is>
      </c>
      <c r="DU44" s="263" t="inlineStr">
        <is>
          <t/>
        </is>
      </c>
      <c r="DV44" s="264" t="inlineStr">
        <is>
          <t/>
        </is>
      </c>
      <c r="DW44" s="265" t="inlineStr">
        <is>
          <t/>
        </is>
      </c>
      <c r="DX44" s="266" t="inlineStr">
        <is>
          <t/>
        </is>
      </c>
      <c r="DY44" s="267" t="inlineStr">
        <is>
          <t>PitchBook Research</t>
        </is>
      </c>
      <c r="DZ44" s="786">
        <f>HYPERLINK("https://my.pitchbook.com?c=169977-61", "View company online")</f>
      </c>
    </row>
    <row r="45">
      <c r="A45" s="9" t="inlineStr">
        <is>
          <t>179777-53</t>
        </is>
      </c>
      <c r="B45" s="10" t="inlineStr">
        <is>
          <t>Aphea.Bio</t>
        </is>
      </c>
      <c r="C45" s="11" t="inlineStr">
        <is>
          <t/>
        </is>
      </c>
      <c r="D45" s="12" t="inlineStr">
        <is>
          <t/>
        </is>
      </c>
      <c r="E45" s="13" t="inlineStr">
        <is>
          <t>179777-53</t>
        </is>
      </c>
      <c r="F45" s="14" t="inlineStr">
        <is>
          <t>Developer of an agricultural technology designed to provide biology-based agricultural products for crop protection and crop improvement. The company's agricultural technology provides agricultural biological products and services for fungal bio-control, growth of crops such as wheat and maize and focuses on the exploitation of micro-organisms that reduces the crop production, enabling farmers and industries to provide sustainable and robust agriculture products.</t>
        </is>
      </c>
      <c r="G45" s="15" t="inlineStr">
        <is>
          <t>Materials and Resources</t>
        </is>
      </c>
      <c r="H45" s="16" t="inlineStr">
        <is>
          <t>Agriculture</t>
        </is>
      </c>
      <c r="I45" s="17" t="inlineStr">
        <is>
          <t>Other Agriculture</t>
        </is>
      </c>
      <c r="J45" s="18" t="inlineStr">
        <is>
          <t>Other Agriculture*; Other Pharmaceuticals and Biotechnology</t>
        </is>
      </c>
      <c r="K45" s="19" t="inlineStr">
        <is>
          <t>AgTech, Life Sciences</t>
        </is>
      </c>
      <c r="L45" s="20" t="inlineStr">
        <is>
          <t>Venture Capital-Backed</t>
        </is>
      </c>
      <c r="M45" s="21" t="n">
        <v>7.7</v>
      </c>
      <c r="N45" s="22" t="inlineStr">
        <is>
          <t>Product Development</t>
        </is>
      </c>
      <c r="O45" s="23" t="inlineStr">
        <is>
          <t>Privately Held (backing)</t>
        </is>
      </c>
      <c r="P45" s="24" t="inlineStr">
        <is>
          <t>Venture Capital</t>
        </is>
      </c>
      <c r="Q45" s="25" t="inlineStr">
        <is>
          <t>aphea.bio</t>
        </is>
      </c>
      <c r="R45" s="26" t="inlineStr">
        <is>
          <t/>
        </is>
      </c>
      <c r="S45" s="27" t="inlineStr">
        <is>
          <t/>
        </is>
      </c>
      <c r="T45" s="28" t="inlineStr">
        <is>
          <t/>
        </is>
      </c>
      <c r="U45" s="29" t="n">
        <v>2016.0</v>
      </c>
      <c r="V45" s="30" t="inlineStr">
        <is>
          <t/>
        </is>
      </c>
      <c r="W45" s="31" t="inlineStr">
        <is>
          <t/>
        </is>
      </c>
      <c r="X45" s="32" t="inlineStr">
        <is>
          <t/>
        </is>
      </c>
      <c r="Y45" s="33" t="inlineStr">
        <is>
          <t/>
        </is>
      </c>
      <c r="Z45" s="34" t="inlineStr">
        <is>
          <t/>
        </is>
      </c>
      <c r="AA45" s="35" t="inlineStr">
        <is>
          <t/>
        </is>
      </c>
      <c r="AB45" s="36" t="inlineStr">
        <is>
          <t/>
        </is>
      </c>
      <c r="AC45" s="37" t="inlineStr">
        <is>
          <t/>
        </is>
      </c>
      <c r="AD45" s="38" t="inlineStr">
        <is>
          <t/>
        </is>
      </c>
      <c r="AE45" s="39" t="inlineStr">
        <is>
          <t>161193-88P</t>
        </is>
      </c>
      <c r="AF45" s="40" t="inlineStr">
        <is>
          <t>Isabel Vercauteren</t>
        </is>
      </c>
      <c r="AG45" s="41" t="inlineStr">
        <is>
          <t>Chief Executive Officer &amp; Co-Founder</t>
        </is>
      </c>
      <c r="AH45" s="42" t="inlineStr">
        <is>
          <t>isabel.vercauteren@aphea.bio</t>
        </is>
      </c>
      <c r="AI45" s="43" t="inlineStr">
        <is>
          <t>+32470821617</t>
        </is>
      </c>
      <c r="AJ45" s="44" t="inlineStr">
        <is>
          <t>Ghent, Belgium</t>
        </is>
      </c>
      <c r="AK45" s="45" t="inlineStr">
        <is>
          <t>Technologiepark 21</t>
        </is>
      </c>
      <c r="AL45" s="46" t="inlineStr">
        <is>
          <t>Zwijnaarde</t>
        </is>
      </c>
      <c r="AM45" s="47" t="inlineStr">
        <is>
          <t>Ghent</t>
        </is>
      </c>
      <c r="AN45" s="48" t="inlineStr">
        <is>
          <t/>
        </is>
      </c>
      <c r="AO45" s="49" t="inlineStr">
        <is>
          <t>9052</t>
        </is>
      </c>
      <c r="AP45" s="50" t="inlineStr">
        <is>
          <t>Belgium</t>
        </is>
      </c>
      <c r="AQ45" s="51" t="inlineStr">
        <is>
          <t/>
        </is>
      </c>
      <c r="AR45" s="52" t="inlineStr">
        <is>
          <t/>
        </is>
      </c>
      <c r="AS45" s="53" t="inlineStr">
        <is>
          <t>info@aphea.bio</t>
        </is>
      </c>
      <c r="AT45" s="54" t="inlineStr">
        <is>
          <t>Europe</t>
        </is>
      </c>
      <c r="AU45" s="55" t="inlineStr">
        <is>
          <t>Western Europe</t>
        </is>
      </c>
      <c r="AV45" s="56" t="inlineStr">
        <is>
          <t>The company raised EUR 7.7 million of Series A venture funding led by V-Bio Ventures on June 16, 2017. PMV, Agri Investment Fund, VIVES, Qbic, KU Leuven Research &amp; Development, Group De Ceuster and VIB also participated in this round. The company also received EUR 1.3 million of grant funding from Flanders Innovation &amp; Entrepreneurship (VLAIO). The company will use the funds to continue to advance its biologicals.</t>
        </is>
      </c>
      <c r="AW45" s="57" t="inlineStr">
        <is>
          <t>Agri Investment Fund, Group De Ceuster, KU Leuven Research &amp; Development, ParticipatieMaatschappij Vlaanderen, Qbic Fund, V-Bio Ventures, VIB, VIVES, Vlaams Agentschap Innoveren en Ondernemen</t>
        </is>
      </c>
      <c r="AX45" s="58" t="n">
        <v>9.0</v>
      </c>
      <c r="AY45" s="59" t="inlineStr">
        <is>
          <t/>
        </is>
      </c>
      <c r="AZ45" s="60" t="inlineStr">
        <is>
          <t/>
        </is>
      </c>
      <c r="BA45" s="61" t="inlineStr">
        <is>
          <t/>
        </is>
      </c>
      <c r="BB45" s="62" t="inlineStr">
        <is>
          <t>Agri Investment Fund (www.aifund.be), Group De Ceuster (www.groupdc.be), KU Leuven Research &amp; Development (www.lrd.kuleuven.be), ParticipatieMaatschappij Vlaanderen (www.pmv.eu), Qbic Fund (www.qbic.be), VIB (www.vib.be), VIVES (www.vivesfund.com), Vlaams Agentschap Innoveren en Ondernemen (www.vlaio.be)</t>
        </is>
      </c>
      <c r="BC45" s="63" t="inlineStr">
        <is>
          <t/>
        </is>
      </c>
      <c r="BD45" s="64" t="inlineStr">
        <is>
          <t/>
        </is>
      </c>
      <c r="BE45" s="65" t="inlineStr">
        <is>
          <t/>
        </is>
      </c>
      <c r="BF45" s="66" t="inlineStr">
        <is>
          <t/>
        </is>
      </c>
      <c r="BG45" s="67" t="n">
        <v>42902.0</v>
      </c>
      <c r="BH45" s="68" t="n">
        <v>9.0</v>
      </c>
      <c r="BI45" s="69" t="inlineStr">
        <is>
          <t>Actual</t>
        </is>
      </c>
      <c r="BJ45" s="70" t="inlineStr">
        <is>
          <t/>
        </is>
      </c>
      <c r="BK45" s="71" t="inlineStr">
        <is>
          <t/>
        </is>
      </c>
      <c r="BL45" s="72" t="inlineStr">
        <is>
          <t>Early Stage VC</t>
        </is>
      </c>
      <c r="BM45" s="73" t="inlineStr">
        <is>
          <t>Series A</t>
        </is>
      </c>
      <c r="BN45" s="74" t="inlineStr">
        <is>
          <t/>
        </is>
      </c>
      <c r="BO45" s="75" t="inlineStr">
        <is>
          <t>Venture Capital</t>
        </is>
      </c>
      <c r="BP45" s="76" t="inlineStr">
        <is>
          <t/>
        </is>
      </c>
      <c r="BQ45" s="77" t="inlineStr">
        <is>
          <t/>
        </is>
      </c>
      <c r="BR45" s="78" t="inlineStr">
        <is>
          <t/>
        </is>
      </c>
      <c r="BS45" s="79" t="inlineStr">
        <is>
          <t>Completed</t>
        </is>
      </c>
      <c r="BT45" s="80" t="n">
        <v>42902.0</v>
      </c>
      <c r="BU45" s="81" t="n">
        <v>9.0</v>
      </c>
      <c r="BV45" s="82" t="inlineStr">
        <is>
          <t>Actual</t>
        </is>
      </c>
      <c r="BW45" s="83" t="inlineStr">
        <is>
          <t/>
        </is>
      </c>
      <c r="BX45" s="84" t="inlineStr">
        <is>
          <t/>
        </is>
      </c>
      <c r="BY45" s="85" t="inlineStr">
        <is>
          <t>Early Stage VC</t>
        </is>
      </c>
      <c r="BZ45" s="86" t="inlineStr">
        <is>
          <t>Series A</t>
        </is>
      </c>
      <c r="CA45" s="87" t="inlineStr">
        <is>
          <t/>
        </is>
      </c>
      <c r="CB45" s="88" t="inlineStr">
        <is>
          <t>Venture Capital</t>
        </is>
      </c>
      <c r="CC45" s="89" t="inlineStr">
        <is>
          <t/>
        </is>
      </c>
      <c r="CD45" s="90" t="inlineStr">
        <is>
          <t/>
        </is>
      </c>
      <c r="CE45" s="91" t="inlineStr">
        <is>
          <t/>
        </is>
      </c>
      <c r="CF45" s="92" t="inlineStr">
        <is>
          <t>Completed</t>
        </is>
      </c>
      <c r="CG45" s="93" t="inlineStr">
        <is>
          <t>0,00%</t>
        </is>
      </c>
      <c r="CH45" s="94" t="inlineStr">
        <is>
          <t>23</t>
        </is>
      </c>
      <c r="CI45" s="95" t="inlineStr">
        <is>
          <t>0,00%</t>
        </is>
      </c>
      <c r="CJ45" s="96" t="inlineStr">
        <is>
          <t>0,00%</t>
        </is>
      </c>
      <c r="CK45" s="97" t="inlineStr">
        <is>
          <t>0,00%</t>
        </is>
      </c>
      <c r="CL45" s="98" t="inlineStr">
        <is>
          <t>18</t>
        </is>
      </c>
      <c r="CM45" s="99" t="inlineStr">
        <is>
          <t/>
        </is>
      </c>
      <c r="CN45" s="100" t="inlineStr">
        <is>
          <t/>
        </is>
      </c>
      <c r="CO45" s="101" t="inlineStr">
        <is>
          <t>0,00%</t>
        </is>
      </c>
      <c r="CP45" s="102" t="inlineStr">
        <is>
          <t>26</t>
        </is>
      </c>
      <c r="CQ45" s="103" t="inlineStr">
        <is>
          <t/>
        </is>
      </c>
      <c r="CR45" s="104" t="inlineStr">
        <is>
          <t/>
        </is>
      </c>
      <c r="CS45" s="105" t="inlineStr">
        <is>
          <t/>
        </is>
      </c>
      <c r="CT45" s="106" t="inlineStr">
        <is>
          <t/>
        </is>
      </c>
      <c r="CU45" s="107" t="inlineStr">
        <is>
          <t/>
        </is>
      </c>
      <c r="CV45" s="108" t="inlineStr">
        <is>
          <t/>
        </is>
      </c>
      <c r="CW45" s="109" t="inlineStr">
        <is>
          <t>0,22x</t>
        </is>
      </c>
      <c r="CX45" s="110" t="inlineStr">
        <is>
          <t>18</t>
        </is>
      </c>
      <c r="CY45" s="111" t="inlineStr">
        <is>
          <t>0,00x</t>
        </is>
      </c>
      <c r="CZ45" s="112" t="inlineStr">
        <is>
          <t>0,00%</t>
        </is>
      </c>
      <c r="DA45" s="113" t="inlineStr">
        <is>
          <t>0,22x</t>
        </is>
      </c>
      <c r="DB45" s="114" t="inlineStr">
        <is>
          <t>21</t>
        </is>
      </c>
      <c r="DC45" s="115" t="inlineStr">
        <is>
          <t/>
        </is>
      </c>
      <c r="DD45" s="116" t="inlineStr">
        <is>
          <t/>
        </is>
      </c>
      <c r="DE45" s="117" t="inlineStr">
        <is>
          <t>0,22x</t>
        </is>
      </c>
      <c r="DF45" s="118" t="inlineStr">
        <is>
          <t>20</t>
        </is>
      </c>
      <c r="DG45" s="119" t="inlineStr">
        <is>
          <t/>
        </is>
      </c>
      <c r="DH45" s="120" t="inlineStr">
        <is>
          <t/>
        </is>
      </c>
      <c r="DI45" s="121" t="inlineStr">
        <is>
          <t/>
        </is>
      </c>
      <c r="DJ45" s="122" t="inlineStr">
        <is>
          <t/>
        </is>
      </c>
      <c r="DK45" s="123" t="inlineStr">
        <is>
          <t/>
        </is>
      </c>
      <c r="DL45" s="124" t="inlineStr">
        <is>
          <t/>
        </is>
      </c>
      <c r="DM45" s="125" t="inlineStr">
        <is>
          <t>135</t>
        </is>
      </c>
      <c r="DN45" s="126" t="inlineStr">
        <is>
          <t>9</t>
        </is>
      </c>
      <c r="DO45" s="127" t="inlineStr">
        <is>
          <t>7,14%</t>
        </is>
      </c>
      <c r="DP45" s="128" t="inlineStr">
        <is>
          <t/>
        </is>
      </c>
      <c r="DQ45" s="129" t="inlineStr">
        <is>
          <t/>
        </is>
      </c>
      <c r="DR45" s="130" t="inlineStr">
        <is>
          <t/>
        </is>
      </c>
      <c r="DS45" s="131" t="inlineStr">
        <is>
          <t/>
        </is>
      </c>
      <c r="DT45" s="132" t="inlineStr">
        <is>
          <t/>
        </is>
      </c>
      <c r="DU45" s="133" t="inlineStr">
        <is>
          <t/>
        </is>
      </c>
      <c r="DV45" s="134" t="inlineStr">
        <is>
          <t/>
        </is>
      </c>
      <c r="DW45" s="135" t="inlineStr">
        <is>
          <t/>
        </is>
      </c>
      <c r="DX45" s="136" t="inlineStr">
        <is>
          <t/>
        </is>
      </c>
      <c r="DY45" s="137" t="inlineStr">
        <is>
          <t>PitchBook Research</t>
        </is>
      </c>
      <c r="DZ45" s="785">
        <f>HYPERLINK("https://my.pitchbook.com?c=179777-53", "View company online")</f>
      </c>
    </row>
    <row r="46">
      <c r="A46" s="139" t="inlineStr">
        <is>
          <t>57221-92</t>
        </is>
      </c>
      <c r="B46" s="140" t="inlineStr">
        <is>
          <t>Appear Here</t>
        </is>
      </c>
      <c r="C46" s="141" t="inlineStr">
        <is>
          <t/>
        </is>
      </c>
      <c r="D46" s="142" t="inlineStr">
        <is>
          <t/>
        </is>
      </c>
      <c r="E46" s="143" t="inlineStr">
        <is>
          <t>57221-92</t>
        </is>
      </c>
      <c r="F46" s="144" t="inlineStr">
        <is>
          <t>Operator of an online space renting marketplace designed to provide short-term retail space. The company's online space renting marketplace helps to search and book short-term retail space and so-called pop-up shops, enabling commercial landlords who have space to get connected with brands, retailers and entrepreneurs who want to hire retail space for short-term projects such as pop-up shops, product launches and brand showcases.</t>
        </is>
      </c>
      <c r="G46" s="145" t="inlineStr">
        <is>
          <t>Information Technology</t>
        </is>
      </c>
      <c r="H46" s="146" t="inlineStr">
        <is>
          <t>Software</t>
        </is>
      </c>
      <c r="I46" s="147" t="inlineStr">
        <is>
          <t>Social/Platform Software</t>
        </is>
      </c>
      <c r="J46" s="148" t="inlineStr">
        <is>
          <t>Social/Platform Software*; Media and Information Services (B2B); Internet Software</t>
        </is>
      </c>
      <c r="K46" s="149" t="inlineStr">
        <is>
          <t/>
        </is>
      </c>
      <c r="L46" s="150" t="inlineStr">
        <is>
          <t>Venture Capital-Backed</t>
        </is>
      </c>
      <c r="M46" s="151" t="n">
        <v>18.43</v>
      </c>
      <c r="N46" s="152" t="inlineStr">
        <is>
          <t>Startup</t>
        </is>
      </c>
      <c r="O46" s="153" t="inlineStr">
        <is>
          <t>Privately Held (backing)</t>
        </is>
      </c>
      <c r="P46" s="154" t="inlineStr">
        <is>
          <t>Venture Capital</t>
        </is>
      </c>
      <c r="Q46" s="155" t="inlineStr">
        <is>
          <t>www.appearhere.co.uk</t>
        </is>
      </c>
      <c r="R46" s="156" t="n">
        <v>38.0</v>
      </c>
      <c r="S46" s="157" t="inlineStr">
        <is>
          <t/>
        </is>
      </c>
      <c r="T46" s="158" t="inlineStr">
        <is>
          <t/>
        </is>
      </c>
      <c r="U46" s="159" t="n">
        <v>2013.0</v>
      </c>
      <c r="V46" s="160" t="inlineStr">
        <is>
          <t/>
        </is>
      </c>
      <c r="W46" s="161" t="inlineStr">
        <is>
          <t/>
        </is>
      </c>
      <c r="X46" s="162" t="inlineStr">
        <is>
          <t/>
        </is>
      </c>
      <c r="Y46" s="163" t="inlineStr">
        <is>
          <t/>
        </is>
      </c>
      <c r="Z46" s="164" t="inlineStr">
        <is>
          <t/>
        </is>
      </c>
      <c r="AA46" s="165" t="inlineStr">
        <is>
          <t/>
        </is>
      </c>
      <c r="AB46" s="166" t="inlineStr">
        <is>
          <t/>
        </is>
      </c>
      <c r="AC46" s="167" t="inlineStr">
        <is>
          <t/>
        </is>
      </c>
      <c r="AD46" s="168" t="inlineStr">
        <is>
          <t/>
        </is>
      </c>
      <c r="AE46" s="169" t="inlineStr">
        <is>
          <t>51845-05P</t>
        </is>
      </c>
      <c r="AF46" s="170" t="inlineStr">
        <is>
          <t>Ross Bailey</t>
        </is>
      </c>
      <c r="AG46" s="171" t="inlineStr">
        <is>
          <t>Founder &amp; Chief Executive Officer</t>
        </is>
      </c>
      <c r="AH46" s="172" t="inlineStr">
        <is>
          <t>ross@appearhere.co.uk</t>
        </is>
      </c>
      <c r="AI46" s="173" t="inlineStr">
        <is>
          <t>+44 (0)20 3096 2180</t>
        </is>
      </c>
      <c r="AJ46" s="174" t="inlineStr">
        <is>
          <t>London, United Kingdom</t>
        </is>
      </c>
      <c r="AK46" s="175" t="inlineStr">
        <is>
          <t>13/19 Vine Hill</t>
        </is>
      </c>
      <c r="AL46" s="176" t="inlineStr">
        <is>
          <t>Second floor</t>
        </is>
      </c>
      <c r="AM46" s="177" t="inlineStr">
        <is>
          <t>London</t>
        </is>
      </c>
      <c r="AN46" s="178" t="inlineStr">
        <is>
          <t>England</t>
        </is>
      </c>
      <c r="AO46" s="179" t="inlineStr">
        <is>
          <t>EC1R 5DW</t>
        </is>
      </c>
      <c r="AP46" s="180" t="inlineStr">
        <is>
          <t>United Kingdom</t>
        </is>
      </c>
      <c r="AQ46" s="181" t="inlineStr">
        <is>
          <t>+44 (0)20 3096 2180</t>
        </is>
      </c>
      <c r="AR46" s="182" t="inlineStr">
        <is>
          <t/>
        </is>
      </c>
      <c r="AS46" s="183" t="inlineStr">
        <is>
          <t>hello@appearhere.co.uk</t>
        </is>
      </c>
      <c r="AT46" s="184" t="inlineStr">
        <is>
          <t>Europe</t>
        </is>
      </c>
      <c r="AU46" s="185" t="inlineStr">
        <is>
          <t>Western Europe</t>
        </is>
      </c>
      <c r="AV46" s="186" t="inlineStr">
        <is>
          <t>The company raised $12 million of Series B venture funding in a deal led by Octopus Ventures on May 16, 2017. Simon Ventures, Balderton Capital, MMC Ventures, Meyer Bergman and Playfair Capital also participated in the round. The company will use the funds to expand internationally to top global retail cities, grow the executive team with key senior hires and build out the data science component of the platform to give brands and landlords greater access to smart insights to drive decision making.</t>
        </is>
      </c>
      <c r="AW46" s="187" t="inlineStr">
        <is>
          <t>Alex Buttle, Balderton Capital, Ballpark Ventures, Federico Pirzio-Biroli, Forward Dimension Capital, Forward Internet Group, Forward Partners, Harry Jones, HOWZAT Partners, Marc Hazan, Meyer Bergman, Miroma Ventures, MMC Ventures, Octopus Ventures, Playfair Capital, Simon Venture, Tom Leathes</t>
        </is>
      </c>
      <c r="AX46" s="188" t="n">
        <v>17.0</v>
      </c>
      <c r="AY46" s="189" t="inlineStr">
        <is>
          <t/>
        </is>
      </c>
      <c r="AZ46" s="190" t="inlineStr">
        <is>
          <t/>
        </is>
      </c>
      <c r="BA46" s="191" t="inlineStr">
        <is>
          <t/>
        </is>
      </c>
      <c r="BB46" s="192" t="inlineStr">
        <is>
          <t>Balderton Capital (www.balderton.com), Ballpark Ventures (www.ballparkventures.com), Forward Dimension Capital (www.forwarddimension.com), Forward Internet Group (www.forward.co.uk), Forward Partners (www.forwardpartners.com), Harry Jones (top10.com/company/team/harry_jones), HOWZAT Partners (www.howzatpartners.com), Meyer Bergman (www.meyerbergman.com), Miroma Ventures (www.miromaventures.com), MMC Ventures (www.mmcventures.com), Octopus Ventures (www.octopusventures.com), Playfair Capital (www.playfaircapital.com), Simon Venture (www.simonventures.co)</t>
        </is>
      </c>
      <c r="BC46" s="193" t="inlineStr">
        <is>
          <t/>
        </is>
      </c>
      <c r="BD46" s="194" t="inlineStr">
        <is>
          <t/>
        </is>
      </c>
      <c r="BE46" s="195" t="inlineStr">
        <is>
          <t>JAG Shaw Baker (Legal Advisor), Upscale UK (Consulting)</t>
        </is>
      </c>
      <c r="BF46" s="196" t="inlineStr">
        <is>
          <t/>
        </is>
      </c>
      <c r="BG46" s="197" t="n">
        <v>41275.0</v>
      </c>
      <c r="BH46" s="198" t="inlineStr">
        <is>
          <t/>
        </is>
      </c>
      <c r="BI46" s="199" t="inlineStr">
        <is>
          <t/>
        </is>
      </c>
      <c r="BJ46" s="200" t="inlineStr">
        <is>
          <t/>
        </is>
      </c>
      <c r="BK46" s="201" t="inlineStr">
        <is>
          <t/>
        </is>
      </c>
      <c r="BL46" s="202" t="inlineStr">
        <is>
          <t>Early Stage VC</t>
        </is>
      </c>
      <c r="BM46" s="203" t="inlineStr">
        <is>
          <t/>
        </is>
      </c>
      <c r="BN46" s="204" t="inlineStr">
        <is>
          <t/>
        </is>
      </c>
      <c r="BO46" s="205" t="inlineStr">
        <is>
          <t>Venture Capital</t>
        </is>
      </c>
      <c r="BP46" s="206" t="inlineStr">
        <is>
          <t/>
        </is>
      </c>
      <c r="BQ46" s="207" t="inlineStr">
        <is>
          <t/>
        </is>
      </c>
      <c r="BR46" s="208" t="inlineStr">
        <is>
          <t/>
        </is>
      </c>
      <c r="BS46" s="209" t="inlineStr">
        <is>
          <t>Completed</t>
        </is>
      </c>
      <c r="BT46" s="210" t="n">
        <v>42871.0</v>
      </c>
      <c r="BU46" s="211" t="n">
        <v>10.87</v>
      </c>
      <c r="BV46" s="212" t="inlineStr">
        <is>
          <t>Actual</t>
        </is>
      </c>
      <c r="BW46" s="213" t="inlineStr">
        <is>
          <t/>
        </is>
      </c>
      <c r="BX46" s="214" t="inlineStr">
        <is>
          <t/>
        </is>
      </c>
      <c r="BY46" s="215" t="inlineStr">
        <is>
          <t>Early Stage VC</t>
        </is>
      </c>
      <c r="BZ46" s="216" t="inlineStr">
        <is>
          <t>Series B</t>
        </is>
      </c>
      <c r="CA46" s="217" t="inlineStr">
        <is>
          <t/>
        </is>
      </c>
      <c r="CB46" s="218" t="inlineStr">
        <is>
          <t>Venture Capital</t>
        </is>
      </c>
      <c r="CC46" s="219" t="inlineStr">
        <is>
          <t/>
        </is>
      </c>
      <c r="CD46" s="220" t="inlineStr">
        <is>
          <t/>
        </is>
      </c>
      <c r="CE46" s="221" t="inlineStr">
        <is>
          <t/>
        </is>
      </c>
      <c r="CF46" s="222" t="inlineStr">
        <is>
          <t>Completed</t>
        </is>
      </c>
      <c r="CG46" s="223" t="inlineStr">
        <is>
          <t>0,51%</t>
        </is>
      </c>
      <c r="CH46" s="224" t="inlineStr">
        <is>
          <t>84</t>
        </is>
      </c>
      <c r="CI46" s="225" t="inlineStr">
        <is>
          <t>-0,03%</t>
        </is>
      </c>
      <c r="CJ46" s="226" t="inlineStr">
        <is>
          <t>-5,98%</t>
        </is>
      </c>
      <c r="CK46" s="227" t="inlineStr">
        <is>
          <t>0,38%</t>
        </is>
      </c>
      <c r="CL46" s="228" t="inlineStr">
        <is>
          <t>83</t>
        </is>
      </c>
      <c r="CM46" s="229" t="inlineStr">
        <is>
          <t>0,64%</t>
        </is>
      </c>
      <c r="CN46" s="230" t="inlineStr">
        <is>
          <t>92</t>
        </is>
      </c>
      <c r="CO46" s="231" t="inlineStr">
        <is>
          <t>0,63%</t>
        </is>
      </c>
      <c r="CP46" s="232" t="inlineStr">
        <is>
          <t>83</t>
        </is>
      </c>
      <c r="CQ46" s="233" t="inlineStr">
        <is>
          <t>0,13%</t>
        </is>
      </c>
      <c r="CR46" s="234" t="inlineStr">
        <is>
          <t>83</t>
        </is>
      </c>
      <c r="CS46" s="235" t="inlineStr">
        <is>
          <t>1,14%</t>
        </is>
      </c>
      <c r="CT46" s="236" t="inlineStr">
        <is>
          <t>95</t>
        </is>
      </c>
      <c r="CU46" s="237" t="inlineStr">
        <is>
          <t>0,14%</t>
        </is>
      </c>
      <c r="CV46" s="238" t="inlineStr">
        <is>
          <t>72</t>
        </is>
      </c>
      <c r="CW46" s="239" t="inlineStr">
        <is>
          <t>33,59x</t>
        </is>
      </c>
      <c r="CX46" s="240" t="inlineStr">
        <is>
          <t>94</t>
        </is>
      </c>
      <c r="CY46" s="241" t="inlineStr">
        <is>
          <t>0,64x</t>
        </is>
      </c>
      <c r="CZ46" s="242" t="inlineStr">
        <is>
          <t>1,94%</t>
        </is>
      </c>
      <c r="DA46" s="243" t="inlineStr">
        <is>
          <t>25,42x</t>
        </is>
      </c>
      <c r="DB46" s="244" t="inlineStr">
        <is>
          <t>94</t>
        </is>
      </c>
      <c r="DC46" s="245" t="inlineStr">
        <is>
          <t>41,77x</t>
        </is>
      </c>
      <c r="DD46" s="246" t="inlineStr">
        <is>
          <t>94</t>
        </is>
      </c>
      <c r="DE46" s="247" t="inlineStr">
        <is>
          <t>32,01x</t>
        </is>
      </c>
      <c r="DF46" s="248" t="inlineStr">
        <is>
          <t>91</t>
        </is>
      </c>
      <c r="DG46" s="249" t="inlineStr">
        <is>
          <t>18,83x</t>
        </is>
      </c>
      <c r="DH46" s="250" t="inlineStr">
        <is>
          <t>92</t>
        </is>
      </c>
      <c r="DI46" s="251" t="inlineStr">
        <is>
          <t>32,27x</t>
        </is>
      </c>
      <c r="DJ46" s="252" t="inlineStr">
        <is>
          <t>91</t>
        </is>
      </c>
      <c r="DK46" s="253" t="inlineStr">
        <is>
          <t>51,26x</t>
        </is>
      </c>
      <c r="DL46" s="254" t="inlineStr">
        <is>
          <t>96</t>
        </is>
      </c>
      <c r="DM46" s="255" t="inlineStr">
        <is>
          <t>19.578</t>
        </is>
      </c>
      <c r="DN46" s="256" t="inlineStr">
        <is>
          <t>327</t>
        </is>
      </c>
      <c r="DO46" s="257" t="inlineStr">
        <is>
          <t>1,70%</t>
        </is>
      </c>
      <c r="DP46" s="258" t="inlineStr">
        <is>
          <t>25.608</t>
        </is>
      </c>
      <c r="DQ46" s="259" t="inlineStr">
        <is>
          <t>325</t>
        </is>
      </c>
      <c r="DR46" s="260" t="inlineStr">
        <is>
          <t>1,29%</t>
        </is>
      </c>
      <c r="DS46" s="261" t="inlineStr">
        <is>
          <t>680</t>
        </is>
      </c>
      <c r="DT46" s="262" t="inlineStr">
        <is>
          <t>-5</t>
        </is>
      </c>
      <c r="DU46" s="263" t="inlineStr">
        <is>
          <t>-0,73%</t>
        </is>
      </c>
      <c r="DV46" s="264" t="inlineStr">
        <is>
          <t>17.573</t>
        </is>
      </c>
      <c r="DW46" s="265" t="inlineStr">
        <is>
          <t>20</t>
        </is>
      </c>
      <c r="DX46" s="266" t="inlineStr">
        <is>
          <t>0,11%</t>
        </is>
      </c>
      <c r="DY46" s="267" t="inlineStr">
        <is>
          <t>PitchBook Research</t>
        </is>
      </c>
      <c r="DZ46" s="786">
        <f>HYPERLINK("https://my.pitchbook.com?c=57221-92", "View company online")</f>
      </c>
    </row>
    <row r="47">
      <c r="A47" s="9" t="inlineStr">
        <is>
          <t>57287-89</t>
        </is>
      </c>
      <c r="B47" s="10" t="inlineStr">
        <is>
          <t>AppLift</t>
        </is>
      </c>
      <c r="C47" s="11" t="inlineStr">
        <is>
          <t/>
        </is>
      </c>
      <c r="D47" s="12" t="inlineStr">
        <is>
          <t/>
        </is>
      </c>
      <c r="E47" s="13" t="inlineStr">
        <is>
          <t>57287-89</t>
        </is>
      </c>
      <c r="F47" s="14" t="inlineStr">
        <is>
          <t>Operator of a mobile ad-tech company intended to empower mobile application advertisers in order to take control of every stage of the app marketing lifecycle. The company's platform, DataLift 360, enables advertisers to launch their apps as well as grow and retain quality users from one interface. The company allows app marketers to programmatically access all major mobile ad inventory worldwide and control their campaigns through a single proprietary technology platform, which provides advanced data integration as well as extended targeting and audience management capabilities.</t>
        </is>
      </c>
      <c r="G47" s="15" t="inlineStr">
        <is>
          <t>Information Technology</t>
        </is>
      </c>
      <c r="H47" s="16" t="inlineStr">
        <is>
          <t>Software</t>
        </is>
      </c>
      <c r="I47" s="17" t="inlineStr">
        <is>
          <t>Application Software</t>
        </is>
      </c>
      <c r="J47" s="18" t="inlineStr">
        <is>
          <t>Application Software*; Media and Information Services (B2B); Business/Productivity Software</t>
        </is>
      </c>
      <c r="K47" s="19" t="inlineStr">
        <is>
          <t>AdTech, Marketing Tech, Mobile</t>
        </is>
      </c>
      <c r="L47" s="20" t="inlineStr">
        <is>
          <t>Venture Capital-Backed</t>
        </is>
      </c>
      <c r="M47" s="21" t="n">
        <v>15.0</v>
      </c>
      <c r="N47" s="22" t="inlineStr">
        <is>
          <t>Generating Revenue</t>
        </is>
      </c>
      <c r="O47" s="23" t="inlineStr">
        <is>
          <t>Privately Held (backing)</t>
        </is>
      </c>
      <c r="P47" s="24" t="inlineStr">
        <is>
          <t>Venture Capital</t>
        </is>
      </c>
      <c r="Q47" s="25" t="inlineStr">
        <is>
          <t>www.applift.com</t>
        </is>
      </c>
      <c r="R47" s="26" t="n">
        <v>230.0</v>
      </c>
      <c r="S47" s="27" t="inlineStr">
        <is>
          <t/>
        </is>
      </c>
      <c r="T47" s="28" t="inlineStr">
        <is>
          <t/>
        </is>
      </c>
      <c r="U47" s="29" t="n">
        <v>2012.0</v>
      </c>
      <c r="V47" s="30" t="inlineStr">
        <is>
          <t/>
        </is>
      </c>
      <c r="W47" s="31" t="inlineStr">
        <is>
          <t/>
        </is>
      </c>
      <c r="X47" s="32" t="inlineStr">
        <is>
          <t/>
        </is>
      </c>
      <c r="Y47" s="33" t="n">
        <v>91.873</v>
      </c>
      <c r="Z47" s="34" t="inlineStr">
        <is>
          <t/>
        </is>
      </c>
      <c r="AA47" s="35" t="inlineStr">
        <is>
          <t/>
        </is>
      </c>
      <c r="AB47" s="36" t="inlineStr">
        <is>
          <t/>
        </is>
      </c>
      <c r="AC47" s="37" t="inlineStr">
        <is>
          <t/>
        </is>
      </c>
      <c r="AD47" s="38" t="inlineStr">
        <is>
          <t>FY 2015</t>
        </is>
      </c>
      <c r="AE47" s="39" t="inlineStr">
        <is>
          <t>50083-66P</t>
        </is>
      </c>
      <c r="AF47" s="40" t="inlineStr">
        <is>
          <t>Tim Koschella</t>
        </is>
      </c>
      <c r="AG47" s="41" t="inlineStr">
        <is>
          <t>Co-Founder &amp; Chief Executive Officer</t>
        </is>
      </c>
      <c r="AH47" s="42" t="inlineStr">
        <is>
          <t>tim@applift.com</t>
        </is>
      </c>
      <c r="AI47" s="43" t="inlineStr">
        <is>
          <t>+49 (0)30 2408 8820 0</t>
        </is>
      </c>
      <c r="AJ47" s="44" t="inlineStr">
        <is>
          <t>Berlin, Germany</t>
        </is>
      </c>
      <c r="AK47" s="45" t="inlineStr">
        <is>
          <t>Rosenstraße 17</t>
        </is>
      </c>
      <c r="AL47" s="46" t="inlineStr">
        <is>
          <t/>
        </is>
      </c>
      <c r="AM47" s="47" t="inlineStr">
        <is>
          <t>Berlin</t>
        </is>
      </c>
      <c r="AN47" s="48" t="inlineStr">
        <is>
          <t/>
        </is>
      </c>
      <c r="AO47" s="49" t="inlineStr">
        <is>
          <t>10178</t>
        </is>
      </c>
      <c r="AP47" s="50" t="inlineStr">
        <is>
          <t>Germany</t>
        </is>
      </c>
      <c r="AQ47" s="51" t="inlineStr">
        <is>
          <t>+49 (0)30 2408 8820 0</t>
        </is>
      </c>
      <c r="AR47" s="52" t="inlineStr">
        <is>
          <t>+49 (0)30 2408 8822 9</t>
        </is>
      </c>
      <c r="AS47" s="53" t="inlineStr">
        <is>
          <t>info@applift.com</t>
        </is>
      </c>
      <c r="AT47" s="54" t="inlineStr">
        <is>
          <t>Europe</t>
        </is>
      </c>
      <c r="AU47" s="55" t="inlineStr">
        <is>
          <t>Western Europe</t>
        </is>
      </c>
      <c r="AV47" s="56" t="inlineStr">
        <is>
          <t>The company raised $7 million of venture funding in a deal led by Prime Ventures on October 17, 2013. Heiko Hubertz also participated. Previously, the company raised $13 million of Series A venture funding from Prime Ventures on June 3, 2013.</t>
        </is>
      </c>
      <c r="AW47" s="57" t="inlineStr">
        <is>
          <t>Heiko Hubertz, HitFox Group, Prime Ventures</t>
        </is>
      </c>
      <c r="AX47" s="58" t="n">
        <v>3.0</v>
      </c>
      <c r="AY47" s="59" t="inlineStr">
        <is>
          <t/>
        </is>
      </c>
      <c r="AZ47" s="60" t="inlineStr">
        <is>
          <t/>
        </is>
      </c>
      <c r="BA47" s="61" t="inlineStr">
        <is>
          <t/>
        </is>
      </c>
      <c r="BB47" s="62" t="inlineStr">
        <is>
          <t>HitFox Group (www.hitfoxgroup.com), Prime Ventures (www.primeventures.com)</t>
        </is>
      </c>
      <c r="BC47" s="63" t="inlineStr">
        <is>
          <t/>
        </is>
      </c>
      <c r="BD47" s="64" t="inlineStr">
        <is>
          <t/>
        </is>
      </c>
      <c r="BE47" s="65" t="inlineStr">
        <is>
          <t/>
        </is>
      </c>
      <c r="BF47" s="66" t="inlineStr">
        <is>
          <t>ACXIT Capital Partners (Advisor), P+P Pöllath + Partners (Legal Advisor)</t>
        </is>
      </c>
      <c r="BG47" s="67" t="n">
        <v>41080.0</v>
      </c>
      <c r="BH47" s="68" t="inlineStr">
        <is>
          <t/>
        </is>
      </c>
      <c r="BI47" s="69" t="inlineStr">
        <is>
          <t/>
        </is>
      </c>
      <c r="BJ47" s="70" t="inlineStr">
        <is>
          <t/>
        </is>
      </c>
      <c r="BK47" s="71" t="inlineStr">
        <is>
          <t/>
        </is>
      </c>
      <c r="BL47" s="72" t="inlineStr">
        <is>
          <t>Accelerator/Incubator</t>
        </is>
      </c>
      <c r="BM47" s="73" t="inlineStr">
        <is>
          <t/>
        </is>
      </c>
      <c r="BN47" s="74" t="inlineStr">
        <is>
          <t/>
        </is>
      </c>
      <c r="BO47" s="75" t="inlineStr">
        <is>
          <t>Other</t>
        </is>
      </c>
      <c r="BP47" s="76" t="inlineStr">
        <is>
          <t/>
        </is>
      </c>
      <c r="BQ47" s="77" t="inlineStr">
        <is>
          <t/>
        </is>
      </c>
      <c r="BR47" s="78" t="inlineStr">
        <is>
          <t/>
        </is>
      </c>
      <c r="BS47" s="79" t="inlineStr">
        <is>
          <t>Completed</t>
        </is>
      </c>
      <c r="BT47" s="80" t="n">
        <v>41564.0</v>
      </c>
      <c r="BU47" s="81" t="n">
        <v>5.13</v>
      </c>
      <c r="BV47" s="82" t="inlineStr">
        <is>
          <t>Actual</t>
        </is>
      </c>
      <c r="BW47" s="83" t="inlineStr">
        <is>
          <t/>
        </is>
      </c>
      <c r="BX47" s="84" t="inlineStr">
        <is>
          <t/>
        </is>
      </c>
      <c r="BY47" s="85" t="inlineStr">
        <is>
          <t>Early Stage VC</t>
        </is>
      </c>
      <c r="BZ47" s="86" t="inlineStr">
        <is>
          <t/>
        </is>
      </c>
      <c r="CA47" s="87" t="inlineStr">
        <is>
          <t/>
        </is>
      </c>
      <c r="CB47" s="88" t="inlineStr">
        <is>
          <t>Venture Capital</t>
        </is>
      </c>
      <c r="CC47" s="89" t="inlineStr">
        <is>
          <t/>
        </is>
      </c>
      <c r="CD47" s="90" t="inlineStr">
        <is>
          <t/>
        </is>
      </c>
      <c r="CE47" s="91" t="inlineStr">
        <is>
          <t/>
        </is>
      </c>
      <c r="CF47" s="92" t="inlineStr">
        <is>
          <t>Completed</t>
        </is>
      </c>
      <c r="CG47" s="93" t="inlineStr">
        <is>
          <t>-0,25%</t>
        </is>
      </c>
      <c r="CH47" s="94" t="inlineStr">
        <is>
          <t>11</t>
        </is>
      </c>
      <c r="CI47" s="95" t="inlineStr">
        <is>
          <t>0,12%</t>
        </is>
      </c>
      <c r="CJ47" s="96" t="inlineStr">
        <is>
          <t>31,92%</t>
        </is>
      </c>
      <c r="CK47" s="97" t="inlineStr">
        <is>
          <t>-0,75%</t>
        </is>
      </c>
      <c r="CL47" s="98" t="inlineStr">
        <is>
          <t>10</t>
        </is>
      </c>
      <c r="CM47" s="99" t="inlineStr">
        <is>
          <t>0,25%</t>
        </is>
      </c>
      <c r="CN47" s="100" t="inlineStr">
        <is>
          <t>78</t>
        </is>
      </c>
      <c r="CO47" s="101" t="inlineStr">
        <is>
          <t>-7,21%</t>
        </is>
      </c>
      <c r="CP47" s="102" t="inlineStr">
        <is>
          <t>4</t>
        </is>
      </c>
      <c r="CQ47" s="103" t="inlineStr">
        <is>
          <t>5,71%</t>
        </is>
      </c>
      <c r="CR47" s="104" t="inlineStr">
        <is>
          <t>95</t>
        </is>
      </c>
      <c r="CS47" s="105" t="inlineStr">
        <is>
          <t>0,11%</t>
        </is>
      </c>
      <c r="CT47" s="106" t="inlineStr">
        <is>
          <t>59</t>
        </is>
      </c>
      <c r="CU47" s="107" t="inlineStr">
        <is>
          <t>0,40%</t>
        </is>
      </c>
      <c r="CV47" s="108" t="inlineStr">
        <is>
          <t>89</t>
        </is>
      </c>
      <c r="CW47" s="109" t="inlineStr">
        <is>
          <t>21,35x</t>
        </is>
      </c>
      <c r="CX47" s="110" t="inlineStr">
        <is>
          <t>92</t>
        </is>
      </c>
      <c r="CY47" s="111" t="inlineStr">
        <is>
          <t>0,53x</t>
        </is>
      </c>
      <c r="CZ47" s="112" t="inlineStr">
        <is>
          <t>2,54%</t>
        </is>
      </c>
      <c r="DA47" s="113" t="inlineStr">
        <is>
          <t>30,60x</t>
        </is>
      </c>
      <c r="DB47" s="114" t="inlineStr">
        <is>
          <t>94</t>
        </is>
      </c>
      <c r="DC47" s="115" t="inlineStr">
        <is>
          <t>12,09x</t>
        </is>
      </c>
      <c r="DD47" s="116" t="inlineStr">
        <is>
          <t>86</t>
        </is>
      </c>
      <c r="DE47" s="117" t="inlineStr">
        <is>
          <t>18,62x</t>
        </is>
      </c>
      <c r="DF47" s="118" t="inlineStr">
        <is>
          <t>88</t>
        </is>
      </c>
      <c r="DG47" s="119" t="inlineStr">
        <is>
          <t>42,58x</t>
        </is>
      </c>
      <c r="DH47" s="120" t="inlineStr">
        <is>
          <t>97</t>
        </is>
      </c>
      <c r="DI47" s="121" t="inlineStr">
        <is>
          <t>11,88x</t>
        </is>
      </c>
      <c r="DJ47" s="122" t="inlineStr">
        <is>
          <t>84</t>
        </is>
      </c>
      <c r="DK47" s="123" t="inlineStr">
        <is>
          <t>12,29x</t>
        </is>
      </c>
      <c r="DL47" s="124" t="inlineStr">
        <is>
          <t>88</t>
        </is>
      </c>
      <c r="DM47" s="125" t="inlineStr">
        <is>
          <t>11.989</t>
        </is>
      </c>
      <c r="DN47" s="126" t="inlineStr">
        <is>
          <t>-1.611</t>
        </is>
      </c>
      <c r="DO47" s="127" t="inlineStr">
        <is>
          <t>-11,85%</t>
        </is>
      </c>
      <c r="DP47" s="128" t="inlineStr">
        <is>
          <t>9.485</t>
        </is>
      </c>
      <c r="DQ47" s="129" t="inlineStr">
        <is>
          <t>8</t>
        </is>
      </c>
      <c r="DR47" s="130" t="inlineStr">
        <is>
          <t>0,08%</t>
        </is>
      </c>
      <c r="DS47" s="131" t="inlineStr">
        <is>
          <t>1.525</t>
        </is>
      </c>
      <c r="DT47" s="132" t="inlineStr">
        <is>
          <t>51</t>
        </is>
      </c>
      <c r="DU47" s="133" t="inlineStr">
        <is>
          <t>3,46%</t>
        </is>
      </c>
      <c r="DV47" s="134" t="inlineStr">
        <is>
          <t>4.215</t>
        </is>
      </c>
      <c r="DW47" s="135" t="inlineStr">
        <is>
          <t>9</t>
        </is>
      </c>
      <c r="DX47" s="136" t="inlineStr">
        <is>
          <t>0,21%</t>
        </is>
      </c>
      <c r="DY47" s="137" t="inlineStr">
        <is>
          <t>PitchBook Research</t>
        </is>
      </c>
      <c r="DZ47" s="785">
        <f>HYPERLINK("https://my.pitchbook.com?c=57287-89", "View company online")</f>
      </c>
    </row>
    <row r="48">
      <c r="A48" s="139" t="inlineStr">
        <is>
          <t>82613-35</t>
        </is>
      </c>
      <c r="B48" s="140" t="inlineStr">
        <is>
          <t>AproPLAN</t>
        </is>
      </c>
      <c r="C48" s="141" t="inlineStr">
        <is>
          <t/>
        </is>
      </c>
      <c r="D48" s="142" t="inlineStr">
        <is>
          <t/>
        </is>
      </c>
      <c r="E48" s="143" t="inlineStr">
        <is>
          <t>82613-35</t>
        </is>
      </c>
      <c r="F48" s="144" t="inlineStr">
        <is>
          <t>Developer of a construction software designed to make construction easier for everyone involved, from the first drawing to the project handover. The company's construction platform, offers a unified space for communication, allowing all sides to share documents, notes, messages and tasks easily, enabling people in the building industry to capture information onsite and communicate in real time with stakeholders, share plans and documents, keep track of what is going on.</t>
        </is>
      </c>
      <c r="G48" s="145" t="inlineStr">
        <is>
          <t>Information Technology</t>
        </is>
      </c>
      <c r="H48" s="146" t="inlineStr">
        <is>
          <t>Software</t>
        </is>
      </c>
      <c r="I48" s="147" t="inlineStr">
        <is>
          <t>Business/Productivity Software</t>
        </is>
      </c>
      <c r="J48" s="148" t="inlineStr">
        <is>
          <t>Business/Productivity Software*</t>
        </is>
      </c>
      <c r="K48" s="149" t="inlineStr">
        <is>
          <t>Mobile, SaaS</t>
        </is>
      </c>
      <c r="L48" s="150" t="inlineStr">
        <is>
          <t>Venture Capital-Backed</t>
        </is>
      </c>
      <c r="M48" s="151" t="n">
        <v>10.24</v>
      </c>
      <c r="N48" s="152" t="inlineStr">
        <is>
          <t>Generating Revenue</t>
        </is>
      </c>
      <c r="O48" s="153" t="inlineStr">
        <is>
          <t>Privately Held (backing)</t>
        </is>
      </c>
      <c r="P48" s="154" t="inlineStr">
        <is>
          <t>Venture Capital</t>
        </is>
      </c>
      <c r="Q48" s="155" t="inlineStr">
        <is>
          <t>www.aproplan.com</t>
        </is>
      </c>
      <c r="R48" s="156" t="inlineStr">
        <is>
          <t/>
        </is>
      </c>
      <c r="S48" s="157" t="inlineStr">
        <is>
          <t/>
        </is>
      </c>
      <c r="T48" s="158" t="inlineStr">
        <is>
          <t/>
        </is>
      </c>
      <c r="U48" s="159" t="n">
        <v>2012.0</v>
      </c>
      <c r="V48" s="160" t="inlineStr">
        <is>
          <t/>
        </is>
      </c>
      <c r="W48" s="161" t="inlineStr">
        <is>
          <t/>
        </is>
      </c>
      <c r="X48" s="162" t="inlineStr">
        <is>
          <t/>
        </is>
      </c>
      <c r="Y48" s="163" t="n">
        <v>1.8099</v>
      </c>
      <c r="Z48" s="164" t="inlineStr">
        <is>
          <t/>
        </is>
      </c>
      <c r="AA48" s="165" t="n">
        <v>-0.74417</v>
      </c>
      <c r="AB48" s="166" t="inlineStr">
        <is>
          <t/>
        </is>
      </c>
      <c r="AC48" s="167" t="n">
        <v>0.05512</v>
      </c>
      <c r="AD48" s="168" t="inlineStr">
        <is>
          <t>FY 2015</t>
        </is>
      </c>
      <c r="AE48" s="169" t="inlineStr">
        <is>
          <t>162219-07P</t>
        </is>
      </c>
      <c r="AF48" s="170" t="inlineStr">
        <is>
          <t>Thomas Goubau</t>
        </is>
      </c>
      <c r="AG48" s="171" t="inlineStr">
        <is>
          <t>Chief Executive Officer &amp; Co-Founder</t>
        </is>
      </c>
      <c r="AH48" s="172" t="inlineStr">
        <is>
          <t>thomas.goubau@aproplan.com</t>
        </is>
      </c>
      <c r="AI48" s="173" t="inlineStr">
        <is>
          <t>+32 (0)2 899 97 00</t>
        </is>
      </c>
      <c r="AJ48" s="174" t="inlineStr">
        <is>
          <t>Brussels, Belgium</t>
        </is>
      </c>
      <c r="AK48" s="175" t="inlineStr">
        <is>
          <t>480 Avenue Louise</t>
        </is>
      </c>
      <c r="AL48" s="176" t="inlineStr">
        <is>
          <t>IT Tower 18th floor</t>
        </is>
      </c>
      <c r="AM48" s="177" t="inlineStr">
        <is>
          <t>Brussels</t>
        </is>
      </c>
      <c r="AN48" s="178" t="inlineStr">
        <is>
          <t/>
        </is>
      </c>
      <c r="AO48" s="179" t="inlineStr">
        <is>
          <t>1050</t>
        </is>
      </c>
      <c r="AP48" s="180" t="inlineStr">
        <is>
          <t>Belgium</t>
        </is>
      </c>
      <c r="AQ48" s="181" t="inlineStr">
        <is>
          <t>+32 (0)2 899 97 00</t>
        </is>
      </c>
      <c r="AR48" s="182" t="inlineStr">
        <is>
          <t/>
        </is>
      </c>
      <c r="AS48" s="183" t="inlineStr">
        <is>
          <t>info@aproplan.com</t>
        </is>
      </c>
      <c r="AT48" s="184" t="inlineStr">
        <is>
          <t>Europe</t>
        </is>
      </c>
      <c r="AU48" s="185" t="inlineStr">
        <is>
          <t>Western Europe</t>
        </is>
      </c>
      <c r="AV48" s="186" t="inlineStr">
        <is>
          <t>The company raised EUR 5 million of Series A venture funding in a round led by Fortino Capital on June 22, 2017. Inventures, Matexi, Pieterjan Bouten, Louis Jonckheere and Peter Minne also participated in this round. The new capital will be used by Aproplan to further its marketing and sales capabilities and to develop new features to improve the on-site experience for the construction workers its wares serve.</t>
        </is>
      </c>
      <c r="AW48" s="187" t="inlineStr">
        <is>
          <t>Fortino Capital, Inventures, Louis Jonckheere, Matexi, NETiKA, Peter Minne, Pieterjan Bouten</t>
        </is>
      </c>
      <c r="AX48" s="188" t="n">
        <v>7.0</v>
      </c>
      <c r="AY48" s="189" t="inlineStr">
        <is>
          <t/>
        </is>
      </c>
      <c r="AZ48" s="190" t="inlineStr">
        <is>
          <t/>
        </is>
      </c>
      <c r="BA48" s="191" t="inlineStr">
        <is>
          <t/>
        </is>
      </c>
      <c r="BB48" s="192" t="inlineStr">
        <is>
          <t>Fortino Capital (www.fortino.be), Matexi (www.matexi.be), NETiKA (www.netika.com)</t>
        </is>
      </c>
      <c r="BC48" s="193" t="inlineStr">
        <is>
          <t/>
        </is>
      </c>
      <c r="BD48" s="194" t="inlineStr">
        <is>
          <t/>
        </is>
      </c>
      <c r="BE48" s="195" t="inlineStr">
        <is>
          <t/>
        </is>
      </c>
      <c r="BF48" s="196" t="inlineStr">
        <is>
          <t>MyMicroInvest (Lead Manager or Arranger), Walloon Region, ING Belgium</t>
        </is>
      </c>
      <c r="BG48" s="197" t="n">
        <v>40909.0</v>
      </c>
      <c r="BH48" s="198" t="n">
        <v>0.4</v>
      </c>
      <c r="BI48" s="199" t="inlineStr">
        <is>
          <t>Actual</t>
        </is>
      </c>
      <c r="BJ48" s="200" t="inlineStr">
        <is>
          <t/>
        </is>
      </c>
      <c r="BK48" s="201" t="inlineStr">
        <is>
          <t/>
        </is>
      </c>
      <c r="BL48" s="202" t="inlineStr">
        <is>
          <t>Debt - General</t>
        </is>
      </c>
      <c r="BM48" s="203" t="inlineStr">
        <is>
          <t>Loan</t>
        </is>
      </c>
      <c r="BN48" s="204" t="inlineStr">
        <is>
          <t/>
        </is>
      </c>
      <c r="BO48" s="205" t="inlineStr">
        <is>
          <t>Debt</t>
        </is>
      </c>
      <c r="BP48" s="206" t="inlineStr">
        <is>
          <t>Loan</t>
        </is>
      </c>
      <c r="BQ48" s="207" t="inlineStr">
        <is>
          <t/>
        </is>
      </c>
      <c r="BR48" s="208" t="inlineStr">
        <is>
          <t/>
        </is>
      </c>
      <c r="BS48" s="209" t="inlineStr">
        <is>
          <t>Completed</t>
        </is>
      </c>
      <c r="BT48" s="210" t="n">
        <v>42908.0</v>
      </c>
      <c r="BU48" s="211" t="n">
        <v>5.0</v>
      </c>
      <c r="BV48" s="212" t="inlineStr">
        <is>
          <t>Actual</t>
        </is>
      </c>
      <c r="BW48" s="213" t="inlineStr">
        <is>
          <t/>
        </is>
      </c>
      <c r="BX48" s="214" t="inlineStr">
        <is>
          <t/>
        </is>
      </c>
      <c r="BY48" s="215" t="inlineStr">
        <is>
          <t>Early Stage VC</t>
        </is>
      </c>
      <c r="BZ48" s="216" t="inlineStr">
        <is>
          <t>Series A</t>
        </is>
      </c>
      <c r="CA48" s="217" t="inlineStr">
        <is>
          <t/>
        </is>
      </c>
      <c r="CB48" s="218" t="inlineStr">
        <is>
          <t>Venture Capital</t>
        </is>
      </c>
      <c r="CC48" s="219" t="inlineStr">
        <is>
          <t/>
        </is>
      </c>
      <c r="CD48" s="220" t="inlineStr">
        <is>
          <t/>
        </is>
      </c>
      <c r="CE48" s="221" t="inlineStr">
        <is>
          <t/>
        </is>
      </c>
      <c r="CF48" s="222" t="inlineStr">
        <is>
          <t>Completed</t>
        </is>
      </c>
      <c r="CG48" s="223" t="inlineStr">
        <is>
          <t>-0,78%</t>
        </is>
      </c>
      <c r="CH48" s="224" t="inlineStr">
        <is>
          <t>7</t>
        </is>
      </c>
      <c r="CI48" s="225" t="inlineStr">
        <is>
          <t>-0,04%</t>
        </is>
      </c>
      <c r="CJ48" s="226" t="inlineStr">
        <is>
          <t>-5,59%</t>
        </is>
      </c>
      <c r="CK48" s="227" t="inlineStr">
        <is>
          <t>-1,71%</t>
        </is>
      </c>
      <c r="CL48" s="228" t="inlineStr">
        <is>
          <t>6</t>
        </is>
      </c>
      <c r="CM48" s="229" t="inlineStr">
        <is>
          <t>0,15%</t>
        </is>
      </c>
      <c r="CN48" s="230" t="inlineStr">
        <is>
          <t>67</t>
        </is>
      </c>
      <c r="CO48" s="231" t="inlineStr">
        <is>
          <t>-4,16%</t>
        </is>
      </c>
      <c r="CP48" s="232" t="inlineStr">
        <is>
          <t>9</t>
        </is>
      </c>
      <c r="CQ48" s="233" t="inlineStr">
        <is>
          <t>0,75%</t>
        </is>
      </c>
      <c r="CR48" s="234" t="inlineStr">
        <is>
          <t>88</t>
        </is>
      </c>
      <c r="CS48" s="235" t="inlineStr">
        <is>
          <t>0,21%</t>
        </is>
      </c>
      <c r="CT48" s="236" t="inlineStr">
        <is>
          <t>71</t>
        </is>
      </c>
      <c r="CU48" s="237" t="inlineStr">
        <is>
          <t>0,10%</t>
        </is>
      </c>
      <c r="CV48" s="238" t="inlineStr">
        <is>
          <t>68</t>
        </is>
      </c>
      <c r="CW48" s="239" t="inlineStr">
        <is>
          <t>4,77x</t>
        </is>
      </c>
      <c r="CX48" s="240" t="inlineStr">
        <is>
          <t>78</t>
        </is>
      </c>
      <c r="CY48" s="241" t="inlineStr">
        <is>
          <t>0,08x</t>
        </is>
      </c>
      <c r="CZ48" s="242" t="inlineStr">
        <is>
          <t>1,80%</t>
        </is>
      </c>
      <c r="DA48" s="243" t="inlineStr">
        <is>
          <t>5,73x</t>
        </is>
      </c>
      <c r="DB48" s="244" t="inlineStr">
        <is>
          <t>82</t>
        </is>
      </c>
      <c r="DC48" s="245" t="inlineStr">
        <is>
          <t>3,82x</t>
        </is>
      </c>
      <c r="DD48" s="246" t="inlineStr">
        <is>
          <t>72</t>
        </is>
      </c>
      <c r="DE48" s="247" t="inlineStr">
        <is>
          <t>6,12x</t>
        </is>
      </c>
      <c r="DF48" s="248" t="inlineStr">
        <is>
          <t>79</t>
        </is>
      </c>
      <c r="DG48" s="249" t="inlineStr">
        <is>
          <t>5,33x</t>
        </is>
      </c>
      <c r="DH48" s="250" t="inlineStr">
        <is>
          <t>79</t>
        </is>
      </c>
      <c r="DI48" s="251" t="inlineStr">
        <is>
          <t>0,90x</t>
        </is>
      </c>
      <c r="DJ48" s="252" t="inlineStr">
        <is>
          <t>49</t>
        </is>
      </c>
      <c r="DK48" s="253" t="inlineStr">
        <is>
          <t>6,74x</t>
        </is>
      </c>
      <c r="DL48" s="254" t="inlineStr">
        <is>
          <t>82</t>
        </is>
      </c>
      <c r="DM48" s="255" t="inlineStr">
        <is>
          <t>3.713</t>
        </is>
      </c>
      <c r="DN48" s="256" t="inlineStr">
        <is>
          <t>159</t>
        </is>
      </c>
      <c r="DO48" s="257" t="inlineStr">
        <is>
          <t>4,47%</t>
        </is>
      </c>
      <c r="DP48" s="258" t="inlineStr">
        <is>
          <t>720</t>
        </is>
      </c>
      <c r="DQ48" s="259" t="inlineStr">
        <is>
          <t>2</t>
        </is>
      </c>
      <c r="DR48" s="260" t="inlineStr">
        <is>
          <t>0,28%</t>
        </is>
      </c>
      <c r="DS48" s="261" t="inlineStr">
        <is>
          <t>191</t>
        </is>
      </c>
      <c r="DT48" s="262" t="inlineStr">
        <is>
          <t>1</t>
        </is>
      </c>
      <c r="DU48" s="263" t="inlineStr">
        <is>
          <t>0,53%</t>
        </is>
      </c>
      <c r="DV48" s="264" t="inlineStr">
        <is>
          <t>2.307</t>
        </is>
      </c>
      <c r="DW48" s="265" t="inlineStr">
        <is>
          <t>1</t>
        </is>
      </c>
      <c r="DX48" s="266" t="inlineStr">
        <is>
          <t>0,04%</t>
        </is>
      </c>
      <c r="DY48" s="267" t="inlineStr">
        <is>
          <t>PitchBook Research</t>
        </is>
      </c>
      <c r="DZ48" s="786">
        <f>HYPERLINK("https://my.pitchbook.com?c=82613-35", "View company online")</f>
      </c>
    </row>
    <row r="49">
      <c r="A49" s="9" t="inlineStr">
        <is>
          <t>60157-09</t>
        </is>
      </c>
      <c r="B49" s="10" t="inlineStr">
        <is>
          <t>Aqdot</t>
        </is>
      </c>
      <c r="C49" s="11" t="inlineStr">
        <is>
          <t/>
        </is>
      </c>
      <c r="D49" s="12" t="inlineStr">
        <is>
          <t/>
        </is>
      </c>
      <c r="E49" s="13" t="inlineStr">
        <is>
          <t>60157-09</t>
        </is>
      </c>
      <c r="F49" s="14" t="inlineStr">
        <is>
          <t>Developer of fabrication technology for micro-capsules. The company specializes in developing and commercializing disruptive encapsulation technologies that enable valuable actives (cargos) to be protected, delivered and released when required.</t>
        </is>
      </c>
      <c r="G49" s="15" t="inlineStr">
        <is>
          <t>Materials and Resources</t>
        </is>
      </c>
      <c r="H49" s="16" t="inlineStr">
        <is>
          <t>Chemicals and Gases</t>
        </is>
      </c>
      <c r="I49" s="17" t="inlineStr">
        <is>
          <t>Specialty Chemicals</t>
        </is>
      </c>
      <c r="J49" s="18" t="inlineStr">
        <is>
          <t>Specialty Chemicals*; Other Chemicals and Gases</t>
        </is>
      </c>
      <c r="K49" s="19" t="inlineStr">
        <is>
          <t>Manufacturing</t>
        </is>
      </c>
      <c r="L49" s="20" t="inlineStr">
        <is>
          <t>Venture Capital-Backed</t>
        </is>
      </c>
      <c r="M49" s="21" t="n">
        <v>10.96</v>
      </c>
      <c r="N49" s="22" t="inlineStr">
        <is>
          <t>Generating Revenue</t>
        </is>
      </c>
      <c r="O49" s="23" t="inlineStr">
        <is>
          <t>Privately Held (backing)</t>
        </is>
      </c>
      <c r="P49" s="24" t="inlineStr">
        <is>
          <t>Venture Capital</t>
        </is>
      </c>
      <c r="Q49" s="25" t="inlineStr">
        <is>
          <t>www.aqdot.com</t>
        </is>
      </c>
      <c r="R49" s="26" t="n">
        <v>20.0</v>
      </c>
      <c r="S49" s="27" t="inlineStr">
        <is>
          <t/>
        </is>
      </c>
      <c r="T49" s="28" t="inlineStr">
        <is>
          <t/>
        </is>
      </c>
      <c r="U49" s="29" t="n">
        <v>2012.0</v>
      </c>
      <c r="V49" s="30" t="inlineStr">
        <is>
          <t/>
        </is>
      </c>
      <c r="W49" s="31" t="inlineStr">
        <is>
          <t/>
        </is>
      </c>
      <c r="X49" s="32" t="inlineStr">
        <is>
          <t/>
        </is>
      </c>
      <c r="Y49" s="33" t="inlineStr">
        <is>
          <t/>
        </is>
      </c>
      <c r="Z49" s="34" t="inlineStr">
        <is>
          <t/>
        </is>
      </c>
      <c r="AA49" s="35" t="inlineStr">
        <is>
          <t/>
        </is>
      </c>
      <c r="AB49" s="36" t="inlineStr">
        <is>
          <t/>
        </is>
      </c>
      <c r="AC49" s="37" t="inlineStr">
        <is>
          <t/>
        </is>
      </c>
      <c r="AD49" s="38" t="inlineStr">
        <is>
          <t/>
        </is>
      </c>
      <c r="AE49" s="39" t="inlineStr">
        <is>
          <t>56446-21P</t>
        </is>
      </c>
      <c r="AF49" s="40" t="inlineStr">
        <is>
          <t>Roger Coulston</t>
        </is>
      </c>
      <c r="AG49" s="41" t="inlineStr">
        <is>
          <t>Co-Founder, Board Member &amp; Chief Scientific Officer</t>
        </is>
      </c>
      <c r="AH49" s="42" t="inlineStr">
        <is>
          <t>roger.coulston@aqdot.com</t>
        </is>
      </c>
      <c r="AI49" s="43" t="inlineStr">
        <is>
          <t>+44 (0)12 2392 8000</t>
        </is>
      </c>
      <c r="AJ49" s="44" t="inlineStr">
        <is>
          <t>Cambridge, United Kingdom</t>
        </is>
      </c>
      <c r="AK49" s="45" t="inlineStr">
        <is>
          <t>Iconix Park</t>
        </is>
      </c>
      <c r="AL49" s="46" t="inlineStr">
        <is>
          <t>London Road</t>
        </is>
      </c>
      <c r="AM49" s="47" t="inlineStr">
        <is>
          <t>Cambridge</t>
        </is>
      </c>
      <c r="AN49" s="48" t="inlineStr">
        <is>
          <t>England</t>
        </is>
      </c>
      <c r="AO49" s="49" t="inlineStr">
        <is>
          <t>CB22 3EG</t>
        </is>
      </c>
      <c r="AP49" s="50" t="inlineStr">
        <is>
          <t>United Kingdom</t>
        </is>
      </c>
      <c r="AQ49" s="51" t="inlineStr">
        <is>
          <t>+44 (0)12 2392 8000</t>
        </is>
      </c>
      <c r="AR49" s="52" t="inlineStr">
        <is>
          <t/>
        </is>
      </c>
      <c r="AS49" s="53" t="inlineStr">
        <is>
          <t>info@aqdot.com</t>
        </is>
      </c>
      <c r="AT49" s="54" t="inlineStr">
        <is>
          <t>Europe</t>
        </is>
      </c>
      <c r="AU49" s="55" t="inlineStr">
        <is>
          <t>Western Europe</t>
        </is>
      </c>
      <c r="AV49" s="56" t="inlineStr">
        <is>
          <t>The company raised GBP 5 million of Series A venture funding led by Imperial Innovations on February 8, 2016, putting the pre-money valuation at GBP 5.13 million. Parkwalk Advisors, Cambridge Enterprise and Providence Investment Company also participated in the round. The funding will allow the company to further expand its market base.</t>
        </is>
      </c>
      <c r="AW49" s="57" t="inlineStr">
        <is>
          <t>Cambridge Enterprise, Climate-KIC, Parkwalk Advisors, Providence Investment Management, Touchstone Innovations</t>
        </is>
      </c>
      <c r="AX49" s="58" t="n">
        <v>5.0</v>
      </c>
      <c r="AY49" s="59" t="inlineStr">
        <is>
          <t/>
        </is>
      </c>
      <c r="AZ49" s="60" t="inlineStr">
        <is>
          <t/>
        </is>
      </c>
      <c r="BA49" s="61" t="inlineStr">
        <is>
          <t/>
        </is>
      </c>
      <c r="BB49" s="62" t="inlineStr">
        <is>
          <t>Cambridge Enterprise (www.enterprise.cam.ac.uk), Climate-KIC (www.climate-kic.org), Parkwalk Advisors (www.parkwalkadvisors.com), Providence Investment Management (www.providenceinvestment.com), Touchstone Innovations (www.touchstoneinnovations.com)</t>
        </is>
      </c>
      <c r="BC49" s="63" t="inlineStr">
        <is>
          <t/>
        </is>
      </c>
      <c r="BD49" s="64" t="inlineStr">
        <is>
          <t/>
        </is>
      </c>
      <c r="BE49" s="65" t="inlineStr">
        <is>
          <t>Peloton Leadership Network (Consulting)</t>
        </is>
      </c>
      <c r="BF49" s="66" t="inlineStr">
        <is>
          <t/>
        </is>
      </c>
      <c r="BG49" s="67" t="n">
        <v>40909.0</v>
      </c>
      <c r="BH49" s="68" t="inlineStr">
        <is>
          <t/>
        </is>
      </c>
      <c r="BI49" s="69" t="inlineStr">
        <is>
          <t/>
        </is>
      </c>
      <c r="BJ49" s="70" t="inlineStr">
        <is>
          <t/>
        </is>
      </c>
      <c r="BK49" s="71" t="inlineStr">
        <is>
          <t/>
        </is>
      </c>
      <c r="BL49" s="72" t="inlineStr">
        <is>
          <t>Early Stage VC</t>
        </is>
      </c>
      <c r="BM49" s="73" t="inlineStr">
        <is>
          <t/>
        </is>
      </c>
      <c r="BN49" s="74" t="inlineStr">
        <is>
          <t/>
        </is>
      </c>
      <c r="BO49" s="75" t="inlineStr">
        <is>
          <t>Venture Capital</t>
        </is>
      </c>
      <c r="BP49" s="76" t="inlineStr">
        <is>
          <t/>
        </is>
      </c>
      <c r="BQ49" s="77" t="inlineStr">
        <is>
          <t/>
        </is>
      </c>
      <c r="BR49" s="78" t="inlineStr">
        <is>
          <t/>
        </is>
      </c>
      <c r="BS49" s="79" t="inlineStr">
        <is>
          <t>Completed</t>
        </is>
      </c>
      <c r="BT49" s="80" t="n">
        <v>42408.0</v>
      </c>
      <c r="BU49" s="81" t="n">
        <v>6.45</v>
      </c>
      <c r="BV49" s="82" t="inlineStr">
        <is>
          <t>Actual</t>
        </is>
      </c>
      <c r="BW49" s="83" t="n">
        <v>13.07</v>
      </c>
      <c r="BX49" s="84" t="inlineStr">
        <is>
          <t>Actual</t>
        </is>
      </c>
      <c r="BY49" s="85" t="inlineStr">
        <is>
          <t>Early Stage VC</t>
        </is>
      </c>
      <c r="BZ49" s="86" t="inlineStr">
        <is>
          <t>Series A</t>
        </is>
      </c>
      <c r="CA49" s="87" t="inlineStr">
        <is>
          <t/>
        </is>
      </c>
      <c r="CB49" s="88" t="inlineStr">
        <is>
          <t>Venture Capital</t>
        </is>
      </c>
      <c r="CC49" s="89" t="inlineStr">
        <is>
          <t/>
        </is>
      </c>
      <c r="CD49" s="90" t="inlineStr">
        <is>
          <t/>
        </is>
      </c>
      <c r="CE49" s="91" t="inlineStr">
        <is>
          <t/>
        </is>
      </c>
      <c r="CF49" s="92" t="inlineStr">
        <is>
          <t>Completed</t>
        </is>
      </c>
      <c r="CG49" s="93" t="inlineStr">
        <is>
          <t>0,22%</t>
        </is>
      </c>
      <c r="CH49" s="94" t="inlineStr">
        <is>
          <t>79</t>
        </is>
      </c>
      <c r="CI49" s="95" t="inlineStr">
        <is>
          <t>0,06%</t>
        </is>
      </c>
      <c r="CJ49" s="96" t="inlineStr">
        <is>
          <t>32,64%</t>
        </is>
      </c>
      <c r="CK49" s="97" t="inlineStr">
        <is>
          <t>0,00%</t>
        </is>
      </c>
      <c r="CL49" s="98" t="inlineStr">
        <is>
          <t>18</t>
        </is>
      </c>
      <c r="CM49" s="99" t="inlineStr">
        <is>
          <t>0,45%</t>
        </is>
      </c>
      <c r="CN49" s="100" t="inlineStr">
        <is>
          <t>88</t>
        </is>
      </c>
      <c r="CO49" s="101" t="inlineStr">
        <is>
          <t>0,00%</t>
        </is>
      </c>
      <c r="CP49" s="102" t="inlineStr">
        <is>
          <t>26</t>
        </is>
      </c>
      <c r="CQ49" s="103" t="inlineStr">
        <is>
          <t>0,00%</t>
        </is>
      </c>
      <c r="CR49" s="104" t="inlineStr">
        <is>
          <t>13</t>
        </is>
      </c>
      <c r="CS49" s="105" t="inlineStr">
        <is>
          <t/>
        </is>
      </c>
      <c r="CT49" s="106" t="inlineStr">
        <is>
          <t/>
        </is>
      </c>
      <c r="CU49" s="107" t="inlineStr">
        <is>
          <t>0,45%</t>
        </is>
      </c>
      <c r="CV49" s="108" t="inlineStr">
        <is>
          <t>90</t>
        </is>
      </c>
      <c r="CW49" s="109" t="inlineStr">
        <is>
          <t>0,56x</t>
        </is>
      </c>
      <c r="CX49" s="110" t="inlineStr">
        <is>
          <t>36</t>
        </is>
      </c>
      <c r="CY49" s="111" t="inlineStr">
        <is>
          <t>0,01x</t>
        </is>
      </c>
      <c r="CZ49" s="112" t="inlineStr">
        <is>
          <t>2,38%</t>
        </is>
      </c>
      <c r="DA49" s="113" t="inlineStr">
        <is>
          <t>0,78x</t>
        </is>
      </c>
      <c r="DB49" s="114" t="inlineStr">
        <is>
          <t>46</t>
        </is>
      </c>
      <c r="DC49" s="115" t="inlineStr">
        <is>
          <t>0,34x</t>
        </is>
      </c>
      <c r="DD49" s="116" t="inlineStr">
        <is>
          <t>29</t>
        </is>
      </c>
      <c r="DE49" s="117" t="inlineStr">
        <is>
          <t>0,56x</t>
        </is>
      </c>
      <c r="DF49" s="118" t="inlineStr">
        <is>
          <t>38</t>
        </is>
      </c>
      <c r="DG49" s="119" t="inlineStr">
        <is>
          <t>1,00x</t>
        </is>
      </c>
      <c r="DH49" s="120" t="inlineStr">
        <is>
          <t>50</t>
        </is>
      </c>
      <c r="DI49" s="121" t="inlineStr">
        <is>
          <t/>
        </is>
      </c>
      <c r="DJ49" s="122" t="inlineStr">
        <is>
          <t/>
        </is>
      </c>
      <c r="DK49" s="123" t="inlineStr">
        <is>
          <t>0,34x</t>
        </is>
      </c>
      <c r="DL49" s="124" t="inlineStr">
        <is>
          <t>33</t>
        </is>
      </c>
      <c r="DM49" s="125" t="inlineStr">
        <is>
          <t>329</t>
        </is>
      </c>
      <c r="DN49" s="126" t="inlineStr">
        <is>
          <t>53</t>
        </is>
      </c>
      <c r="DO49" s="127" t="inlineStr">
        <is>
          <t>19,20%</t>
        </is>
      </c>
      <c r="DP49" s="128" t="inlineStr">
        <is>
          <t/>
        </is>
      </c>
      <c r="DQ49" s="129" t="inlineStr">
        <is>
          <t/>
        </is>
      </c>
      <c r="DR49" s="130" t="inlineStr">
        <is>
          <t/>
        </is>
      </c>
      <c r="DS49" s="131" t="inlineStr">
        <is>
          <t>36</t>
        </is>
      </c>
      <c r="DT49" s="132" t="inlineStr">
        <is>
          <t>0</t>
        </is>
      </c>
      <c r="DU49" s="133" t="inlineStr">
        <is>
          <t>0,00%</t>
        </is>
      </c>
      <c r="DV49" s="134" t="inlineStr">
        <is>
          <t>114</t>
        </is>
      </c>
      <c r="DW49" s="135" t="inlineStr">
        <is>
          <t>1</t>
        </is>
      </c>
      <c r="DX49" s="136" t="inlineStr">
        <is>
          <t>0,88%</t>
        </is>
      </c>
      <c r="DY49" s="137" t="inlineStr">
        <is>
          <t>PitchBook Research</t>
        </is>
      </c>
      <c r="DZ49" s="785">
        <f>HYPERLINK("https://my.pitchbook.com?c=60157-09", "View company online")</f>
      </c>
    </row>
    <row r="50">
      <c r="A50" s="139" t="inlineStr">
        <is>
          <t>82614-79</t>
        </is>
      </c>
      <c r="B50" s="140" t="inlineStr">
        <is>
          <t>ArangoDB</t>
        </is>
      </c>
      <c r="C50" s="141" t="inlineStr">
        <is>
          <t/>
        </is>
      </c>
      <c r="D50" s="142" t="inlineStr">
        <is>
          <t/>
        </is>
      </c>
      <c r="E50" s="143" t="inlineStr">
        <is>
          <t>82614-79</t>
        </is>
      </c>
      <c r="F50" s="144" t="inlineStr">
        <is>
          <t>Developer of an open source database with a data model structure. The company offers NoSQL applications like exchange quote storage, multidimensional in-memory database and secured in-memory session storage in Germany.</t>
        </is>
      </c>
      <c r="G50" s="145" t="inlineStr">
        <is>
          <t>Information Technology</t>
        </is>
      </c>
      <c r="H50" s="146" t="inlineStr">
        <is>
          <t>Software</t>
        </is>
      </c>
      <c r="I50" s="147" t="inlineStr">
        <is>
          <t>Application Software</t>
        </is>
      </c>
      <c r="J50" s="148" t="inlineStr">
        <is>
          <t>Application Software*; Database Software</t>
        </is>
      </c>
      <c r="K50" s="149" t="inlineStr">
        <is>
          <t/>
        </is>
      </c>
      <c r="L50" s="150" t="inlineStr">
        <is>
          <t>Venture Capital-Backed</t>
        </is>
      </c>
      <c r="M50" s="151" t="n">
        <v>6.05</v>
      </c>
      <c r="N50" s="152" t="inlineStr">
        <is>
          <t>Startup</t>
        </is>
      </c>
      <c r="O50" s="153" t="inlineStr">
        <is>
          <t>Privately Held (backing)</t>
        </is>
      </c>
      <c r="P50" s="154" t="inlineStr">
        <is>
          <t>Venture Capital, Private Equity</t>
        </is>
      </c>
      <c r="Q50" s="155" t="inlineStr">
        <is>
          <t>www.arangodb.com</t>
        </is>
      </c>
      <c r="R50" s="156" t="inlineStr">
        <is>
          <t/>
        </is>
      </c>
      <c r="S50" s="157" t="inlineStr">
        <is>
          <t/>
        </is>
      </c>
      <c r="T50" s="158" t="inlineStr">
        <is>
          <t/>
        </is>
      </c>
      <c r="U50" s="159" t="n">
        <v>2014.0</v>
      </c>
      <c r="V50" s="160" t="inlineStr">
        <is>
          <t/>
        </is>
      </c>
      <c r="W50" s="161" t="inlineStr">
        <is>
          <t/>
        </is>
      </c>
      <c r="X50" s="162" t="inlineStr">
        <is>
          <t/>
        </is>
      </c>
      <c r="Y50" s="163" t="inlineStr">
        <is>
          <t/>
        </is>
      </c>
      <c r="Z50" s="164" t="inlineStr">
        <is>
          <t/>
        </is>
      </c>
      <c r="AA50" s="165" t="inlineStr">
        <is>
          <t/>
        </is>
      </c>
      <c r="AB50" s="166" t="inlineStr">
        <is>
          <t/>
        </is>
      </c>
      <c r="AC50" s="167" t="inlineStr">
        <is>
          <t/>
        </is>
      </c>
      <c r="AD50" s="168" t="inlineStr">
        <is>
          <t/>
        </is>
      </c>
      <c r="AE50" s="169" t="inlineStr">
        <is>
          <t>93287-53P</t>
        </is>
      </c>
      <c r="AF50" s="170" t="inlineStr">
        <is>
          <t>Claudius Weinberger</t>
        </is>
      </c>
      <c r="AG50" s="171" t="inlineStr">
        <is>
          <t>Chief Executive Officer &amp; Co-Founder</t>
        </is>
      </c>
      <c r="AH50" s="172" t="inlineStr">
        <is>
          <t>claudius@arangodb.com</t>
        </is>
      </c>
      <c r="AI50" s="173" t="inlineStr">
        <is>
          <t>+49 (0)22 1474 4157 40</t>
        </is>
      </c>
      <c r="AJ50" s="174" t="inlineStr">
        <is>
          <t>Cologne, Germany</t>
        </is>
      </c>
      <c r="AK50" s="175" t="inlineStr">
        <is>
          <t>Hohenstaufenring 43-45</t>
        </is>
      </c>
      <c r="AL50" s="176" t="inlineStr">
        <is>
          <t/>
        </is>
      </c>
      <c r="AM50" s="177" t="inlineStr">
        <is>
          <t>Cologne</t>
        </is>
      </c>
      <c r="AN50" s="178" t="inlineStr">
        <is>
          <t/>
        </is>
      </c>
      <c r="AO50" s="179" t="inlineStr">
        <is>
          <t>50674</t>
        </is>
      </c>
      <c r="AP50" s="180" t="inlineStr">
        <is>
          <t>Germany</t>
        </is>
      </c>
      <c r="AQ50" s="181" t="inlineStr">
        <is>
          <t>+49 (0)22 1474 4157 40</t>
        </is>
      </c>
      <c r="AR50" s="182" t="inlineStr">
        <is>
          <t>+49 (0)22 1272 2999 88</t>
        </is>
      </c>
      <c r="AS50" s="183" t="inlineStr">
        <is>
          <t>info@arangodb.com</t>
        </is>
      </c>
      <c r="AT50" s="184" t="inlineStr">
        <is>
          <t>Europe</t>
        </is>
      </c>
      <c r="AU50" s="185" t="inlineStr">
        <is>
          <t>Western Europe</t>
        </is>
      </c>
      <c r="AV50" s="186" t="inlineStr">
        <is>
          <t>The company raised EUR 4.2 million of Series A venture funding led by Target Partners on June 29, 2017. Other undisclosed investors also participated in the round. The company intends to use the funds to accelerate product development, strengthen its US presence and international expansion.</t>
        </is>
      </c>
      <c r="AW50" s="187" t="inlineStr">
        <is>
          <t>Machao Holding, Target Partners, triAGENS</t>
        </is>
      </c>
      <c r="AX50" s="188" t="n">
        <v>3.0</v>
      </c>
      <c r="AY50" s="189" t="inlineStr">
        <is>
          <t/>
        </is>
      </c>
      <c r="AZ50" s="190" t="inlineStr">
        <is>
          <t/>
        </is>
      </c>
      <c r="BA50" s="191" t="inlineStr">
        <is>
          <t/>
        </is>
      </c>
      <c r="BB50" s="192" t="inlineStr">
        <is>
          <t>Target Partners (www.targetpartners.de), triAGENS (triagens.de)</t>
        </is>
      </c>
      <c r="BC50" s="193" t="inlineStr">
        <is>
          <t/>
        </is>
      </c>
      <c r="BD50" s="194" t="inlineStr">
        <is>
          <t/>
        </is>
      </c>
      <c r="BE50" s="195" t="inlineStr">
        <is>
          <t/>
        </is>
      </c>
      <c r="BF50" s="196" t="inlineStr">
        <is>
          <t/>
        </is>
      </c>
      <c r="BG50" s="197" t="n">
        <v>42045.0</v>
      </c>
      <c r="BH50" s="198" t="n">
        <v>1.85</v>
      </c>
      <c r="BI50" s="199" t="inlineStr">
        <is>
          <t>Actual</t>
        </is>
      </c>
      <c r="BJ50" s="200" t="inlineStr">
        <is>
          <t/>
        </is>
      </c>
      <c r="BK50" s="201" t="inlineStr">
        <is>
          <t/>
        </is>
      </c>
      <c r="BL50" s="202" t="inlineStr">
        <is>
          <t>Early Stage VC</t>
        </is>
      </c>
      <c r="BM50" s="203" t="inlineStr">
        <is>
          <t/>
        </is>
      </c>
      <c r="BN50" s="204" t="inlineStr">
        <is>
          <t/>
        </is>
      </c>
      <c r="BO50" s="205" t="inlineStr">
        <is>
          <t>Venture Capital</t>
        </is>
      </c>
      <c r="BP50" s="206" t="inlineStr">
        <is>
          <t/>
        </is>
      </c>
      <c r="BQ50" s="207" t="inlineStr">
        <is>
          <t/>
        </is>
      </c>
      <c r="BR50" s="208" t="inlineStr">
        <is>
          <t/>
        </is>
      </c>
      <c r="BS50" s="209" t="inlineStr">
        <is>
          <t>Completed</t>
        </is>
      </c>
      <c r="BT50" s="210" t="n">
        <v>42915.0</v>
      </c>
      <c r="BU50" s="211" t="n">
        <v>4.2</v>
      </c>
      <c r="BV50" s="212" t="inlineStr">
        <is>
          <t>Actual</t>
        </is>
      </c>
      <c r="BW50" s="213" t="inlineStr">
        <is>
          <t/>
        </is>
      </c>
      <c r="BX50" s="214" t="inlineStr">
        <is>
          <t/>
        </is>
      </c>
      <c r="BY50" s="215" t="inlineStr">
        <is>
          <t>Early Stage VC</t>
        </is>
      </c>
      <c r="BZ50" s="216" t="inlineStr">
        <is>
          <t>Series A</t>
        </is>
      </c>
      <c r="CA50" s="217" t="inlineStr">
        <is>
          <t/>
        </is>
      </c>
      <c r="CB50" s="218" t="inlineStr">
        <is>
          <t>Venture Capital</t>
        </is>
      </c>
      <c r="CC50" s="219" t="inlineStr">
        <is>
          <t/>
        </is>
      </c>
      <c r="CD50" s="220" t="inlineStr">
        <is>
          <t/>
        </is>
      </c>
      <c r="CE50" s="221" t="inlineStr">
        <is>
          <t/>
        </is>
      </c>
      <c r="CF50" s="222" t="inlineStr">
        <is>
          <t>Completed</t>
        </is>
      </c>
      <c r="CG50" s="223" t="inlineStr">
        <is>
          <t>0,62%</t>
        </is>
      </c>
      <c r="CH50" s="224" t="inlineStr">
        <is>
          <t>85</t>
        </is>
      </c>
      <c r="CI50" s="225" t="inlineStr">
        <is>
          <t>-0,02%</t>
        </is>
      </c>
      <c r="CJ50" s="226" t="inlineStr">
        <is>
          <t>-3,01%</t>
        </is>
      </c>
      <c r="CK50" s="227" t="inlineStr">
        <is>
          <t>0,33%</t>
        </is>
      </c>
      <c r="CL50" s="228" t="inlineStr">
        <is>
          <t>83</t>
        </is>
      </c>
      <c r="CM50" s="229" t="inlineStr">
        <is>
          <t>0,91%</t>
        </is>
      </c>
      <c r="CN50" s="230" t="inlineStr">
        <is>
          <t>95</t>
        </is>
      </c>
      <c r="CO50" s="231" t="inlineStr">
        <is>
          <t>-0,44%</t>
        </is>
      </c>
      <c r="CP50" s="232" t="inlineStr">
        <is>
          <t>23</t>
        </is>
      </c>
      <c r="CQ50" s="233" t="inlineStr">
        <is>
          <t>1,10%</t>
        </is>
      </c>
      <c r="CR50" s="234" t="inlineStr">
        <is>
          <t>89</t>
        </is>
      </c>
      <c r="CS50" s="235" t="inlineStr">
        <is>
          <t>1,24%</t>
        </is>
      </c>
      <c r="CT50" s="236" t="inlineStr">
        <is>
          <t>96</t>
        </is>
      </c>
      <c r="CU50" s="237" t="inlineStr">
        <is>
          <t>0,58%</t>
        </is>
      </c>
      <c r="CV50" s="238" t="inlineStr">
        <is>
          <t>93</t>
        </is>
      </c>
      <c r="CW50" s="239" t="inlineStr">
        <is>
          <t>22,98x</t>
        </is>
      </c>
      <c r="CX50" s="240" t="inlineStr">
        <is>
          <t>92</t>
        </is>
      </c>
      <c r="CY50" s="241" t="inlineStr">
        <is>
          <t>0,37x</t>
        </is>
      </c>
      <c r="CZ50" s="242" t="inlineStr">
        <is>
          <t>1,65%</t>
        </is>
      </c>
      <c r="DA50" s="243" t="inlineStr">
        <is>
          <t>28,81x</t>
        </is>
      </c>
      <c r="DB50" s="244" t="inlineStr">
        <is>
          <t>94</t>
        </is>
      </c>
      <c r="DC50" s="245" t="inlineStr">
        <is>
          <t>17,14x</t>
        </is>
      </c>
      <c r="DD50" s="246" t="inlineStr">
        <is>
          <t>89</t>
        </is>
      </c>
      <c r="DE50" s="247" t="inlineStr">
        <is>
          <t>33,31x</t>
        </is>
      </c>
      <c r="DF50" s="248" t="inlineStr">
        <is>
          <t>91</t>
        </is>
      </c>
      <c r="DG50" s="249" t="inlineStr">
        <is>
          <t>24,31x</t>
        </is>
      </c>
      <c r="DH50" s="250" t="inlineStr">
        <is>
          <t>94</t>
        </is>
      </c>
      <c r="DI50" s="251" t="inlineStr">
        <is>
          <t>0,15x</t>
        </is>
      </c>
      <c r="DJ50" s="252" t="inlineStr">
        <is>
          <t>19</t>
        </is>
      </c>
      <c r="DK50" s="253" t="inlineStr">
        <is>
          <t>34,14x</t>
        </is>
      </c>
      <c r="DL50" s="254" t="inlineStr">
        <is>
          <t>95</t>
        </is>
      </c>
      <c r="DM50" s="255" t="inlineStr">
        <is>
          <t>20.705</t>
        </is>
      </c>
      <c r="DN50" s="256" t="inlineStr">
        <is>
          <t>-655</t>
        </is>
      </c>
      <c r="DO50" s="257" t="inlineStr">
        <is>
          <t>-3,07%</t>
        </is>
      </c>
      <c r="DP50" s="258" t="inlineStr">
        <is>
          <t>118</t>
        </is>
      </c>
      <c r="DQ50" s="259" t="inlineStr">
        <is>
          <t>1</t>
        </is>
      </c>
      <c r="DR50" s="260" t="inlineStr">
        <is>
          <t>0,85%</t>
        </is>
      </c>
      <c r="DS50" s="261" t="inlineStr">
        <is>
          <t>875</t>
        </is>
      </c>
      <c r="DT50" s="262" t="inlineStr">
        <is>
          <t>-1</t>
        </is>
      </c>
      <c r="DU50" s="263" t="inlineStr">
        <is>
          <t>-0,11%</t>
        </is>
      </c>
      <c r="DV50" s="264" t="inlineStr">
        <is>
          <t>11.677</t>
        </is>
      </c>
      <c r="DW50" s="265" t="inlineStr">
        <is>
          <t>103</t>
        </is>
      </c>
      <c r="DX50" s="266" t="inlineStr">
        <is>
          <t>0,89%</t>
        </is>
      </c>
      <c r="DY50" s="267" t="inlineStr">
        <is>
          <t>PitchBook Research</t>
        </is>
      </c>
      <c r="DZ50" s="786">
        <f>HYPERLINK("https://my.pitchbook.com?c=82614-79", "View company online")</f>
      </c>
    </row>
    <row r="51">
      <c r="A51" s="9" t="inlineStr">
        <is>
          <t>157576-42</t>
        </is>
      </c>
      <c r="B51" s="10" t="inlineStr">
        <is>
          <t>Armada Interactive</t>
        </is>
      </c>
      <c r="C51" s="11" t="inlineStr">
        <is>
          <t/>
        </is>
      </c>
      <c r="D51" s="12" t="inlineStr">
        <is>
          <t/>
        </is>
      </c>
      <c r="E51" s="13" t="inlineStr">
        <is>
          <t>157576-42</t>
        </is>
      </c>
      <c r="F51" s="14" t="inlineStr">
        <is>
          <t>Developer of mobile games designed to create global gaming experiences that push the boundaries of innovation and competitiveness on mobile. The company is developing mobile game built around AAA visual fidelity with synchronous PvP (player-vs-player), 3D console graphicsa and eSports potential.</t>
        </is>
      </c>
      <c r="G51" s="15" t="inlineStr">
        <is>
          <t>Information Technology</t>
        </is>
      </c>
      <c r="H51" s="16" t="inlineStr">
        <is>
          <t>Software</t>
        </is>
      </c>
      <c r="I51" s="17" t="inlineStr">
        <is>
          <t>Entertainment Software</t>
        </is>
      </c>
      <c r="J51" s="18" t="inlineStr">
        <is>
          <t>Entertainment Software*</t>
        </is>
      </c>
      <c r="K51" s="19" t="inlineStr">
        <is>
          <t>Mobile</t>
        </is>
      </c>
      <c r="L51" s="20" t="inlineStr">
        <is>
          <t>Venture Capital-Backed</t>
        </is>
      </c>
      <c r="M51" s="21" t="n">
        <v>9.33</v>
      </c>
      <c r="N51" s="22" t="inlineStr">
        <is>
          <t>Product Development</t>
        </is>
      </c>
      <c r="O51" s="23" t="inlineStr">
        <is>
          <t>Privately Held (backing)</t>
        </is>
      </c>
      <c r="P51" s="24" t="inlineStr">
        <is>
          <t>Venture Capital</t>
        </is>
      </c>
      <c r="Q51" s="25" t="inlineStr">
        <is>
          <t>www.armadainteractive.com</t>
        </is>
      </c>
      <c r="R51" s="26" t="n">
        <v>20.0</v>
      </c>
      <c r="S51" s="27" t="inlineStr">
        <is>
          <t/>
        </is>
      </c>
      <c r="T51" s="28" t="inlineStr">
        <is>
          <t/>
        </is>
      </c>
      <c r="U51" s="29" t="n">
        <v>2015.0</v>
      </c>
      <c r="V51" s="30" t="inlineStr">
        <is>
          <t/>
        </is>
      </c>
      <c r="W51" s="31" t="inlineStr">
        <is>
          <t/>
        </is>
      </c>
      <c r="X51" s="32" t="inlineStr">
        <is>
          <t/>
        </is>
      </c>
      <c r="Y51" s="33" t="inlineStr">
        <is>
          <t/>
        </is>
      </c>
      <c r="Z51" s="34" t="inlineStr">
        <is>
          <t/>
        </is>
      </c>
      <c r="AA51" s="35" t="inlineStr">
        <is>
          <t/>
        </is>
      </c>
      <c r="AB51" s="36" t="inlineStr">
        <is>
          <t/>
        </is>
      </c>
      <c r="AC51" s="37" t="inlineStr">
        <is>
          <t/>
        </is>
      </c>
      <c r="AD51" s="38" t="inlineStr">
        <is>
          <t/>
        </is>
      </c>
      <c r="AE51" s="39" t="inlineStr">
        <is>
          <t>114862-69P</t>
        </is>
      </c>
      <c r="AF51" s="40" t="inlineStr">
        <is>
          <t>Giuliano Cremaschi</t>
        </is>
      </c>
      <c r="AG51" s="41" t="inlineStr">
        <is>
          <t>Co-Founder &amp; Chief Creative Officer</t>
        </is>
      </c>
      <c r="AH51" s="42" t="inlineStr">
        <is>
          <t>giuliano@armadainteractive.com</t>
        </is>
      </c>
      <c r="AI51" s="43" t="inlineStr">
        <is>
          <t/>
        </is>
      </c>
      <c r="AJ51" s="44" t="inlineStr">
        <is>
          <t>Helsinki, Finland</t>
        </is>
      </c>
      <c r="AK51" s="45" t="inlineStr">
        <is>
          <t>Erottajankatu 5 C</t>
        </is>
      </c>
      <c r="AL51" s="46" t="inlineStr">
        <is>
          <t/>
        </is>
      </c>
      <c r="AM51" s="47" t="inlineStr">
        <is>
          <t>Helsinki</t>
        </is>
      </c>
      <c r="AN51" s="48" t="inlineStr">
        <is>
          <t/>
        </is>
      </c>
      <c r="AO51" s="49" t="inlineStr">
        <is>
          <t>00130</t>
        </is>
      </c>
      <c r="AP51" s="50" t="inlineStr">
        <is>
          <t>Finland</t>
        </is>
      </c>
      <c r="AQ51" s="51" t="inlineStr">
        <is>
          <t/>
        </is>
      </c>
      <c r="AR51" s="52" t="inlineStr">
        <is>
          <t/>
        </is>
      </c>
      <c r="AS51" s="53" t="inlineStr">
        <is>
          <t>info@armadainteractive.com</t>
        </is>
      </c>
      <c r="AT51" s="54" t="inlineStr">
        <is>
          <t>Europe</t>
        </is>
      </c>
      <c r="AU51" s="55" t="inlineStr">
        <is>
          <t>Northern Europe</t>
        </is>
      </c>
      <c r="AV51" s="56" t="inlineStr">
        <is>
          <t>The company raised $7 million of seed funding led by Korea Investment Partners on February 23, 2017. Creandum, Initial Capital, Index Ventures, ProFounders Capital and Backed also participated. The company will use the funding to further expand its international team and strengthen future game launches. With the round, the company has now raised a total of $10 million in seed stage funding.</t>
        </is>
      </c>
      <c r="AW51" s="57" t="inlineStr">
        <is>
          <t>Backed VC, Ben Feder, Chris Lee, Creandum, Index Ventures (UK), Initial Capital, Korea Investment Partners, Next Games, PROfounders Capital, Reaktor Ventures, Reynir Hardarson, Shanti Bergel, Sisu Game Ventures</t>
        </is>
      </c>
      <c r="AX51" s="58" t="n">
        <v>13.0</v>
      </c>
      <c r="AY51" s="59" t="inlineStr">
        <is>
          <t/>
        </is>
      </c>
      <c r="AZ51" s="60" t="inlineStr">
        <is>
          <t/>
        </is>
      </c>
      <c r="BA51" s="61" t="inlineStr">
        <is>
          <t/>
        </is>
      </c>
      <c r="BB51" s="62" t="inlineStr">
        <is>
          <t>Backed VC (www.backed.vc), Creandum (www.creandum.com), Index Ventures (UK) (www.indexventures.com), Initial Capital (www.initialcapital.com), Korea Investment Partners (www.kipvc.com), Next Games (www.nextgames.com), PROfounders Capital (www.profounderscapital.com), Reaktor Ventures (www.reaktorventures.com)</t>
        </is>
      </c>
      <c r="BC51" s="63" t="inlineStr">
        <is>
          <t/>
        </is>
      </c>
      <c r="BD51" s="64" t="inlineStr">
        <is>
          <t/>
        </is>
      </c>
      <c r="BE51" s="65" t="inlineStr">
        <is>
          <t/>
        </is>
      </c>
      <c r="BF51" s="66" t="inlineStr">
        <is>
          <t/>
        </is>
      </c>
      <c r="BG51" s="67" t="n">
        <v>42360.0</v>
      </c>
      <c r="BH51" s="68" t="n">
        <v>2.76</v>
      </c>
      <c r="BI51" s="69" t="inlineStr">
        <is>
          <t>Actual</t>
        </is>
      </c>
      <c r="BJ51" s="70" t="inlineStr">
        <is>
          <t/>
        </is>
      </c>
      <c r="BK51" s="71" t="inlineStr">
        <is>
          <t/>
        </is>
      </c>
      <c r="BL51" s="72" t="inlineStr">
        <is>
          <t>Seed Round</t>
        </is>
      </c>
      <c r="BM51" s="73" t="inlineStr">
        <is>
          <t>Seed</t>
        </is>
      </c>
      <c r="BN51" s="74" t="inlineStr">
        <is>
          <t/>
        </is>
      </c>
      <c r="BO51" s="75" t="inlineStr">
        <is>
          <t>Venture Capital</t>
        </is>
      </c>
      <c r="BP51" s="76" t="inlineStr">
        <is>
          <t/>
        </is>
      </c>
      <c r="BQ51" s="77" t="inlineStr">
        <is>
          <t/>
        </is>
      </c>
      <c r="BR51" s="78" t="inlineStr">
        <is>
          <t/>
        </is>
      </c>
      <c r="BS51" s="79" t="inlineStr">
        <is>
          <t>Completed</t>
        </is>
      </c>
      <c r="BT51" s="80" t="n">
        <v>42789.0</v>
      </c>
      <c r="BU51" s="81" t="n">
        <v>6.57</v>
      </c>
      <c r="BV51" s="82" t="inlineStr">
        <is>
          <t>Actual</t>
        </is>
      </c>
      <c r="BW51" s="83" t="inlineStr">
        <is>
          <t/>
        </is>
      </c>
      <c r="BX51" s="84" t="inlineStr">
        <is>
          <t/>
        </is>
      </c>
      <c r="BY51" s="85" t="inlineStr">
        <is>
          <t>Seed Round</t>
        </is>
      </c>
      <c r="BZ51" s="86" t="inlineStr">
        <is>
          <t>Seed</t>
        </is>
      </c>
      <c r="CA51" s="87" t="inlineStr">
        <is>
          <t/>
        </is>
      </c>
      <c r="CB51" s="88" t="inlineStr">
        <is>
          <t>Venture Capital</t>
        </is>
      </c>
      <c r="CC51" s="89" t="inlineStr">
        <is>
          <t/>
        </is>
      </c>
      <c r="CD51" s="90" t="inlineStr">
        <is>
          <t/>
        </is>
      </c>
      <c r="CE51" s="91" t="inlineStr">
        <is>
          <t/>
        </is>
      </c>
      <c r="CF51" s="92" t="inlineStr">
        <is>
          <t>Completed</t>
        </is>
      </c>
      <c r="CG51" s="93" t="inlineStr">
        <is>
          <t>-0,18%</t>
        </is>
      </c>
      <c r="CH51" s="94" t="inlineStr">
        <is>
          <t>13</t>
        </is>
      </c>
      <c r="CI51" s="95" t="inlineStr">
        <is>
          <t>0,02%</t>
        </is>
      </c>
      <c r="CJ51" s="96" t="inlineStr">
        <is>
          <t>10,80%</t>
        </is>
      </c>
      <c r="CK51" s="97" t="inlineStr">
        <is>
          <t>-0,97%</t>
        </is>
      </c>
      <c r="CL51" s="98" t="inlineStr">
        <is>
          <t>9</t>
        </is>
      </c>
      <c r="CM51" s="99" t="inlineStr">
        <is>
          <t>0,61%</t>
        </is>
      </c>
      <c r="CN51" s="100" t="inlineStr">
        <is>
          <t>92</t>
        </is>
      </c>
      <c r="CO51" s="101" t="inlineStr">
        <is>
          <t>-1,94%</t>
        </is>
      </c>
      <c r="CP51" s="102" t="inlineStr">
        <is>
          <t>16</t>
        </is>
      </c>
      <c r="CQ51" s="103" t="inlineStr">
        <is>
          <t>0,00%</t>
        </is>
      </c>
      <c r="CR51" s="104" t="inlineStr">
        <is>
          <t>13</t>
        </is>
      </c>
      <c r="CS51" s="105" t="inlineStr">
        <is>
          <t>1,23%</t>
        </is>
      </c>
      <c r="CT51" s="106" t="inlineStr">
        <is>
          <t>96</t>
        </is>
      </c>
      <c r="CU51" s="107" t="inlineStr">
        <is>
          <t>0,00%</t>
        </is>
      </c>
      <c r="CV51" s="108" t="inlineStr">
        <is>
          <t>20</t>
        </is>
      </c>
      <c r="CW51" s="109" t="inlineStr">
        <is>
          <t>0,66x</t>
        </is>
      </c>
      <c r="CX51" s="110" t="inlineStr">
        <is>
          <t>40</t>
        </is>
      </c>
      <c r="CY51" s="111" t="inlineStr">
        <is>
          <t>0,01x</t>
        </is>
      </c>
      <c r="CZ51" s="112" t="inlineStr">
        <is>
          <t>1,39%</t>
        </is>
      </c>
      <c r="DA51" s="113" t="inlineStr">
        <is>
          <t>1,07x</t>
        </is>
      </c>
      <c r="DB51" s="114" t="inlineStr">
        <is>
          <t>53</t>
        </is>
      </c>
      <c r="DC51" s="115" t="inlineStr">
        <is>
          <t>0,25x</t>
        </is>
      </c>
      <c r="DD51" s="116" t="inlineStr">
        <is>
          <t>25</t>
        </is>
      </c>
      <c r="DE51" s="117" t="inlineStr">
        <is>
          <t>1,67x</t>
        </is>
      </c>
      <c r="DF51" s="118" t="inlineStr">
        <is>
          <t>60</t>
        </is>
      </c>
      <c r="DG51" s="119" t="inlineStr">
        <is>
          <t>0,47x</t>
        </is>
      </c>
      <c r="DH51" s="120" t="inlineStr">
        <is>
          <t>35</t>
        </is>
      </c>
      <c r="DI51" s="121" t="inlineStr">
        <is>
          <t>0,36x</t>
        </is>
      </c>
      <c r="DJ51" s="122" t="inlineStr">
        <is>
          <t>33</t>
        </is>
      </c>
      <c r="DK51" s="123" t="inlineStr">
        <is>
          <t>0,15x</t>
        </is>
      </c>
      <c r="DL51" s="124" t="inlineStr">
        <is>
          <t>22</t>
        </is>
      </c>
      <c r="DM51" s="125" t="inlineStr">
        <is>
          <t>1.002</t>
        </is>
      </c>
      <c r="DN51" s="126" t="inlineStr">
        <is>
          <t>71</t>
        </is>
      </c>
      <c r="DO51" s="127" t="inlineStr">
        <is>
          <t>7,63%</t>
        </is>
      </c>
      <c r="DP51" s="128" t="inlineStr">
        <is>
          <t>280</t>
        </is>
      </c>
      <c r="DQ51" s="129" t="inlineStr">
        <is>
          <t>3</t>
        </is>
      </c>
      <c r="DR51" s="130" t="inlineStr">
        <is>
          <t>1,08%</t>
        </is>
      </c>
      <c r="DS51" s="131" t="inlineStr">
        <is>
          <t>17</t>
        </is>
      </c>
      <c r="DT51" s="132" t="inlineStr">
        <is>
          <t>0</t>
        </is>
      </c>
      <c r="DU51" s="133" t="inlineStr">
        <is>
          <t>0,00%</t>
        </is>
      </c>
      <c r="DV51" s="134" t="inlineStr">
        <is>
          <t>49</t>
        </is>
      </c>
      <c r="DW51" s="135" t="inlineStr">
        <is>
          <t>1</t>
        </is>
      </c>
      <c r="DX51" s="136" t="inlineStr">
        <is>
          <t>2,08%</t>
        </is>
      </c>
      <c r="DY51" s="137" t="inlineStr">
        <is>
          <t>PitchBook Research</t>
        </is>
      </c>
      <c r="DZ51" s="785">
        <f>HYPERLINK("https://my.pitchbook.com?c=157576-42", "View company online")</f>
      </c>
    </row>
    <row r="52">
      <c r="A52" s="139" t="inlineStr">
        <is>
          <t>108317-08</t>
        </is>
      </c>
      <c r="B52" s="140" t="inlineStr">
        <is>
          <t>Arralis</t>
        </is>
      </c>
      <c r="C52" s="141" t="inlineStr">
        <is>
          <t/>
        </is>
      </c>
      <c r="D52" s="142" t="inlineStr">
        <is>
          <t/>
        </is>
      </c>
      <c r="E52" s="143" t="inlineStr">
        <is>
          <t>108317-08</t>
        </is>
      </c>
      <c r="F52" s="144" t="inlineStr">
        <is>
          <t>Developer of satellite communications and radar technology. The company provides Monolithic Microwave Integrated Circuits (MMICs), packaged component modules, proprietary antenna technology and integrated Radar and Communications front-end platforms to be used in both global and space environments.</t>
        </is>
      </c>
      <c r="G52" s="145" t="inlineStr">
        <is>
          <t>Business Products and Services (B2B)</t>
        </is>
      </c>
      <c r="H52" s="146" t="inlineStr">
        <is>
          <t>Commercial Products</t>
        </is>
      </c>
      <c r="I52" s="147" t="inlineStr">
        <is>
          <t>Aerospace and Defense</t>
        </is>
      </c>
      <c r="J52" s="148" t="inlineStr">
        <is>
          <t>Aerospace and Defense*; Electrical Equipment; Production (Semiconductors)</t>
        </is>
      </c>
      <c r="K52" s="149" t="inlineStr">
        <is>
          <t/>
        </is>
      </c>
      <c r="L52" s="150" t="inlineStr">
        <is>
          <t>Venture Capital-Backed</t>
        </is>
      </c>
      <c r="M52" s="151" t="n">
        <v>51.3</v>
      </c>
      <c r="N52" s="152" t="inlineStr">
        <is>
          <t>Profitable</t>
        </is>
      </c>
      <c r="O52" s="153" t="inlineStr">
        <is>
          <t>Privately Held (backing)</t>
        </is>
      </c>
      <c r="P52" s="154" t="inlineStr">
        <is>
          <t>Venture Capital</t>
        </is>
      </c>
      <c r="Q52" s="155" t="inlineStr">
        <is>
          <t>www.arralis.com</t>
        </is>
      </c>
      <c r="R52" s="156" t="n">
        <v>20.0</v>
      </c>
      <c r="S52" s="157" t="inlineStr">
        <is>
          <t/>
        </is>
      </c>
      <c r="T52" s="158" t="inlineStr">
        <is>
          <t/>
        </is>
      </c>
      <c r="U52" s="159" t="n">
        <v>2013.0</v>
      </c>
      <c r="V52" s="160" t="inlineStr">
        <is>
          <t/>
        </is>
      </c>
      <c r="W52" s="161" t="inlineStr">
        <is>
          <t/>
        </is>
      </c>
      <c r="X52" s="162" t="inlineStr">
        <is>
          <t/>
        </is>
      </c>
      <c r="Y52" s="163" t="inlineStr">
        <is>
          <t/>
        </is>
      </c>
      <c r="Z52" s="164" t="inlineStr">
        <is>
          <t/>
        </is>
      </c>
      <c r="AA52" s="165" t="n">
        <v>-0.3583</v>
      </c>
      <c r="AB52" s="166" t="inlineStr">
        <is>
          <t/>
        </is>
      </c>
      <c r="AC52" s="167" t="inlineStr">
        <is>
          <t/>
        </is>
      </c>
      <c r="AD52" s="168" t="inlineStr">
        <is>
          <t>FY 2015</t>
        </is>
      </c>
      <c r="AE52" s="169" t="inlineStr">
        <is>
          <t>57188-62P</t>
        </is>
      </c>
      <c r="AF52" s="170" t="inlineStr">
        <is>
          <t>Barry Lunn</t>
        </is>
      </c>
      <c r="AG52" s="171" t="inlineStr">
        <is>
          <t>Chief Executive Officer, Co-Founder and Board Member</t>
        </is>
      </c>
      <c r="AH52" s="172" t="inlineStr">
        <is>
          <t>barry.lunn@arralis.com</t>
        </is>
      </c>
      <c r="AI52" s="173" t="inlineStr">
        <is>
          <t>+353 (0)61 748 264</t>
        </is>
      </c>
      <c r="AJ52" s="174" t="inlineStr">
        <is>
          <t>Limerick, Ireland</t>
        </is>
      </c>
      <c r="AK52" s="175" t="inlineStr">
        <is>
          <t>Tierney Building UL</t>
        </is>
      </c>
      <c r="AL52" s="176" t="inlineStr">
        <is>
          <t>Castletroy</t>
        </is>
      </c>
      <c r="AM52" s="177" t="inlineStr">
        <is>
          <t>Limerick</t>
        </is>
      </c>
      <c r="AN52" s="178" t="inlineStr">
        <is>
          <t/>
        </is>
      </c>
      <c r="AO52" s="179" t="inlineStr">
        <is>
          <t/>
        </is>
      </c>
      <c r="AP52" s="180" t="inlineStr">
        <is>
          <t>Ireland</t>
        </is>
      </c>
      <c r="AQ52" s="181" t="inlineStr">
        <is>
          <t>+353 (0)61 748 264</t>
        </is>
      </c>
      <c r="AR52" s="182" t="inlineStr">
        <is>
          <t/>
        </is>
      </c>
      <c r="AS52" s="183" t="inlineStr">
        <is>
          <t>info@arralis.com</t>
        </is>
      </c>
      <c r="AT52" s="184" t="inlineStr">
        <is>
          <t>Europe</t>
        </is>
      </c>
      <c r="AU52" s="185" t="inlineStr">
        <is>
          <t>Western Europe</t>
        </is>
      </c>
      <c r="AV52" s="186" t="inlineStr">
        <is>
          <t>The company raised EUR 50 million of venture funding from Irish Venture Capital Association and other undisclosed investors on March 30, 2017. The company will use the funding to expand the it's supply line and ramp up production as well as to set up a supply chain in Hong Kong and increase its staff. Previously, the company joined Starburst Accelerator on June 28, 2016.</t>
        </is>
      </c>
      <c r="AW52" s="187" t="inlineStr">
        <is>
          <t>ACT Venture Capital, Enterprise Ireland, Horizon 2020, Irish Venture Capital Association, Kernel Capital (Ireland), QUBIS, Starburst Accelerator</t>
        </is>
      </c>
      <c r="AX52" s="188" t="n">
        <v>7.0</v>
      </c>
      <c r="AY52" s="189" t="inlineStr">
        <is>
          <t/>
        </is>
      </c>
      <c r="AZ52" s="190" t="inlineStr">
        <is>
          <t/>
        </is>
      </c>
      <c r="BA52" s="191" t="inlineStr">
        <is>
          <t/>
        </is>
      </c>
      <c r="BB52" s="192" t="inlineStr">
        <is>
          <t>ACT Venture Capital (www.actventure.com), Enterprise Ireland (www.enterprise-ireland.com), Irish Venture Capital Association (www.ivca.ie), Kernel Capital (Ireland) (www.kernel-capital.com), QUBIS (www.qubis.co.uk), Starburst Accelerator (www.starburst.aero)</t>
        </is>
      </c>
      <c r="BC52" s="193" t="inlineStr">
        <is>
          <t/>
        </is>
      </c>
      <c r="BD52" s="194" t="inlineStr">
        <is>
          <t/>
        </is>
      </c>
      <c r="BE52" s="195" t="inlineStr">
        <is>
          <t/>
        </is>
      </c>
      <c r="BF52" s="196" t="inlineStr">
        <is>
          <t/>
        </is>
      </c>
      <c r="BG52" s="197" t="n">
        <v>41991.0</v>
      </c>
      <c r="BH52" s="198" t="n">
        <v>1.3</v>
      </c>
      <c r="BI52" s="199" t="inlineStr">
        <is>
          <t>Actual</t>
        </is>
      </c>
      <c r="BJ52" s="200" t="inlineStr">
        <is>
          <t/>
        </is>
      </c>
      <c r="BK52" s="201" t="inlineStr">
        <is>
          <t/>
        </is>
      </c>
      <c r="BL52" s="202" t="inlineStr">
        <is>
          <t>Early Stage VC</t>
        </is>
      </c>
      <c r="BM52" s="203" t="inlineStr">
        <is>
          <t/>
        </is>
      </c>
      <c r="BN52" s="204" t="inlineStr">
        <is>
          <t/>
        </is>
      </c>
      <c r="BO52" s="205" t="inlineStr">
        <is>
          <t>Venture Capital</t>
        </is>
      </c>
      <c r="BP52" s="206" t="inlineStr">
        <is>
          <t/>
        </is>
      </c>
      <c r="BQ52" s="207" t="inlineStr">
        <is>
          <t/>
        </is>
      </c>
      <c r="BR52" s="208" t="inlineStr">
        <is>
          <t/>
        </is>
      </c>
      <c r="BS52" s="209" t="inlineStr">
        <is>
          <t>Completed</t>
        </is>
      </c>
      <c r="BT52" s="210" t="n">
        <v>42824.0</v>
      </c>
      <c r="BU52" s="211" t="n">
        <v>50.0</v>
      </c>
      <c r="BV52" s="212" t="inlineStr">
        <is>
          <t>Actual</t>
        </is>
      </c>
      <c r="BW52" s="213" t="inlineStr">
        <is>
          <t/>
        </is>
      </c>
      <c r="BX52" s="214" t="inlineStr">
        <is>
          <t/>
        </is>
      </c>
      <c r="BY52" s="215" t="inlineStr">
        <is>
          <t>Early Stage VC</t>
        </is>
      </c>
      <c r="BZ52" s="216" t="inlineStr">
        <is>
          <t/>
        </is>
      </c>
      <c r="CA52" s="217" t="inlineStr">
        <is>
          <t/>
        </is>
      </c>
      <c r="CB52" s="218" t="inlineStr">
        <is>
          <t>Venture Capital</t>
        </is>
      </c>
      <c r="CC52" s="219" t="inlineStr">
        <is>
          <t/>
        </is>
      </c>
      <c r="CD52" s="220" t="inlineStr">
        <is>
          <t/>
        </is>
      </c>
      <c r="CE52" s="221" t="inlineStr">
        <is>
          <t/>
        </is>
      </c>
      <c r="CF52" s="222" t="inlineStr">
        <is>
          <t>Completed</t>
        </is>
      </c>
      <c r="CG52" s="223" t="inlineStr">
        <is>
          <t>0,09%</t>
        </is>
      </c>
      <c r="CH52" s="224" t="inlineStr">
        <is>
          <t>73</t>
        </is>
      </c>
      <c r="CI52" s="225" t="inlineStr">
        <is>
          <t>0,02%</t>
        </is>
      </c>
      <c r="CJ52" s="226" t="inlineStr">
        <is>
          <t>30,27%</t>
        </is>
      </c>
      <c r="CK52" s="227" t="inlineStr">
        <is>
          <t>0,00%</t>
        </is>
      </c>
      <c r="CL52" s="228" t="inlineStr">
        <is>
          <t>18</t>
        </is>
      </c>
      <c r="CM52" s="229" t="inlineStr">
        <is>
          <t>0,18%</t>
        </is>
      </c>
      <c r="CN52" s="230" t="inlineStr">
        <is>
          <t>71</t>
        </is>
      </c>
      <c r="CO52" s="231" t="inlineStr">
        <is>
          <t>0,00%</t>
        </is>
      </c>
      <c r="CP52" s="232" t="inlineStr">
        <is>
          <t>26</t>
        </is>
      </c>
      <c r="CQ52" s="233" t="inlineStr">
        <is>
          <t>0,00%</t>
        </is>
      </c>
      <c r="CR52" s="234" t="inlineStr">
        <is>
          <t>13</t>
        </is>
      </c>
      <c r="CS52" s="235" t="inlineStr">
        <is>
          <t>0,04%</t>
        </is>
      </c>
      <c r="CT52" s="236" t="inlineStr">
        <is>
          <t>47</t>
        </is>
      </c>
      <c r="CU52" s="237" t="inlineStr">
        <is>
          <t>0,31%</t>
        </is>
      </c>
      <c r="CV52" s="238" t="inlineStr">
        <is>
          <t>85</t>
        </is>
      </c>
      <c r="CW52" s="239" t="inlineStr">
        <is>
          <t>2,02x</t>
        </is>
      </c>
      <c r="CX52" s="240" t="inlineStr">
        <is>
          <t>64</t>
        </is>
      </c>
      <c r="CY52" s="241" t="inlineStr">
        <is>
          <t>0,04x</t>
        </is>
      </c>
      <c r="CZ52" s="242" t="inlineStr">
        <is>
          <t>2,21%</t>
        </is>
      </c>
      <c r="DA52" s="243" t="inlineStr">
        <is>
          <t>0,51x</t>
        </is>
      </c>
      <c r="DB52" s="244" t="inlineStr">
        <is>
          <t>37</t>
        </is>
      </c>
      <c r="DC52" s="245" t="inlineStr">
        <is>
          <t>3,54x</t>
        </is>
      </c>
      <c r="DD52" s="246" t="inlineStr">
        <is>
          <t>71</t>
        </is>
      </c>
      <c r="DE52" s="247" t="inlineStr">
        <is>
          <t>0,47x</t>
        </is>
      </c>
      <c r="DF52" s="248" t="inlineStr">
        <is>
          <t>35</t>
        </is>
      </c>
      <c r="DG52" s="249" t="inlineStr">
        <is>
          <t>0,56x</t>
        </is>
      </c>
      <c r="DH52" s="250" t="inlineStr">
        <is>
          <t>38</t>
        </is>
      </c>
      <c r="DI52" s="251" t="inlineStr">
        <is>
          <t>1,47x</t>
        </is>
      </c>
      <c r="DJ52" s="252" t="inlineStr">
        <is>
          <t>57</t>
        </is>
      </c>
      <c r="DK52" s="253" t="inlineStr">
        <is>
          <t>5,60x</t>
        </is>
      </c>
      <c r="DL52" s="254" t="inlineStr">
        <is>
          <t>80</t>
        </is>
      </c>
      <c r="DM52" s="255" t="inlineStr">
        <is>
          <t>314</t>
        </is>
      </c>
      <c r="DN52" s="256" t="inlineStr">
        <is>
          <t>-78</t>
        </is>
      </c>
      <c r="DO52" s="257" t="inlineStr">
        <is>
          <t>-19,90%</t>
        </is>
      </c>
      <c r="DP52" s="258" t="inlineStr">
        <is>
          <t>1.167</t>
        </is>
      </c>
      <c r="DQ52" s="259" t="inlineStr">
        <is>
          <t>3</t>
        </is>
      </c>
      <c r="DR52" s="260" t="inlineStr">
        <is>
          <t>0,26%</t>
        </is>
      </c>
      <c r="DS52" s="261" t="inlineStr">
        <is>
          <t>20</t>
        </is>
      </c>
      <c r="DT52" s="262" t="inlineStr">
        <is>
          <t>-1</t>
        </is>
      </c>
      <c r="DU52" s="263" t="inlineStr">
        <is>
          <t>-4,76%</t>
        </is>
      </c>
      <c r="DV52" s="264" t="inlineStr">
        <is>
          <t>1.917</t>
        </is>
      </c>
      <c r="DW52" s="265" t="inlineStr">
        <is>
          <t>5</t>
        </is>
      </c>
      <c r="DX52" s="266" t="inlineStr">
        <is>
          <t>0,26%</t>
        </is>
      </c>
      <c r="DY52" s="267" t="inlineStr">
        <is>
          <t>PitchBook Research</t>
        </is>
      </c>
      <c r="DZ52" s="786">
        <f>HYPERLINK("https://my.pitchbook.com?c=108317-08", "View company online")</f>
      </c>
    </row>
    <row r="53">
      <c r="A53" s="9" t="inlineStr">
        <is>
          <t>166514-77</t>
        </is>
      </c>
      <c r="B53" s="10" t="inlineStr">
        <is>
          <t>Artios Pharma</t>
        </is>
      </c>
      <c r="C53" s="11" t="inlineStr">
        <is>
          <t/>
        </is>
      </c>
      <c r="D53" s="12" t="inlineStr">
        <is>
          <t/>
        </is>
      </c>
      <c r="E53" s="13" t="inlineStr">
        <is>
          <t>166514-77</t>
        </is>
      </c>
      <c r="F53" s="14" t="inlineStr">
        <is>
          <t>Developer of deoxyribonucleic acid (DNA) Damage Response (DDR) cancer therapies. The company provides cancer treatment therapies through deoxyribonucleic acid damage response (DDR) pathways to allow mutations to their deoxyribonucleic acid (DNA) so that they can evolve.</t>
        </is>
      </c>
      <c r="G53" s="15" t="inlineStr">
        <is>
          <t>Healthcare</t>
        </is>
      </c>
      <c r="H53" s="16" t="inlineStr">
        <is>
          <t>Pharmaceuticals and Biotechnology</t>
        </is>
      </c>
      <c r="I53" s="17" t="inlineStr">
        <is>
          <t>Drug Discovery</t>
        </is>
      </c>
      <c r="J53" s="18" t="inlineStr">
        <is>
          <t>Drug Discovery*; Biotechnology</t>
        </is>
      </c>
      <c r="K53" s="19" t="inlineStr">
        <is>
          <t>Life Sciences, Oncology</t>
        </is>
      </c>
      <c r="L53" s="20" t="inlineStr">
        <is>
          <t>Venture Capital-Backed</t>
        </is>
      </c>
      <c r="M53" s="21" t="n">
        <v>29.34</v>
      </c>
      <c r="N53" s="22" t="inlineStr">
        <is>
          <t>Startup</t>
        </is>
      </c>
      <c r="O53" s="23" t="inlineStr">
        <is>
          <t>Privately Held (backing)</t>
        </is>
      </c>
      <c r="P53" s="24" t="inlineStr">
        <is>
          <t>Venture Capital</t>
        </is>
      </c>
      <c r="Q53" s="25" t="inlineStr">
        <is>
          <t>www.artiospharma.com</t>
        </is>
      </c>
      <c r="R53" s="26" t="n">
        <v>4.0</v>
      </c>
      <c r="S53" s="27" t="inlineStr">
        <is>
          <t/>
        </is>
      </c>
      <c r="T53" s="28" t="inlineStr">
        <is>
          <t/>
        </is>
      </c>
      <c r="U53" s="29" t="n">
        <v>2015.0</v>
      </c>
      <c r="V53" s="30" t="inlineStr">
        <is>
          <t/>
        </is>
      </c>
      <c r="W53" s="31" t="inlineStr">
        <is>
          <t/>
        </is>
      </c>
      <c r="X53" s="32" t="inlineStr">
        <is>
          <t/>
        </is>
      </c>
      <c r="Y53" s="33" t="inlineStr">
        <is>
          <t/>
        </is>
      </c>
      <c r="Z53" s="34" t="inlineStr">
        <is>
          <t/>
        </is>
      </c>
      <c r="AA53" s="35" t="inlineStr">
        <is>
          <t/>
        </is>
      </c>
      <c r="AB53" s="36" t="inlineStr">
        <is>
          <t/>
        </is>
      </c>
      <c r="AC53" s="37" t="inlineStr">
        <is>
          <t/>
        </is>
      </c>
      <c r="AD53" s="38" t="inlineStr">
        <is>
          <t/>
        </is>
      </c>
      <c r="AE53" s="39" t="inlineStr">
        <is>
          <t>53320-15P</t>
        </is>
      </c>
      <c r="AF53" s="40" t="inlineStr">
        <is>
          <t>Andrew Muncey</t>
        </is>
      </c>
      <c r="AG53" s="41" t="inlineStr">
        <is>
          <t>Chief Financial Officer &amp; Company Secretary</t>
        </is>
      </c>
      <c r="AH53" s="42" t="inlineStr">
        <is>
          <t>andrew@artiospharma.com</t>
        </is>
      </c>
      <c r="AI53" s="43" t="inlineStr">
        <is>
          <t>+44 (0)12 2380 4180</t>
        </is>
      </c>
      <c r="AJ53" s="44" t="inlineStr">
        <is>
          <t>Cambridge, United Kingdom</t>
        </is>
      </c>
      <c r="AK53" s="45" t="inlineStr">
        <is>
          <t>Maia, Building 270</t>
        </is>
      </c>
      <c r="AL53" s="46" t="inlineStr">
        <is>
          <t>Babraham Research Campus</t>
        </is>
      </c>
      <c r="AM53" s="47" t="inlineStr">
        <is>
          <t>Cambridge</t>
        </is>
      </c>
      <c r="AN53" s="48" t="inlineStr">
        <is>
          <t>England</t>
        </is>
      </c>
      <c r="AO53" s="49" t="inlineStr">
        <is>
          <t>CB22 3AT</t>
        </is>
      </c>
      <c r="AP53" s="50" t="inlineStr">
        <is>
          <t>United Kingdom</t>
        </is>
      </c>
      <c r="AQ53" s="51" t="inlineStr">
        <is>
          <t>+44 (0)12 2380 4180</t>
        </is>
      </c>
      <c r="AR53" s="52" t="inlineStr">
        <is>
          <t/>
        </is>
      </c>
      <c r="AS53" s="53" t="inlineStr">
        <is>
          <t>info@artiospharma.com</t>
        </is>
      </c>
      <c r="AT53" s="54" t="inlineStr">
        <is>
          <t>Europe</t>
        </is>
      </c>
      <c r="AU53" s="55" t="inlineStr">
        <is>
          <t>Western Europe</t>
        </is>
      </c>
      <c r="AV53" s="56" t="inlineStr">
        <is>
          <t>The company raised GBP 25 million of Series A venture funding in a deal led by SV Life Sciences on September 19, 2016. Babraham Bioscience Technologies, Merck Ventures, Imperial Innovations, Arix Bioscience, CRT Pioneer Fund and AbbVie Ventures also participated in the round. Following this investment Imperial Innovations will hold a 14.9% interest in the Company. The investment will be used to build a high value pipeline of first-in-class DDR therapies targeted against cancer and to progress its lead program, Pol-theta, into the clinic.</t>
        </is>
      </c>
      <c r="AW53" s="57" t="inlineStr">
        <is>
          <t>AbbVie Ventures, Arix Bioscience, Babraham Bioscience Technologies, Merck Ventures, Sixth Element Capital, SV Health Investors, Touchstone Innovations</t>
        </is>
      </c>
      <c r="AX53" s="58" t="n">
        <v>7.0</v>
      </c>
      <c r="AY53" s="59" t="inlineStr">
        <is>
          <t/>
        </is>
      </c>
      <c r="AZ53" s="60" t="inlineStr">
        <is>
          <t/>
        </is>
      </c>
      <c r="BA53" s="61" t="inlineStr">
        <is>
          <t/>
        </is>
      </c>
      <c r="BB53" s="62" t="inlineStr">
        <is>
          <t>Arix Bioscience (www.arixbioscience.com), Babraham Bioscience Technologies (www.babraham.com), Merck Ventures (www.merck-ventures.com), Sixth Element Capital (www.sixthelementcapital.com), SV Health Investors (www.svhealthinvestors.com), Touchstone Innovations (www.touchstoneinnovations.com)</t>
        </is>
      </c>
      <c r="BC53" s="63" t="inlineStr">
        <is>
          <t/>
        </is>
      </c>
      <c r="BD53" s="64" t="inlineStr">
        <is>
          <t/>
        </is>
      </c>
      <c r="BE53" s="65" t="inlineStr">
        <is>
          <t/>
        </is>
      </c>
      <c r="BF53" s="66" t="inlineStr">
        <is>
          <t>Cenkos Securities (Advisor), JP Morgan Cazenove (Advisor)</t>
        </is>
      </c>
      <c r="BG53" s="67" t="n">
        <v>42632.0</v>
      </c>
      <c r="BH53" s="68" t="n">
        <v>29.34</v>
      </c>
      <c r="BI53" s="69" t="inlineStr">
        <is>
          <t>Actual</t>
        </is>
      </c>
      <c r="BJ53" s="70" t="inlineStr">
        <is>
          <t/>
        </is>
      </c>
      <c r="BK53" s="71" t="inlineStr">
        <is>
          <t/>
        </is>
      </c>
      <c r="BL53" s="72" t="inlineStr">
        <is>
          <t>Early Stage VC</t>
        </is>
      </c>
      <c r="BM53" s="73" t="inlineStr">
        <is>
          <t>Series A</t>
        </is>
      </c>
      <c r="BN53" s="74" t="inlineStr">
        <is>
          <t/>
        </is>
      </c>
      <c r="BO53" s="75" t="inlineStr">
        <is>
          <t>Venture Capital</t>
        </is>
      </c>
      <c r="BP53" s="76" t="inlineStr">
        <is>
          <t/>
        </is>
      </c>
      <c r="BQ53" s="77" t="inlineStr">
        <is>
          <t/>
        </is>
      </c>
      <c r="BR53" s="78" t="inlineStr">
        <is>
          <t/>
        </is>
      </c>
      <c r="BS53" s="79" t="inlineStr">
        <is>
          <t>Completed</t>
        </is>
      </c>
      <c r="BT53" s="80" t="n">
        <v>42632.0</v>
      </c>
      <c r="BU53" s="81" t="n">
        <v>29.34</v>
      </c>
      <c r="BV53" s="82" t="inlineStr">
        <is>
          <t>Actual</t>
        </is>
      </c>
      <c r="BW53" s="83" t="inlineStr">
        <is>
          <t/>
        </is>
      </c>
      <c r="BX53" s="84" t="inlineStr">
        <is>
          <t/>
        </is>
      </c>
      <c r="BY53" s="85" t="inlineStr">
        <is>
          <t>Early Stage VC</t>
        </is>
      </c>
      <c r="BZ53" s="86" t="inlineStr">
        <is>
          <t>Series A</t>
        </is>
      </c>
      <c r="CA53" s="87" t="inlineStr">
        <is>
          <t/>
        </is>
      </c>
      <c r="CB53" s="88" t="inlineStr">
        <is>
          <t>Venture Capital</t>
        </is>
      </c>
      <c r="CC53" s="89" t="inlineStr">
        <is>
          <t/>
        </is>
      </c>
      <c r="CD53" s="90" t="inlineStr">
        <is>
          <t/>
        </is>
      </c>
      <c r="CE53" s="91" t="inlineStr">
        <is>
          <t/>
        </is>
      </c>
      <c r="CF53" s="92" t="inlineStr">
        <is>
          <t>Completed</t>
        </is>
      </c>
      <c r="CG53" s="93" t="inlineStr">
        <is>
          <t/>
        </is>
      </c>
      <c r="CH53" s="94" t="inlineStr">
        <is>
          <t/>
        </is>
      </c>
      <c r="CI53" s="95" t="inlineStr">
        <is>
          <t/>
        </is>
      </c>
      <c r="CJ53" s="96" t="inlineStr">
        <is>
          <t/>
        </is>
      </c>
      <c r="CK53" s="97" t="inlineStr">
        <is>
          <t/>
        </is>
      </c>
      <c r="CL53" s="98" t="inlineStr">
        <is>
          <t/>
        </is>
      </c>
      <c r="CM53" s="99" t="inlineStr">
        <is>
          <t/>
        </is>
      </c>
      <c r="CN53" s="100" t="inlineStr">
        <is>
          <t/>
        </is>
      </c>
      <c r="CO53" s="101" t="inlineStr">
        <is>
          <t/>
        </is>
      </c>
      <c r="CP53" s="102" t="inlineStr">
        <is>
          <t/>
        </is>
      </c>
      <c r="CQ53" s="103" t="inlineStr">
        <is>
          <t/>
        </is>
      </c>
      <c r="CR53" s="104" t="inlineStr">
        <is>
          <t/>
        </is>
      </c>
      <c r="CS53" s="105" t="inlineStr">
        <is>
          <t/>
        </is>
      </c>
      <c r="CT53" s="106" t="inlineStr">
        <is>
          <t/>
        </is>
      </c>
      <c r="CU53" s="107" t="inlineStr">
        <is>
          <t/>
        </is>
      </c>
      <c r="CV53" s="108" t="inlineStr">
        <is>
          <t/>
        </is>
      </c>
      <c r="CW53" s="109" t="inlineStr">
        <is>
          <t/>
        </is>
      </c>
      <c r="CX53" s="110" t="inlineStr">
        <is>
          <t/>
        </is>
      </c>
      <c r="CY53" s="111" t="inlineStr">
        <is>
          <t/>
        </is>
      </c>
      <c r="CZ53" s="112" t="inlineStr">
        <is>
          <t/>
        </is>
      </c>
      <c r="DA53" s="113" t="inlineStr">
        <is>
          <t/>
        </is>
      </c>
      <c r="DB53" s="114" t="inlineStr">
        <is>
          <t/>
        </is>
      </c>
      <c r="DC53" s="115" t="inlineStr">
        <is>
          <t/>
        </is>
      </c>
      <c r="DD53" s="116" t="inlineStr">
        <is>
          <t/>
        </is>
      </c>
      <c r="DE53" s="117" t="inlineStr">
        <is>
          <t/>
        </is>
      </c>
      <c r="DF53" s="118" t="inlineStr">
        <is>
          <t/>
        </is>
      </c>
      <c r="DG53" s="119" t="inlineStr">
        <is>
          <t/>
        </is>
      </c>
      <c r="DH53" s="120" t="inlineStr">
        <is>
          <t/>
        </is>
      </c>
      <c r="DI53" s="121" t="inlineStr">
        <is>
          <t/>
        </is>
      </c>
      <c r="DJ53" s="122" t="inlineStr">
        <is>
          <t/>
        </is>
      </c>
      <c r="DK53" s="123" t="inlineStr">
        <is>
          <t/>
        </is>
      </c>
      <c r="DL53" s="124" t="inlineStr">
        <is>
          <t/>
        </is>
      </c>
      <c r="DM53" s="125" t="inlineStr">
        <is>
          <t/>
        </is>
      </c>
      <c r="DN53" s="126" t="inlineStr">
        <is>
          <t/>
        </is>
      </c>
      <c r="DO53" s="127" t="inlineStr">
        <is>
          <t/>
        </is>
      </c>
      <c r="DP53" s="128" t="inlineStr">
        <is>
          <t/>
        </is>
      </c>
      <c r="DQ53" s="129" t="inlineStr">
        <is>
          <t/>
        </is>
      </c>
      <c r="DR53" s="130" t="inlineStr">
        <is>
          <t/>
        </is>
      </c>
      <c r="DS53" s="131" t="inlineStr">
        <is>
          <t/>
        </is>
      </c>
      <c r="DT53" s="132" t="inlineStr">
        <is>
          <t/>
        </is>
      </c>
      <c r="DU53" s="133" t="inlineStr">
        <is>
          <t/>
        </is>
      </c>
      <c r="DV53" s="134" t="inlineStr">
        <is>
          <t/>
        </is>
      </c>
      <c r="DW53" s="135" t="inlineStr">
        <is>
          <t/>
        </is>
      </c>
      <c r="DX53" s="136" t="inlineStr">
        <is>
          <t/>
        </is>
      </c>
      <c r="DY53" s="137" t="inlineStr">
        <is>
          <t>PitchBook Research</t>
        </is>
      </c>
      <c r="DZ53" s="785">
        <f>HYPERLINK("https://my.pitchbook.com?c=166514-77", "View company online")</f>
      </c>
    </row>
    <row r="54">
      <c r="A54" s="139" t="inlineStr">
        <is>
          <t>114509-26</t>
        </is>
      </c>
      <c r="B54" s="140" t="inlineStr">
        <is>
          <t>Aryes</t>
        </is>
      </c>
      <c r="C54" s="141" t="inlineStr">
        <is>
          <t>Phoenix, Groupe Abcia</t>
        </is>
      </c>
      <c r="D54" s="142" t="inlineStr">
        <is>
          <t/>
        </is>
      </c>
      <c r="E54" s="143" t="inlineStr">
        <is>
          <t>114509-26</t>
        </is>
      </c>
      <c r="F54" s="144" t="inlineStr">
        <is>
          <t>Provider of business and financial consulting services. The company focuses on the development and the implementation of effective redevelopment plans, based on industrial projects while involving the management of acquired companies for their successful redeployment.</t>
        </is>
      </c>
      <c r="G54" s="145" t="inlineStr">
        <is>
          <t>Business Products and Services (B2B)</t>
        </is>
      </c>
      <c r="H54" s="146" t="inlineStr">
        <is>
          <t>Commercial Services</t>
        </is>
      </c>
      <c r="I54" s="147" t="inlineStr">
        <is>
          <t>Other Commercial Services</t>
        </is>
      </c>
      <c r="J54" s="148" t="inlineStr">
        <is>
          <t>Other Commercial Services*; Consulting Services (B2B)</t>
        </is>
      </c>
      <c r="K54" s="149" t="inlineStr">
        <is>
          <t/>
        </is>
      </c>
      <c r="L54" s="150" t="inlineStr">
        <is>
          <t>Venture Capital-Backed</t>
        </is>
      </c>
      <c r="M54" s="151" t="n">
        <v>6.5</v>
      </c>
      <c r="N54" s="152" t="inlineStr">
        <is>
          <t>Startup</t>
        </is>
      </c>
      <c r="O54" s="153" t="inlineStr">
        <is>
          <t>Privately Held (backing)</t>
        </is>
      </c>
      <c r="P54" s="154" t="inlineStr">
        <is>
          <t>Venture Capital, Private Equity</t>
        </is>
      </c>
      <c r="Q54" s="155" t="inlineStr">
        <is>
          <t>www.aryesgroup.fr</t>
        </is>
      </c>
      <c r="R54" s="156" t="inlineStr">
        <is>
          <t/>
        </is>
      </c>
      <c r="S54" s="157" t="inlineStr">
        <is>
          <t/>
        </is>
      </c>
      <c r="T54" s="158" t="inlineStr">
        <is>
          <t/>
        </is>
      </c>
      <c r="U54" s="159" t="n">
        <v>2014.0</v>
      </c>
      <c r="V54" s="160" t="inlineStr">
        <is>
          <t/>
        </is>
      </c>
      <c r="W54" s="161" t="inlineStr">
        <is>
          <t/>
        </is>
      </c>
      <c r="X54" s="162" t="inlineStr">
        <is>
          <t/>
        </is>
      </c>
      <c r="Y54" s="163" t="n">
        <v>0.00919</v>
      </c>
      <c r="Z54" s="164" t="inlineStr">
        <is>
          <t/>
        </is>
      </c>
      <c r="AA54" s="165" t="n">
        <v>6.10037</v>
      </c>
      <c r="AB54" s="166" t="inlineStr">
        <is>
          <t/>
        </is>
      </c>
      <c r="AC54" s="167" t="inlineStr">
        <is>
          <t/>
        </is>
      </c>
      <c r="AD54" s="168" t="inlineStr">
        <is>
          <t>FY 2015</t>
        </is>
      </c>
      <c r="AE54" s="169" t="inlineStr">
        <is>
          <t>101683-81P</t>
        </is>
      </c>
      <c r="AF54" s="170" t="inlineStr">
        <is>
          <t>Rodolphe Tarnaud</t>
        </is>
      </c>
      <c r="AG54" s="171" t="inlineStr">
        <is>
          <t>Chief Executive Officer, President &amp; Chairman</t>
        </is>
      </c>
      <c r="AH54" s="172" t="inlineStr">
        <is>
          <t>rodolphe.tarnaud@aryesgroup.fr</t>
        </is>
      </c>
      <c r="AI54" s="173" t="inlineStr">
        <is>
          <t>+33 (0)4 76 28 43 30</t>
        </is>
      </c>
      <c r="AJ54" s="174" t="inlineStr">
        <is>
          <t>Grenoble, France</t>
        </is>
      </c>
      <c r="AK54" s="175" t="inlineStr">
        <is>
          <t>26, avenue Marcelin Berthelot</t>
        </is>
      </c>
      <c r="AL54" s="176" t="inlineStr">
        <is>
          <t>BP 2353</t>
        </is>
      </c>
      <c r="AM54" s="177" t="inlineStr">
        <is>
          <t>Grenoble</t>
        </is>
      </c>
      <c r="AN54" s="178" t="inlineStr">
        <is>
          <t/>
        </is>
      </c>
      <c r="AO54" s="179" t="inlineStr">
        <is>
          <t>38033</t>
        </is>
      </c>
      <c r="AP54" s="180" t="inlineStr">
        <is>
          <t>France</t>
        </is>
      </c>
      <c r="AQ54" s="181" t="inlineStr">
        <is>
          <t>+33 (0)4 76 28 43 30</t>
        </is>
      </c>
      <c r="AR54" s="182" t="inlineStr">
        <is>
          <t>+33 (0)4 76 28 43 20</t>
        </is>
      </c>
      <c r="AS54" s="183" t="inlineStr">
        <is>
          <t>contact@aryesgroup.fr</t>
        </is>
      </c>
      <c r="AT54" s="184" t="inlineStr">
        <is>
          <t>Europe</t>
        </is>
      </c>
      <c r="AU54" s="185" t="inlineStr">
        <is>
          <t>Western Europe</t>
        </is>
      </c>
      <c r="AV54" s="186" t="inlineStr">
        <is>
          <t>The company raised EUR 6.5 million of venture funding from BNP Paribas, Omnes Capital and CM-CIC Investissement on December 15, 2014. Capida also participated. Previously, the company was formed through the merger of Groupia Abcia and Phoenix in 2014.</t>
        </is>
      </c>
      <c r="AW54" s="187" t="inlineStr">
        <is>
          <t>BNP Paribas, Capida, CM-CIC Investissement, Omnes Capital</t>
        </is>
      </c>
      <c r="AX54" s="188" t="n">
        <v>4.0</v>
      </c>
      <c r="AY54" s="189" t="inlineStr">
        <is>
          <t/>
        </is>
      </c>
      <c r="AZ54" s="190" t="inlineStr">
        <is>
          <t/>
        </is>
      </c>
      <c r="BA54" s="191" t="inlineStr">
        <is>
          <t/>
        </is>
      </c>
      <c r="BB54" s="192" t="inlineStr">
        <is>
          <t>CM-CIC Investissement (www.cmcic-investissement.com), Omnes Capital (www.omnescapital.com)</t>
        </is>
      </c>
      <c r="BC54" s="193" t="inlineStr">
        <is>
          <t/>
        </is>
      </c>
      <c r="BD54" s="194" t="inlineStr">
        <is>
          <t/>
        </is>
      </c>
      <c r="BE54" s="195" t="inlineStr">
        <is>
          <t/>
        </is>
      </c>
      <c r="BF54" s="196" t="inlineStr">
        <is>
          <t/>
        </is>
      </c>
      <c r="BG54" s="197" t="n">
        <v>41640.0</v>
      </c>
      <c r="BH54" s="198" t="inlineStr">
        <is>
          <t/>
        </is>
      </c>
      <c r="BI54" s="199" t="inlineStr">
        <is>
          <t/>
        </is>
      </c>
      <c r="BJ54" s="200" t="inlineStr">
        <is>
          <t/>
        </is>
      </c>
      <c r="BK54" s="201" t="inlineStr">
        <is>
          <t/>
        </is>
      </c>
      <c r="BL54" s="202" t="inlineStr">
        <is>
          <t>Platform Creation</t>
        </is>
      </c>
      <c r="BM54" s="203" t="inlineStr">
        <is>
          <t/>
        </is>
      </c>
      <c r="BN54" s="204" t="inlineStr">
        <is>
          <t/>
        </is>
      </c>
      <c r="BO54" s="205" t="inlineStr">
        <is>
          <t>Private Equity</t>
        </is>
      </c>
      <c r="BP54" s="206" t="inlineStr">
        <is>
          <t/>
        </is>
      </c>
      <c r="BQ54" s="207" t="inlineStr">
        <is>
          <t/>
        </is>
      </c>
      <c r="BR54" s="208" t="inlineStr">
        <is>
          <t/>
        </is>
      </c>
      <c r="BS54" s="209" t="inlineStr">
        <is>
          <t>Completed</t>
        </is>
      </c>
      <c r="BT54" s="210" t="n">
        <v>41988.0</v>
      </c>
      <c r="BU54" s="211" t="n">
        <v>6.5</v>
      </c>
      <c r="BV54" s="212" t="inlineStr">
        <is>
          <t>Actual</t>
        </is>
      </c>
      <c r="BW54" s="213" t="inlineStr">
        <is>
          <t/>
        </is>
      </c>
      <c r="BX54" s="214" t="inlineStr">
        <is>
          <t/>
        </is>
      </c>
      <c r="BY54" s="215" t="inlineStr">
        <is>
          <t>Early Stage VC</t>
        </is>
      </c>
      <c r="BZ54" s="216" t="inlineStr">
        <is>
          <t/>
        </is>
      </c>
      <c r="CA54" s="217" t="inlineStr">
        <is>
          <t/>
        </is>
      </c>
      <c r="CB54" s="218" t="inlineStr">
        <is>
          <t>Venture Capital</t>
        </is>
      </c>
      <c r="CC54" s="219" t="inlineStr">
        <is>
          <t/>
        </is>
      </c>
      <c r="CD54" s="220" t="inlineStr">
        <is>
          <t/>
        </is>
      </c>
      <c r="CE54" s="221" t="inlineStr">
        <is>
          <t/>
        </is>
      </c>
      <c r="CF54" s="222" t="inlineStr">
        <is>
          <t>Completed</t>
        </is>
      </c>
      <c r="CG54" s="223" t="inlineStr">
        <is>
          <t>0,00%</t>
        </is>
      </c>
      <c r="CH54" s="224" t="inlineStr">
        <is>
          <t>23</t>
        </is>
      </c>
      <c r="CI54" s="225" t="inlineStr">
        <is>
          <t>0,00%</t>
        </is>
      </c>
      <c r="CJ54" s="226" t="inlineStr">
        <is>
          <t>0,00%</t>
        </is>
      </c>
      <c r="CK54" s="227" t="inlineStr">
        <is>
          <t>0,00%</t>
        </is>
      </c>
      <c r="CL54" s="228" t="inlineStr">
        <is>
          <t>18</t>
        </is>
      </c>
      <c r="CM54" s="229" t="inlineStr">
        <is>
          <t/>
        </is>
      </c>
      <c r="CN54" s="230" t="inlineStr">
        <is>
          <t/>
        </is>
      </c>
      <c r="CO54" s="231" t="inlineStr">
        <is>
          <t/>
        </is>
      </c>
      <c r="CP54" s="232" t="inlineStr">
        <is>
          <t/>
        </is>
      </c>
      <c r="CQ54" s="233" t="inlineStr">
        <is>
          <t>0,00%</t>
        </is>
      </c>
      <c r="CR54" s="234" t="inlineStr">
        <is>
          <t>13</t>
        </is>
      </c>
      <c r="CS54" s="235" t="inlineStr">
        <is>
          <t/>
        </is>
      </c>
      <c r="CT54" s="236" t="inlineStr">
        <is>
          <t/>
        </is>
      </c>
      <c r="CU54" s="237" t="inlineStr">
        <is>
          <t/>
        </is>
      </c>
      <c r="CV54" s="238" t="inlineStr">
        <is>
          <t/>
        </is>
      </c>
      <c r="CW54" s="239" t="inlineStr">
        <is>
          <t>0,22x</t>
        </is>
      </c>
      <c r="CX54" s="240" t="inlineStr">
        <is>
          <t>18</t>
        </is>
      </c>
      <c r="CY54" s="241" t="inlineStr">
        <is>
          <t>0,01x</t>
        </is>
      </c>
      <c r="CZ54" s="242" t="inlineStr">
        <is>
          <t>2,78%</t>
        </is>
      </c>
      <c r="DA54" s="243" t="inlineStr">
        <is>
          <t>0,22x</t>
        </is>
      </c>
      <c r="DB54" s="244" t="inlineStr">
        <is>
          <t>21</t>
        </is>
      </c>
      <c r="DC54" s="245" t="inlineStr">
        <is>
          <t/>
        </is>
      </c>
      <c r="DD54" s="246" t="inlineStr">
        <is>
          <t/>
        </is>
      </c>
      <c r="DE54" s="247" t="inlineStr">
        <is>
          <t/>
        </is>
      </c>
      <c r="DF54" s="248" t="inlineStr">
        <is>
          <t/>
        </is>
      </c>
      <c r="DG54" s="249" t="inlineStr">
        <is>
          <t>0,22x</t>
        </is>
      </c>
      <c r="DH54" s="250" t="inlineStr">
        <is>
          <t>22</t>
        </is>
      </c>
      <c r="DI54" s="251" t="inlineStr">
        <is>
          <t/>
        </is>
      </c>
      <c r="DJ54" s="252" t="inlineStr">
        <is>
          <t/>
        </is>
      </c>
      <c r="DK54" s="253" t="inlineStr">
        <is>
          <t/>
        </is>
      </c>
      <c r="DL54" s="254" t="inlineStr">
        <is>
          <t/>
        </is>
      </c>
      <c r="DM54" s="255" t="inlineStr">
        <is>
          <t/>
        </is>
      </c>
      <c r="DN54" s="256" t="inlineStr">
        <is>
          <t/>
        </is>
      </c>
      <c r="DO54" s="257" t="inlineStr">
        <is>
          <t/>
        </is>
      </c>
      <c r="DP54" s="258" t="inlineStr">
        <is>
          <t/>
        </is>
      </c>
      <c r="DQ54" s="259" t="inlineStr">
        <is>
          <t/>
        </is>
      </c>
      <c r="DR54" s="260" t="inlineStr">
        <is>
          <t/>
        </is>
      </c>
      <c r="DS54" s="261" t="inlineStr">
        <is>
          <t>8</t>
        </is>
      </c>
      <c r="DT54" s="262" t="inlineStr">
        <is>
          <t>0</t>
        </is>
      </c>
      <c r="DU54" s="263" t="inlineStr">
        <is>
          <t>0,00%</t>
        </is>
      </c>
      <c r="DV54" s="264" t="inlineStr">
        <is>
          <t/>
        </is>
      </c>
      <c r="DW54" s="265" t="inlineStr">
        <is>
          <t/>
        </is>
      </c>
      <c r="DX54" s="266" t="inlineStr">
        <is>
          <t/>
        </is>
      </c>
      <c r="DY54" s="267" t="inlineStr">
        <is>
          <t>PitchBook Research</t>
        </is>
      </c>
      <c r="DZ54" s="786">
        <f>HYPERLINK("https://my.pitchbook.com?c=114509-26", "View company online")</f>
      </c>
    </row>
    <row r="55">
      <c r="A55" s="9" t="inlineStr">
        <is>
          <t>64606-24</t>
        </is>
      </c>
      <c r="B55" s="10" t="inlineStr">
        <is>
          <t>Asceneuron</t>
        </is>
      </c>
      <c r="C55" s="11" t="inlineStr">
        <is>
          <t/>
        </is>
      </c>
      <c r="D55" s="12" t="inlineStr">
        <is>
          <t/>
        </is>
      </c>
      <c r="E55" s="13" t="inlineStr">
        <is>
          <t>64606-24</t>
        </is>
      </c>
      <c r="F55" s="14" t="inlineStr">
        <is>
          <t>Provider of therapeutics treatment for Alzheimer's disease. The company develops therapeutics for orphan tauopathies and improved symptomatic drugs for Alzheimer's disease.</t>
        </is>
      </c>
      <c r="G55" s="15" t="inlineStr">
        <is>
          <t>Healthcare</t>
        </is>
      </c>
      <c r="H55" s="16" t="inlineStr">
        <is>
          <t>Pharmaceuticals and Biotechnology</t>
        </is>
      </c>
      <c r="I55" s="17" t="inlineStr">
        <is>
          <t>Drug Discovery</t>
        </is>
      </c>
      <c r="J55" s="18" t="inlineStr">
        <is>
          <t>Drug Discovery*; Other Healthcare Services</t>
        </is>
      </c>
      <c r="K55" s="19" t="inlineStr">
        <is>
          <t/>
        </is>
      </c>
      <c r="L55" s="20" t="inlineStr">
        <is>
          <t>Venture Capital-Backed</t>
        </is>
      </c>
      <c r="M55" s="21" t="n">
        <v>32.23</v>
      </c>
      <c r="N55" s="22" t="inlineStr">
        <is>
          <t>Pre-Clinical Trials</t>
        </is>
      </c>
      <c r="O55" s="23" t="inlineStr">
        <is>
          <t>Privately Held (backing)</t>
        </is>
      </c>
      <c r="P55" s="24" t="inlineStr">
        <is>
          <t>Venture Capital</t>
        </is>
      </c>
      <c r="Q55" s="25" t="inlineStr">
        <is>
          <t>www.asceneuron.com</t>
        </is>
      </c>
      <c r="R55" s="26" t="n">
        <v>9.0</v>
      </c>
      <c r="S55" s="27" t="inlineStr">
        <is>
          <t/>
        </is>
      </c>
      <c r="T55" s="28" t="inlineStr">
        <is>
          <t/>
        </is>
      </c>
      <c r="U55" s="29" t="n">
        <v>2012.0</v>
      </c>
      <c r="V55" s="30" t="inlineStr">
        <is>
          <t/>
        </is>
      </c>
      <c r="W55" s="31" t="inlineStr">
        <is>
          <t/>
        </is>
      </c>
      <c r="X55" s="32" t="inlineStr">
        <is>
          <t/>
        </is>
      </c>
      <c r="Y55" s="33" t="inlineStr">
        <is>
          <t/>
        </is>
      </c>
      <c r="Z55" s="34" t="inlineStr">
        <is>
          <t/>
        </is>
      </c>
      <c r="AA55" s="35" t="inlineStr">
        <is>
          <t/>
        </is>
      </c>
      <c r="AB55" s="36" t="inlineStr">
        <is>
          <t/>
        </is>
      </c>
      <c r="AC55" s="37" t="inlineStr">
        <is>
          <t/>
        </is>
      </c>
      <c r="AD55" s="38" t="inlineStr">
        <is>
          <t/>
        </is>
      </c>
      <c r="AE55" s="39" t="inlineStr">
        <is>
          <t>71706-61P</t>
        </is>
      </c>
      <c r="AF55" s="40" t="inlineStr">
        <is>
          <t>Dirk Beher</t>
        </is>
      </c>
      <c r="AG55" s="41" t="inlineStr">
        <is>
          <t>Chief Executive Officer, Board Member and Co-Founder</t>
        </is>
      </c>
      <c r="AH55" s="42" t="inlineStr">
        <is>
          <t>dirk.beher@asceneuron.com</t>
        </is>
      </c>
      <c r="AI55" s="43" t="inlineStr">
        <is>
          <t/>
        </is>
      </c>
      <c r="AJ55" s="44" t="inlineStr">
        <is>
          <t>Lausanne, Switzerland</t>
        </is>
      </c>
      <c r="AK55" s="45" t="inlineStr">
        <is>
          <t>EPFL Innovation Park</t>
        </is>
      </c>
      <c r="AL55" s="46" t="inlineStr">
        <is>
          <t>Bâtiment B</t>
        </is>
      </c>
      <c r="AM55" s="47" t="inlineStr">
        <is>
          <t>Lausanne</t>
        </is>
      </c>
      <c r="AN55" s="48" t="inlineStr">
        <is>
          <t/>
        </is>
      </c>
      <c r="AO55" s="49" t="inlineStr">
        <is>
          <t>1015</t>
        </is>
      </c>
      <c r="AP55" s="50" t="inlineStr">
        <is>
          <t>Switzerland</t>
        </is>
      </c>
      <c r="AQ55" s="51" t="inlineStr">
        <is>
          <t/>
        </is>
      </c>
      <c r="AR55" s="52" t="inlineStr">
        <is>
          <t/>
        </is>
      </c>
      <c r="AS55" s="53" t="inlineStr">
        <is>
          <t>info@asceneuron.com</t>
        </is>
      </c>
      <c r="AT55" s="54" t="inlineStr">
        <is>
          <t>Europe</t>
        </is>
      </c>
      <c r="AU55" s="55" t="inlineStr">
        <is>
          <t>Western Europe</t>
        </is>
      </c>
      <c r="AV55" s="56" t="inlineStr">
        <is>
          <t>The company received an undisclosed amount of grant funding from Michael J. Fox Foundation on October 6, 2016.</t>
        </is>
      </c>
      <c r="AW55" s="57" t="inlineStr">
        <is>
          <t>Alzheimers Drug Discovery Foundation, EPFL Innovation Park, Johnson &amp; Johnson Innovation - JJDC, Kurma Partners, Merck Ventures, Michael J. Fox Foundation, Sofinnova Partners, SR One</t>
        </is>
      </c>
      <c r="AX55" s="58" t="n">
        <v>8.0</v>
      </c>
      <c r="AY55" s="59" t="inlineStr">
        <is>
          <t/>
        </is>
      </c>
      <c r="AZ55" s="60" t="inlineStr">
        <is>
          <t/>
        </is>
      </c>
      <c r="BA55" s="61" t="inlineStr">
        <is>
          <t/>
        </is>
      </c>
      <c r="BB55" s="62" t="inlineStr">
        <is>
          <t>Alzheimers Drug Discovery Foundation (alzdiscovery.org), EPFL Innovation Park (epfl-innovationpark.ch), Johnson &amp; Johnson Innovation - JJDC (www.jnjinnovation.com/jjdc), Kurma Partners (www.kurmapartners.com), Merck Ventures (www.merck-ventures.com), Michael J. Fox Foundation (www.michaeljfox.org), Sofinnova Partners (www.sofinnova.fr), SR One (www.srone.com)</t>
        </is>
      </c>
      <c r="BC55" s="63" t="inlineStr">
        <is>
          <t/>
        </is>
      </c>
      <c r="BD55" s="64" t="inlineStr">
        <is>
          <t/>
        </is>
      </c>
      <c r="BE55" s="65" t="inlineStr">
        <is>
          <t/>
        </is>
      </c>
      <c r="BF55" s="66" t="inlineStr">
        <is>
          <t/>
        </is>
      </c>
      <c r="BG55" s="67" t="inlineStr">
        <is>
          <t/>
        </is>
      </c>
      <c r="BH55" s="68" t="inlineStr">
        <is>
          <t/>
        </is>
      </c>
      <c r="BI55" s="69" t="inlineStr">
        <is>
          <t/>
        </is>
      </c>
      <c r="BJ55" s="70" t="inlineStr">
        <is>
          <t/>
        </is>
      </c>
      <c r="BK55" s="71" t="inlineStr">
        <is>
          <t/>
        </is>
      </c>
      <c r="BL55" s="72" t="inlineStr">
        <is>
          <t>Accelerator/Incubator</t>
        </is>
      </c>
      <c r="BM55" s="73" t="inlineStr">
        <is>
          <t/>
        </is>
      </c>
      <c r="BN55" s="74" t="inlineStr">
        <is>
          <t/>
        </is>
      </c>
      <c r="BO55" s="75" t="inlineStr">
        <is>
          <t>Other</t>
        </is>
      </c>
      <c r="BP55" s="76" t="inlineStr">
        <is>
          <t/>
        </is>
      </c>
      <c r="BQ55" s="77" t="inlineStr">
        <is>
          <t/>
        </is>
      </c>
      <c r="BR55" s="78" t="inlineStr">
        <is>
          <t/>
        </is>
      </c>
      <c r="BS55" s="79" t="inlineStr">
        <is>
          <t>Completed</t>
        </is>
      </c>
      <c r="BT55" s="80" t="n">
        <v>42649.0</v>
      </c>
      <c r="BU55" s="81" t="inlineStr">
        <is>
          <t/>
        </is>
      </c>
      <c r="BV55" s="82" t="inlineStr">
        <is>
          <t/>
        </is>
      </c>
      <c r="BW55" s="83" t="inlineStr">
        <is>
          <t/>
        </is>
      </c>
      <c r="BX55" s="84" t="inlineStr">
        <is>
          <t/>
        </is>
      </c>
      <c r="BY55" s="85" t="inlineStr">
        <is>
          <t>Grant</t>
        </is>
      </c>
      <c r="BZ55" s="86" t="inlineStr">
        <is>
          <t/>
        </is>
      </c>
      <c r="CA55" s="87" t="inlineStr">
        <is>
          <t/>
        </is>
      </c>
      <c r="CB55" s="88" t="inlineStr">
        <is>
          <t>Other</t>
        </is>
      </c>
      <c r="CC55" s="89" t="inlineStr">
        <is>
          <t/>
        </is>
      </c>
      <c r="CD55" s="90" t="inlineStr">
        <is>
          <t/>
        </is>
      </c>
      <c r="CE55" s="91" t="inlineStr">
        <is>
          <t/>
        </is>
      </c>
      <c r="CF55" s="92" t="inlineStr">
        <is>
          <t>Completed</t>
        </is>
      </c>
      <c r="CG55" s="93" t="inlineStr">
        <is>
          <t>0,00%</t>
        </is>
      </c>
      <c r="CH55" s="94" t="inlineStr">
        <is>
          <t>23</t>
        </is>
      </c>
      <c r="CI55" s="95" t="inlineStr">
        <is>
          <t>0,00%</t>
        </is>
      </c>
      <c r="CJ55" s="96" t="inlineStr">
        <is>
          <t>0,00%</t>
        </is>
      </c>
      <c r="CK55" s="97" t="inlineStr">
        <is>
          <t>0,00%</t>
        </is>
      </c>
      <c r="CL55" s="98" t="inlineStr">
        <is>
          <t>18</t>
        </is>
      </c>
      <c r="CM55" s="99" t="inlineStr">
        <is>
          <t/>
        </is>
      </c>
      <c r="CN55" s="100" t="inlineStr">
        <is>
          <t/>
        </is>
      </c>
      <c r="CO55" s="101" t="inlineStr">
        <is>
          <t>0,00%</t>
        </is>
      </c>
      <c r="CP55" s="102" t="inlineStr">
        <is>
          <t>26</t>
        </is>
      </c>
      <c r="CQ55" s="103" t="inlineStr">
        <is>
          <t>0,00%</t>
        </is>
      </c>
      <c r="CR55" s="104" t="inlineStr">
        <is>
          <t>13</t>
        </is>
      </c>
      <c r="CS55" s="105" t="inlineStr">
        <is>
          <t/>
        </is>
      </c>
      <c r="CT55" s="106" t="inlineStr">
        <is>
          <t/>
        </is>
      </c>
      <c r="CU55" s="107" t="inlineStr">
        <is>
          <t/>
        </is>
      </c>
      <c r="CV55" s="108" t="inlineStr">
        <is>
          <t/>
        </is>
      </c>
      <c r="CW55" s="109" t="inlineStr">
        <is>
          <t>1,12x</t>
        </is>
      </c>
      <c r="CX55" s="110" t="inlineStr">
        <is>
          <t>52</t>
        </is>
      </c>
      <c r="CY55" s="111" t="inlineStr">
        <is>
          <t>0,02x</t>
        </is>
      </c>
      <c r="CZ55" s="112" t="inlineStr">
        <is>
          <t>2,09%</t>
        </is>
      </c>
      <c r="DA55" s="113" t="inlineStr">
        <is>
          <t>1,12x</t>
        </is>
      </c>
      <c r="DB55" s="114" t="inlineStr">
        <is>
          <t>54</t>
        </is>
      </c>
      <c r="DC55" s="115" t="inlineStr">
        <is>
          <t/>
        </is>
      </c>
      <c r="DD55" s="116" t="inlineStr">
        <is>
          <t/>
        </is>
      </c>
      <c r="DE55" s="117" t="inlineStr">
        <is>
          <t>0,54x</t>
        </is>
      </c>
      <c r="DF55" s="118" t="inlineStr">
        <is>
          <t>38</t>
        </is>
      </c>
      <c r="DG55" s="119" t="inlineStr">
        <is>
          <t>1,69x</t>
        </is>
      </c>
      <c r="DH55" s="120" t="inlineStr">
        <is>
          <t>61</t>
        </is>
      </c>
      <c r="DI55" s="121" t="inlineStr">
        <is>
          <t/>
        </is>
      </c>
      <c r="DJ55" s="122" t="inlineStr">
        <is>
          <t/>
        </is>
      </c>
      <c r="DK55" s="123" t="inlineStr">
        <is>
          <t/>
        </is>
      </c>
      <c r="DL55" s="124" t="inlineStr">
        <is>
          <t/>
        </is>
      </c>
      <c r="DM55" s="125" t="inlineStr">
        <is>
          <t>318</t>
        </is>
      </c>
      <c r="DN55" s="126" t="inlineStr">
        <is>
          <t>47</t>
        </is>
      </c>
      <c r="DO55" s="127" t="inlineStr">
        <is>
          <t>17,34%</t>
        </is>
      </c>
      <c r="DP55" s="128" t="inlineStr">
        <is>
          <t/>
        </is>
      </c>
      <c r="DQ55" s="129" t="inlineStr">
        <is>
          <t/>
        </is>
      </c>
      <c r="DR55" s="130" t="inlineStr">
        <is>
          <t/>
        </is>
      </c>
      <c r="DS55" s="131" t="inlineStr">
        <is>
          <t>61</t>
        </is>
      </c>
      <c r="DT55" s="132" t="inlineStr">
        <is>
          <t>0</t>
        </is>
      </c>
      <c r="DU55" s="133" t="inlineStr">
        <is>
          <t>0,00%</t>
        </is>
      </c>
      <c r="DV55" s="134" t="inlineStr">
        <is>
          <t/>
        </is>
      </c>
      <c r="DW55" s="135" t="inlineStr">
        <is>
          <t/>
        </is>
      </c>
      <c r="DX55" s="136" t="inlineStr">
        <is>
          <t/>
        </is>
      </c>
      <c r="DY55" s="137" t="inlineStr">
        <is>
          <t>PitchBook Research</t>
        </is>
      </c>
      <c r="DZ55" s="785">
        <f>HYPERLINK("https://my.pitchbook.com?c=64606-24", "View company online")</f>
      </c>
    </row>
    <row r="56">
      <c r="A56" s="139" t="inlineStr">
        <is>
          <t>121683-34</t>
        </is>
      </c>
      <c r="B56" s="140" t="inlineStr">
        <is>
          <t>Auto1 Group</t>
        </is>
      </c>
      <c r="C56" s="141" t="inlineStr">
        <is>
          <t/>
        </is>
      </c>
      <c r="D56" s="142" t="inlineStr">
        <is>
          <t>Auto1</t>
        </is>
      </c>
      <c r="E56" s="143" t="inlineStr">
        <is>
          <t>121683-34</t>
        </is>
      </c>
      <c r="F56" s="144" t="inlineStr">
        <is>
          <t>Operator of an online car trading platform intended to sell used cars. The company's online marketplace, with its own certified and diversified inventory, offers a wide range of cars, which allows each partner to find the right vehicle for the individual used car program at competitive market prices, enabling consumers and dealers to trade seamlessly in terms of purchase and sell of used cars.</t>
        </is>
      </c>
      <c r="G56" s="145" t="inlineStr">
        <is>
          <t>Consumer Products and Services (B2C)</t>
        </is>
      </c>
      <c r="H56" s="146" t="inlineStr">
        <is>
          <t>Transportation</t>
        </is>
      </c>
      <c r="I56" s="147" t="inlineStr">
        <is>
          <t>Automotive</t>
        </is>
      </c>
      <c r="J56" s="148" t="inlineStr">
        <is>
          <t>Automotive*; Media and Information Services (B2B); Social/Platform Software</t>
        </is>
      </c>
      <c r="K56" s="149" t="inlineStr">
        <is>
          <t>E-Commerce</t>
        </is>
      </c>
      <c r="L56" s="150" t="inlineStr">
        <is>
          <t>Venture Capital-Backed</t>
        </is>
      </c>
      <c r="M56" s="151" t="n">
        <v>205.3</v>
      </c>
      <c r="N56" s="152" t="inlineStr">
        <is>
          <t>Generating Revenue</t>
        </is>
      </c>
      <c r="O56" s="153" t="inlineStr">
        <is>
          <t>Privately Held (backing)</t>
        </is>
      </c>
      <c r="P56" s="154" t="inlineStr">
        <is>
          <t>Venture Capital, Private Equity</t>
        </is>
      </c>
      <c r="Q56" s="155" t="inlineStr">
        <is>
          <t>www.auto1-group.com</t>
        </is>
      </c>
      <c r="R56" s="156" t="n">
        <v>2000.0</v>
      </c>
      <c r="S56" s="157" t="inlineStr">
        <is>
          <t/>
        </is>
      </c>
      <c r="T56" s="158" t="inlineStr">
        <is>
          <t/>
        </is>
      </c>
      <c r="U56" s="159" t="n">
        <v>2012.0</v>
      </c>
      <c r="V56" s="160" t="inlineStr">
        <is>
          <t/>
        </is>
      </c>
      <c r="W56" s="161" t="inlineStr">
        <is>
          <t/>
        </is>
      </c>
      <c r="X56" s="162" t="inlineStr">
        <is>
          <t/>
        </is>
      </c>
      <c r="Y56" s="163" t="n">
        <v>1499.99588</v>
      </c>
      <c r="Z56" s="164" t="inlineStr">
        <is>
          <t/>
        </is>
      </c>
      <c r="AA56" s="165" t="inlineStr">
        <is>
          <t/>
        </is>
      </c>
      <c r="AB56" s="166" t="inlineStr">
        <is>
          <t/>
        </is>
      </c>
      <c r="AC56" s="167" t="inlineStr">
        <is>
          <t/>
        </is>
      </c>
      <c r="AD56" s="168" t="inlineStr">
        <is>
          <t>FY 2016</t>
        </is>
      </c>
      <c r="AE56" s="169" t="inlineStr">
        <is>
          <t>143164-09P</t>
        </is>
      </c>
      <c r="AF56" s="170" t="inlineStr">
        <is>
          <t>Sören Lange</t>
        </is>
      </c>
      <c r="AG56" s="171" t="inlineStr">
        <is>
          <t>Chief Marketing Officer</t>
        </is>
      </c>
      <c r="AH56" s="172" t="inlineStr">
        <is>
          <t>sl@auto1.com</t>
        </is>
      </c>
      <c r="AI56" s="173" t="inlineStr">
        <is>
          <t>+49 (0)30 2016 3836 0</t>
        </is>
      </c>
      <c r="AJ56" s="174" t="inlineStr">
        <is>
          <t>Berlin, Germany</t>
        </is>
      </c>
      <c r="AK56" s="175" t="inlineStr">
        <is>
          <t>Bergmannstraße 72</t>
        </is>
      </c>
      <c r="AL56" s="176" t="inlineStr">
        <is>
          <t/>
        </is>
      </c>
      <c r="AM56" s="177" t="inlineStr">
        <is>
          <t>Berlin</t>
        </is>
      </c>
      <c r="AN56" s="178" t="inlineStr">
        <is>
          <t/>
        </is>
      </c>
      <c r="AO56" s="179" t="inlineStr">
        <is>
          <t>10961</t>
        </is>
      </c>
      <c r="AP56" s="180" t="inlineStr">
        <is>
          <t>Germany</t>
        </is>
      </c>
      <c r="AQ56" s="181" t="inlineStr">
        <is>
          <t>+49 (0)30 2016 3836 0</t>
        </is>
      </c>
      <c r="AR56" s="182" t="inlineStr">
        <is>
          <t/>
        </is>
      </c>
      <c r="AS56" s="183" t="inlineStr">
        <is>
          <t>info@auto1-group.com</t>
        </is>
      </c>
      <c r="AT56" s="184" t="inlineStr">
        <is>
          <t>Europe</t>
        </is>
      </c>
      <c r="AU56" s="185" t="inlineStr">
        <is>
          <t>Western Europe</t>
        </is>
      </c>
      <c r="AV56" s="186" t="inlineStr">
        <is>
          <t>The company raised EUR 360 million of venture funding through a combination of equity and debt from Baillie Gifford, Princeville Global and Target Global on May 19, 2017, putting the company's pre-money valuation at EUR 2.4 billion. JPMorgan Chase &amp; Company, Goldman Sachs (GSAM Private Credit Group), Citigroup, BNP Paribas, BHF-Bank and Barclays provided debt funding in the round. Previously, the company raised an undisclosed amount of Series E venture funding from Target Global, Baillie Gifford and DN Capital in December 2016.</t>
        </is>
      </c>
      <c r="AW56" s="187" t="inlineStr">
        <is>
          <t>Baillie Gifford, Cherry Ventures Management, DN Capital, DST Global, Felix Jahn, Panorama Point Partners, Piton Capital, Princeville Global, Target Global, The Mutschler Group, Winter Capital Advisors</t>
        </is>
      </c>
      <c r="AX56" s="188" t="n">
        <v>11.0</v>
      </c>
      <c r="AY56" s="189" t="inlineStr">
        <is>
          <t/>
        </is>
      </c>
      <c r="AZ56" s="190" t="inlineStr">
        <is>
          <t>Simile Venture Partners</t>
        </is>
      </c>
      <c r="BA56" s="191" t="inlineStr">
        <is>
          <t/>
        </is>
      </c>
      <c r="BB56" s="192" t="inlineStr">
        <is>
          <t>Baillie Gifford (www.bailliegifford.com), Cherry Ventures Management (cherry.vc), DN Capital (www.dncapital.com), DST Global (www.dst-global.com), Panorama Point Partners (www.panoramapoint.com), Piton Capital (www.pitoncap.com), Princeville Global (www.princevilleglobal.com), Target Global (www.targetglobal.vc), The Mutschler Group (www.mutschler-immobilien.com), Winter Capital Advisors (www.wintercapital.com)</t>
        </is>
      </c>
      <c r="BC56" s="193" t="inlineStr">
        <is>
          <t>Simile Venture Partners (www.simileventure.com)</t>
        </is>
      </c>
      <c r="BD56" s="194" t="inlineStr">
        <is>
          <t/>
        </is>
      </c>
      <c r="BE56" s="195" t="inlineStr">
        <is>
          <t/>
        </is>
      </c>
      <c r="BF56" s="196" t="inlineStr">
        <is>
          <t>Citigroup, JPMorgan Chase &amp; Company, BHF-Bank, BNP Paribas, Goldman Sachs (GSAM Private Credit Group), Barclays</t>
        </is>
      </c>
      <c r="BG56" s="197" t="n">
        <v>41426.0</v>
      </c>
      <c r="BH56" s="198" t="n">
        <v>100.0</v>
      </c>
      <c r="BI56" s="199" t="inlineStr">
        <is>
          <t>Actual</t>
        </is>
      </c>
      <c r="BJ56" s="200" t="inlineStr">
        <is>
          <t/>
        </is>
      </c>
      <c r="BK56" s="201" t="inlineStr">
        <is>
          <t/>
        </is>
      </c>
      <c r="BL56" s="202" t="inlineStr">
        <is>
          <t>Early Stage VC</t>
        </is>
      </c>
      <c r="BM56" s="203" t="inlineStr">
        <is>
          <t>Series A1</t>
        </is>
      </c>
      <c r="BN56" s="204" t="inlineStr">
        <is>
          <t/>
        </is>
      </c>
      <c r="BO56" s="205" t="inlineStr">
        <is>
          <t>Venture Capital</t>
        </is>
      </c>
      <c r="BP56" s="206" t="inlineStr">
        <is>
          <t/>
        </is>
      </c>
      <c r="BQ56" s="207" t="inlineStr">
        <is>
          <t/>
        </is>
      </c>
      <c r="BR56" s="208" t="inlineStr">
        <is>
          <t/>
        </is>
      </c>
      <c r="BS56" s="209" t="inlineStr">
        <is>
          <t>Completed</t>
        </is>
      </c>
      <c r="BT56" s="210" t="n">
        <v>42874.0</v>
      </c>
      <c r="BU56" s="211" t="n">
        <v>360.0</v>
      </c>
      <c r="BV56" s="212" t="inlineStr">
        <is>
          <t>Actual</t>
        </is>
      </c>
      <c r="BW56" s="213" t="n">
        <v>2800.0</v>
      </c>
      <c r="BX56" s="214" t="inlineStr">
        <is>
          <t>Estimated</t>
        </is>
      </c>
      <c r="BY56" s="215" t="inlineStr">
        <is>
          <t>Later Stage VC</t>
        </is>
      </c>
      <c r="BZ56" s="216" t="inlineStr">
        <is>
          <t/>
        </is>
      </c>
      <c r="CA56" s="217" t="inlineStr">
        <is>
          <t/>
        </is>
      </c>
      <c r="CB56" s="218" t="inlineStr">
        <is>
          <t>Venture Capital</t>
        </is>
      </c>
      <c r="CC56" s="219" t="inlineStr">
        <is>
          <t>Other Debt</t>
        </is>
      </c>
      <c r="CD56" s="220" t="inlineStr">
        <is>
          <t/>
        </is>
      </c>
      <c r="CE56" s="221" t="inlineStr">
        <is>
          <t/>
        </is>
      </c>
      <c r="CF56" s="222" t="inlineStr">
        <is>
          <t>Completed</t>
        </is>
      </c>
      <c r="CG56" s="223" t="inlineStr">
        <is>
          <t>0,00%</t>
        </is>
      </c>
      <c r="CH56" s="224" t="inlineStr">
        <is>
          <t>23</t>
        </is>
      </c>
      <c r="CI56" s="225" t="inlineStr">
        <is>
          <t>0,00%</t>
        </is>
      </c>
      <c r="CJ56" s="226" t="inlineStr">
        <is>
          <t>0,00%</t>
        </is>
      </c>
      <c r="CK56" s="227" t="inlineStr">
        <is>
          <t>0,00%</t>
        </is>
      </c>
      <c r="CL56" s="228" t="inlineStr">
        <is>
          <t>18</t>
        </is>
      </c>
      <c r="CM56" s="229" t="inlineStr">
        <is>
          <t>0,00%</t>
        </is>
      </c>
      <c r="CN56" s="230" t="inlineStr">
        <is>
          <t>19</t>
        </is>
      </c>
      <c r="CO56" s="231" t="inlineStr">
        <is>
          <t>0,00%</t>
        </is>
      </c>
      <c r="CP56" s="232" t="inlineStr">
        <is>
          <t>26</t>
        </is>
      </c>
      <c r="CQ56" s="233" t="inlineStr">
        <is>
          <t>0,00%</t>
        </is>
      </c>
      <c r="CR56" s="234" t="inlineStr">
        <is>
          <t>13</t>
        </is>
      </c>
      <c r="CS56" s="235" t="inlineStr">
        <is>
          <t/>
        </is>
      </c>
      <c r="CT56" s="236" t="inlineStr">
        <is>
          <t/>
        </is>
      </c>
      <c r="CU56" s="237" t="inlineStr">
        <is>
          <t>0,00%</t>
        </is>
      </c>
      <c r="CV56" s="238" t="inlineStr">
        <is>
          <t>20</t>
        </is>
      </c>
      <c r="CW56" s="239" t="inlineStr">
        <is>
          <t>0,68x</t>
        </is>
      </c>
      <c r="CX56" s="240" t="inlineStr">
        <is>
          <t>40</t>
        </is>
      </c>
      <c r="CY56" s="241" t="inlineStr">
        <is>
          <t>0,01x</t>
        </is>
      </c>
      <c r="CZ56" s="242" t="inlineStr">
        <is>
          <t>0,88%</t>
        </is>
      </c>
      <c r="DA56" s="243" t="inlineStr">
        <is>
          <t>1,20x</t>
        </is>
      </c>
      <c r="DB56" s="244" t="inlineStr">
        <is>
          <t>56</t>
        </is>
      </c>
      <c r="DC56" s="245" t="inlineStr">
        <is>
          <t>0,17x</t>
        </is>
      </c>
      <c r="DD56" s="246" t="inlineStr">
        <is>
          <t>20</t>
        </is>
      </c>
      <c r="DE56" s="247" t="inlineStr">
        <is>
          <t>0,76x</t>
        </is>
      </c>
      <c r="DF56" s="248" t="inlineStr">
        <is>
          <t>45</t>
        </is>
      </c>
      <c r="DG56" s="249" t="inlineStr">
        <is>
          <t>1,64x</t>
        </is>
      </c>
      <c r="DH56" s="250" t="inlineStr">
        <is>
          <t>60</t>
        </is>
      </c>
      <c r="DI56" s="251" t="inlineStr">
        <is>
          <t/>
        </is>
      </c>
      <c r="DJ56" s="252" t="inlineStr">
        <is>
          <t/>
        </is>
      </c>
      <c r="DK56" s="253" t="inlineStr">
        <is>
          <t>0,17x</t>
        </is>
      </c>
      <c r="DL56" s="254" t="inlineStr">
        <is>
          <t>24</t>
        </is>
      </c>
      <c r="DM56" s="255" t="inlineStr">
        <is>
          <t>472</t>
        </is>
      </c>
      <c r="DN56" s="256" t="inlineStr">
        <is>
          <t>-11</t>
        </is>
      </c>
      <c r="DO56" s="257" t="inlineStr">
        <is>
          <t>-2,28%</t>
        </is>
      </c>
      <c r="DP56" s="258" t="inlineStr">
        <is>
          <t/>
        </is>
      </c>
      <c r="DQ56" s="259" t="inlineStr">
        <is>
          <t/>
        </is>
      </c>
      <c r="DR56" s="260" t="inlineStr">
        <is>
          <t/>
        </is>
      </c>
      <c r="DS56" s="261" t="inlineStr">
        <is>
          <t>59</t>
        </is>
      </c>
      <c r="DT56" s="262" t="inlineStr">
        <is>
          <t>-1</t>
        </is>
      </c>
      <c r="DU56" s="263" t="inlineStr">
        <is>
          <t>-1,67%</t>
        </is>
      </c>
      <c r="DV56" s="264" t="inlineStr">
        <is>
          <t>57</t>
        </is>
      </c>
      <c r="DW56" s="265" t="inlineStr">
        <is>
          <t>0</t>
        </is>
      </c>
      <c r="DX56" s="266" t="inlineStr">
        <is>
          <t>0,00%</t>
        </is>
      </c>
      <c r="DY56" s="267" t="inlineStr">
        <is>
          <t>PitchBook Research</t>
        </is>
      </c>
      <c r="DZ56" s="786">
        <f>HYPERLINK("https://my.pitchbook.com?c=121683-34", "View company online")</f>
      </c>
    </row>
    <row r="57">
      <c r="A57" s="9" t="inlineStr">
        <is>
          <t>107480-26</t>
        </is>
      </c>
      <c r="B57" s="10" t="inlineStr">
        <is>
          <t>Autolus</t>
        </is>
      </c>
      <c r="C57" s="11" t="inlineStr">
        <is>
          <t/>
        </is>
      </c>
      <c r="D57" s="12" t="inlineStr">
        <is>
          <t/>
        </is>
      </c>
      <c r="E57" s="13" t="inlineStr">
        <is>
          <t>107480-26</t>
        </is>
      </c>
      <c r="F57" s="14" t="inlineStr">
        <is>
          <t>Developer of T-cell immunotherapy products. The company focuses on the development and commercialisation of engineered T-cell immunotherapy products for the treatment of life-threatening cancers.</t>
        </is>
      </c>
      <c r="G57" s="15" t="inlineStr">
        <is>
          <t>Healthcare</t>
        </is>
      </c>
      <c r="H57" s="16" t="inlineStr">
        <is>
          <t>Healthcare Services</t>
        </is>
      </c>
      <c r="I57" s="17" t="inlineStr">
        <is>
          <t>Other Healthcare Services</t>
        </is>
      </c>
      <c r="J57" s="18" t="inlineStr">
        <is>
          <t>Other Healthcare Services*; Drug Discovery; Other Pharmaceuticals and Biotechnology</t>
        </is>
      </c>
      <c r="K57" s="19" t="inlineStr">
        <is>
          <t>Life Sciences, Oncology</t>
        </is>
      </c>
      <c r="L57" s="20" t="inlineStr">
        <is>
          <t>Venture Capital-Backed</t>
        </is>
      </c>
      <c r="M57" s="21" t="n">
        <v>115.91</v>
      </c>
      <c r="N57" s="22" t="inlineStr">
        <is>
          <t>Startup</t>
        </is>
      </c>
      <c r="O57" s="23" t="inlineStr">
        <is>
          <t>Privately Held (backing)</t>
        </is>
      </c>
      <c r="P57" s="24" t="inlineStr">
        <is>
          <t>Venture Capital</t>
        </is>
      </c>
      <c r="Q57" s="25" t="inlineStr">
        <is>
          <t>www.autolus.com</t>
        </is>
      </c>
      <c r="R57" s="26" t="n">
        <v>29.0</v>
      </c>
      <c r="S57" s="27" t="inlineStr">
        <is>
          <t/>
        </is>
      </c>
      <c r="T57" s="28" t="inlineStr">
        <is>
          <t/>
        </is>
      </c>
      <c r="U57" s="29" t="n">
        <v>2014.0</v>
      </c>
      <c r="V57" s="30" t="inlineStr">
        <is>
          <t/>
        </is>
      </c>
      <c r="W57" s="31" t="inlineStr">
        <is>
          <t/>
        </is>
      </c>
      <c r="X57" s="32" t="inlineStr">
        <is>
          <t/>
        </is>
      </c>
      <c r="Y57" s="33" t="inlineStr">
        <is>
          <t/>
        </is>
      </c>
      <c r="Z57" s="34" t="inlineStr">
        <is>
          <t/>
        </is>
      </c>
      <c r="AA57" s="35" t="n">
        <v>-5.01943</v>
      </c>
      <c r="AB57" s="36" t="inlineStr">
        <is>
          <t/>
        </is>
      </c>
      <c r="AC57" s="37" t="n">
        <v>-5.02833</v>
      </c>
      <c r="AD57" s="38" t="inlineStr">
        <is>
          <t>FY 2015</t>
        </is>
      </c>
      <c r="AE57" s="39" t="inlineStr">
        <is>
          <t>91492-84P</t>
        </is>
      </c>
      <c r="AF57" s="40" t="inlineStr">
        <is>
          <t>Martin Pule</t>
        </is>
      </c>
      <c r="AG57" s="41" t="inlineStr">
        <is>
          <t>Founder, Board Member &amp; Chief Scientific Officer</t>
        </is>
      </c>
      <c r="AH57" s="42" t="inlineStr">
        <is>
          <t>martin.pule@autolus.com</t>
        </is>
      </c>
      <c r="AI57" s="43" t="inlineStr">
        <is>
          <t>+44 (0)20 3829 6230</t>
        </is>
      </c>
      <c r="AJ57" s="44" t="inlineStr">
        <is>
          <t>London, United Kingdom</t>
        </is>
      </c>
      <c r="AK57" s="45" t="inlineStr">
        <is>
          <t>Forest House, 58 Wood Lane</t>
        </is>
      </c>
      <c r="AL57" s="46" t="inlineStr">
        <is>
          <t>White City</t>
        </is>
      </c>
      <c r="AM57" s="47" t="inlineStr">
        <is>
          <t>London</t>
        </is>
      </c>
      <c r="AN57" s="48" t="inlineStr">
        <is>
          <t>England</t>
        </is>
      </c>
      <c r="AO57" s="49" t="inlineStr">
        <is>
          <t>W12 7RZ</t>
        </is>
      </c>
      <c r="AP57" s="50" t="inlineStr">
        <is>
          <t>United Kingdom</t>
        </is>
      </c>
      <c r="AQ57" s="51" t="inlineStr">
        <is>
          <t>+44 (0)20 3829 6230</t>
        </is>
      </c>
      <c r="AR57" s="52" t="inlineStr">
        <is>
          <t/>
        </is>
      </c>
      <c r="AS57" s="53" t="inlineStr">
        <is>
          <t>contact@autolus.com</t>
        </is>
      </c>
      <c r="AT57" s="54" t="inlineStr">
        <is>
          <t>Europe</t>
        </is>
      </c>
      <c r="AU57" s="55" t="inlineStr">
        <is>
          <t>Western Europe</t>
        </is>
      </c>
      <c r="AV57" s="56" t="inlineStr">
        <is>
          <t>The company raised GBP 60 million of Series B venture funding from Syncona, Woodford Investment Management, UCL Business and Perceptive Bioscience Investments on March 3, 2016. The company will use the funding to develop its proprietary pipeline of engineered T-cell products and to further implement its platform of T-cell programming technologies.</t>
        </is>
      </c>
      <c r="AW57" s="57" t="inlineStr">
        <is>
          <t>Arix Bioscience, Syncona, UCL Business, Woodford Investment Management</t>
        </is>
      </c>
      <c r="AX57" s="58" t="n">
        <v>4.0</v>
      </c>
      <c r="AY57" s="59" t="inlineStr">
        <is>
          <t/>
        </is>
      </c>
      <c r="AZ57" s="60" t="inlineStr">
        <is>
          <t/>
        </is>
      </c>
      <c r="BA57" s="61" t="inlineStr">
        <is>
          <t/>
        </is>
      </c>
      <c r="BB57" s="62" t="inlineStr">
        <is>
          <t>Arix Bioscience (www.arixbioscience.com), Syncona (www.synconaltd.com), UCL Business (www.uclb.com), Woodford Investment Management (woodfordfunds.com)</t>
        </is>
      </c>
      <c r="BC57" s="63" t="inlineStr">
        <is>
          <t/>
        </is>
      </c>
      <c r="BD57" s="64" t="inlineStr">
        <is>
          <t/>
        </is>
      </c>
      <c r="BE57" s="65" t="inlineStr">
        <is>
          <t>Olswang (Legal Advisor)</t>
        </is>
      </c>
      <c r="BF57" s="66" t="inlineStr">
        <is>
          <t>Olswang (Legal Advisor)</t>
        </is>
      </c>
      <c r="BG57" s="67" t="n">
        <v>42026.0</v>
      </c>
      <c r="BH57" s="68" t="n">
        <v>39.06</v>
      </c>
      <c r="BI57" s="69" t="inlineStr">
        <is>
          <t>Actual</t>
        </is>
      </c>
      <c r="BJ57" s="70" t="inlineStr">
        <is>
          <t/>
        </is>
      </c>
      <c r="BK57" s="71" t="inlineStr">
        <is>
          <t/>
        </is>
      </c>
      <c r="BL57" s="72" t="inlineStr">
        <is>
          <t>Early Stage VC</t>
        </is>
      </c>
      <c r="BM57" s="73" t="inlineStr">
        <is>
          <t>Series A</t>
        </is>
      </c>
      <c r="BN57" s="74" t="inlineStr">
        <is>
          <t/>
        </is>
      </c>
      <c r="BO57" s="75" t="inlineStr">
        <is>
          <t>Venture Capital</t>
        </is>
      </c>
      <c r="BP57" s="76" t="inlineStr">
        <is>
          <t/>
        </is>
      </c>
      <c r="BQ57" s="77" t="inlineStr">
        <is>
          <t/>
        </is>
      </c>
      <c r="BR57" s="78" t="inlineStr">
        <is>
          <t/>
        </is>
      </c>
      <c r="BS57" s="79" t="inlineStr">
        <is>
          <t>Completed</t>
        </is>
      </c>
      <c r="BT57" s="80" t="n">
        <v>42432.0</v>
      </c>
      <c r="BU57" s="81" t="n">
        <v>76.85</v>
      </c>
      <c r="BV57" s="82" t="inlineStr">
        <is>
          <t>Actual</t>
        </is>
      </c>
      <c r="BW57" s="83" t="inlineStr">
        <is>
          <t/>
        </is>
      </c>
      <c r="BX57" s="84" t="inlineStr">
        <is>
          <t/>
        </is>
      </c>
      <c r="BY57" s="85" t="inlineStr">
        <is>
          <t>Early Stage VC</t>
        </is>
      </c>
      <c r="BZ57" s="86" t="inlineStr">
        <is>
          <t>Series B</t>
        </is>
      </c>
      <c r="CA57" s="87" t="inlineStr">
        <is>
          <t/>
        </is>
      </c>
      <c r="CB57" s="88" t="inlineStr">
        <is>
          <t>Venture Capital</t>
        </is>
      </c>
      <c r="CC57" s="89" t="inlineStr">
        <is>
          <t/>
        </is>
      </c>
      <c r="CD57" s="90" t="inlineStr">
        <is>
          <t/>
        </is>
      </c>
      <c r="CE57" s="91" t="inlineStr">
        <is>
          <t/>
        </is>
      </c>
      <c r="CF57" s="92" t="inlineStr">
        <is>
          <t>Completed</t>
        </is>
      </c>
      <c r="CG57" s="93" t="inlineStr">
        <is>
          <t>1,71%</t>
        </is>
      </c>
      <c r="CH57" s="94" t="inlineStr">
        <is>
          <t>92</t>
        </is>
      </c>
      <c r="CI57" s="95" t="inlineStr">
        <is>
          <t>0,00%</t>
        </is>
      </c>
      <c r="CJ57" s="96" t="inlineStr">
        <is>
          <t>0,00%</t>
        </is>
      </c>
      <c r="CK57" s="97" t="inlineStr">
        <is>
          <t>1,71%</t>
        </is>
      </c>
      <c r="CL57" s="98" t="inlineStr">
        <is>
          <t>90</t>
        </is>
      </c>
      <c r="CM57" s="99" t="inlineStr">
        <is>
          <t/>
        </is>
      </c>
      <c r="CN57" s="100" t="inlineStr">
        <is>
          <t/>
        </is>
      </c>
      <c r="CO57" s="101" t="inlineStr">
        <is>
          <t>3,42%</t>
        </is>
      </c>
      <c r="CP57" s="102" t="inlineStr">
        <is>
          <t>93</t>
        </is>
      </c>
      <c r="CQ57" s="103" t="inlineStr">
        <is>
          <t>0,00%</t>
        </is>
      </c>
      <c r="CR57" s="104" t="inlineStr">
        <is>
          <t>13</t>
        </is>
      </c>
      <c r="CS57" s="105" t="inlineStr">
        <is>
          <t/>
        </is>
      </c>
      <c r="CT57" s="106" t="inlineStr">
        <is>
          <t/>
        </is>
      </c>
      <c r="CU57" s="107" t="inlineStr">
        <is>
          <t/>
        </is>
      </c>
      <c r="CV57" s="108" t="inlineStr">
        <is>
          <t/>
        </is>
      </c>
      <c r="CW57" s="109" t="inlineStr">
        <is>
          <t>2,02x</t>
        </is>
      </c>
      <c r="CX57" s="110" t="inlineStr">
        <is>
          <t>64</t>
        </is>
      </c>
      <c r="CY57" s="111" t="inlineStr">
        <is>
          <t>0,03x</t>
        </is>
      </c>
      <c r="CZ57" s="112" t="inlineStr">
        <is>
          <t>1,26%</t>
        </is>
      </c>
      <c r="DA57" s="113" t="inlineStr">
        <is>
          <t>2,02x</t>
        </is>
      </c>
      <c r="DB57" s="114" t="inlineStr">
        <is>
          <t>67</t>
        </is>
      </c>
      <c r="DC57" s="115" t="inlineStr">
        <is>
          <t/>
        </is>
      </c>
      <c r="DD57" s="116" t="inlineStr">
        <is>
          <t/>
        </is>
      </c>
      <c r="DE57" s="117" t="inlineStr">
        <is>
          <t>2,17x</t>
        </is>
      </c>
      <c r="DF57" s="118" t="inlineStr">
        <is>
          <t>65</t>
        </is>
      </c>
      <c r="DG57" s="119" t="inlineStr">
        <is>
          <t>1,86x</t>
        </is>
      </c>
      <c r="DH57" s="120" t="inlineStr">
        <is>
          <t>63</t>
        </is>
      </c>
      <c r="DI57" s="121" t="inlineStr">
        <is>
          <t/>
        </is>
      </c>
      <c r="DJ57" s="122" t="inlineStr">
        <is>
          <t/>
        </is>
      </c>
      <c r="DK57" s="123" t="inlineStr">
        <is>
          <t/>
        </is>
      </c>
      <c r="DL57" s="124" t="inlineStr">
        <is>
          <t/>
        </is>
      </c>
      <c r="DM57" s="125" t="inlineStr">
        <is>
          <t>1.297</t>
        </is>
      </c>
      <c r="DN57" s="126" t="inlineStr">
        <is>
          <t>116</t>
        </is>
      </c>
      <c r="DO57" s="127" t="inlineStr">
        <is>
          <t>9,82%</t>
        </is>
      </c>
      <c r="DP57" s="128" t="inlineStr">
        <is>
          <t/>
        </is>
      </c>
      <c r="DQ57" s="129" t="inlineStr">
        <is>
          <t/>
        </is>
      </c>
      <c r="DR57" s="130" t="inlineStr">
        <is>
          <t/>
        </is>
      </c>
      <c r="DS57" s="131" t="inlineStr">
        <is>
          <t>67</t>
        </is>
      </c>
      <c r="DT57" s="132" t="inlineStr">
        <is>
          <t>0</t>
        </is>
      </c>
      <c r="DU57" s="133" t="inlineStr">
        <is>
          <t>0,00%</t>
        </is>
      </c>
      <c r="DV57" s="134" t="inlineStr">
        <is>
          <t/>
        </is>
      </c>
      <c r="DW57" s="135" t="inlineStr">
        <is>
          <t/>
        </is>
      </c>
      <c r="DX57" s="136" t="inlineStr">
        <is>
          <t/>
        </is>
      </c>
      <c r="DY57" s="137" t="inlineStr">
        <is>
          <t>PitchBook Research</t>
        </is>
      </c>
      <c r="DZ57" s="785">
        <f>HYPERLINK("https://my.pitchbook.com?c=107480-26", "View company online")</f>
      </c>
    </row>
    <row r="58">
      <c r="A58" s="139" t="inlineStr">
        <is>
          <t>99424-90</t>
        </is>
      </c>
      <c r="B58" s="140" t="inlineStr">
        <is>
          <t>Ava</t>
        </is>
      </c>
      <c r="C58" s="141" t="inlineStr">
        <is>
          <t/>
        </is>
      </c>
      <c r="D58" s="142" t="inlineStr">
        <is>
          <t/>
        </is>
      </c>
      <c r="E58" s="143" t="inlineStr">
        <is>
          <t>99424-90</t>
        </is>
      </c>
      <c r="F58" s="144" t="inlineStr">
        <is>
          <t>Developer of a wearable medical device for monitoring a woman's fertility and menstrual cycle. The company offers a bracelet that uses a patented big data approach to precisely detect a woman's entire fertile window in real time.</t>
        </is>
      </c>
      <c r="G58" s="145" t="inlineStr">
        <is>
          <t>Healthcare</t>
        </is>
      </c>
      <c r="H58" s="146" t="inlineStr">
        <is>
          <t>Healthcare Devices and Supplies</t>
        </is>
      </c>
      <c r="I58" s="147" t="inlineStr">
        <is>
          <t>Monitoring Equipment</t>
        </is>
      </c>
      <c r="J58" s="148" t="inlineStr">
        <is>
          <t>Monitoring Equipment*; Application Software; Social/Platform Software</t>
        </is>
      </c>
      <c r="K58" s="149" t="inlineStr">
        <is>
          <t>Big Data, HealthTech, Wearables &amp; Quantified Self</t>
        </is>
      </c>
      <c r="L58" s="150" t="inlineStr">
        <is>
          <t>Venture Capital-Backed</t>
        </is>
      </c>
      <c r="M58" s="151" t="n">
        <v>11.51</v>
      </c>
      <c r="N58" s="152" t="inlineStr">
        <is>
          <t>Generating Revenue</t>
        </is>
      </c>
      <c r="O58" s="153" t="inlineStr">
        <is>
          <t>Privately Held (backing)</t>
        </is>
      </c>
      <c r="P58" s="154" t="inlineStr">
        <is>
          <t>Venture Capital</t>
        </is>
      </c>
      <c r="Q58" s="155" t="inlineStr">
        <is>
          <t>www.avawomen.com</t>
        </is>
      </c>
      <c r="R58" s="156" t="n">
        <v>11.0</v>
      </c>
      <c r="S58" s="157" t="inlineStr">
        <is>
          <t/>
        </is>
      </c>
      <c r="T58" s="158" t="inlineStr">
        <is>
          <t/>
        </is>
      </c>
      <c r="U58" s="159" t="n">
        <v>2014.0</v>
      </c>
      <c r="V58" s="160" t="inlineStr">
        <is>
          <t/>
        </is>
      </c>
      <c r="W58" s="161" t="inlineStr">
        <is>
          <t/>
        </is>
      </c>
      <c r="X58" s="162" t="inlineStr">
        <is>
          <t/>
        </is>
      </c>
      <c r="Y58" s="163" t="inlineStr">
        <is>
          <t/>
        </is>
      </c>
      <c r="Z58" s="164" t="inlineStr">
        <is>
          <t/>
        </is>
      </c>
      <c r="AA58" s="165" t="inlineStr">
        <is>
          <t/>
        </is>
      </c>
      <c r="AB58" s="166" t="inlineStr">
        <is>
          <t/>
        </is>
      </c>
      <c r="AC58" s="167" t="inlineStr">
        <is>
          <t/>
        </is>
      </c>
      <c r="AD58" s="168" t="inlineStr">
        <is>
          <t/>
        </is>
      </c>
      <c r="AE58" s="169" t="inlineStr">
        <is>
          <t>108316-90P</t>
        </is>
      </c>
      <c r="AF58" s="170" t="inlineStr">
        <is>
          <t>Pascal Koenig</t>
        </is>
      </c>
      <c r="AG58" s="171" t="inlineStr">
        <is>
          <t>Co-Founder &amp; Chief Executive Officer</t>
        </is>
      </c>
      <c r="AH58" s="172" t="inlineStr">
        <is>
          <t>pascal.koenig@a-v-a.com</t>
        </is>
      </c>
      <c r="AI58" s="173" t="inlineStr">
        <is>
          <t/>
        </is>
      </c>
      <c r="AJ58" s="174" t="inlineStr">
        <is>
          <t>Zurich, Switzerland</t>
        </is>
      </c>
      <c r="AK58" s="175" t="inlineStr">
        <is>
          <t>Räffelstrasse 26</t>
        </is>
      </c>
      <c r="AL58" s="176" t="inlineStr">
        <is>
          <t/>
        </is>
      </c>
      <c r="AM58" s="177" t="inlineStr">
        <is>
          <t>Zurich</t>
        </is>
      </c>
      <c r="AN58" s="178" t="inlineStr">
        <is>
          <t/>
        </is>
      </c>
      <c r="AO58" s="179" t="inlineStr">
        <is>
          <t>8045</t>
        </is>
      </c>
      <c r="AP58" s="180" t="inlineStr">
        <is>
          <t>Switzerland</t>
        </is>
      </c>
      <c r="AQ58" s="181" t="inlineStr">
        <is>
          <t/>
        </is>
      </c>
      <c r="AR58" s="182" t="inlineStr">
        <is>
          <t/>
        </is>
      </c>
      <c r="AS58" s="183" t="inlineStr">
        <is>
          <t>hello@avawomen.com</t>
        </is>
      </c>
      <c r="AT58" s="184" t="inlineStr">
        <is>
          <t>Europe</t>
        </is>
      </c>
      <c r="AU58" s="185" t="inlineStr">
        <is>
          <t>Western Europe</t>
        </is>
      </c>
      <c r="AV58" s="186" t="inlineStr">
        <is>
          <t>The company raised $9.7 million of Series A venture funding in a deal led by Polytech Ventures on November 15, 2016. EuroUS Ventures, BlueOcean Ventures, Swisscom Ventures, ZKB and Global Sources also participated in the round. The company intends to use the funds for product development, research, additional clinical studies and expansion into international markets.</t>
        </is>
      </c>
      <c r="AW58" s="187" t="inlineStr">
        <is>
          <t>BlueOcean Ventures, EuroUS Ventures, Global Sources, Polytech Ecosystem Ventures, Swisscom Ventures, Venture kick, Zürcher Kantonalbank</t>
        </is>
      </c>
      <c r="AX58" s="188" t="n">
        <v>7.0</v>
      </c>
      <c r="AY58" s="189" t="inlineStr">
        <is>
          <t/>
        </is>
      </c>
      <c r="AZ58" s="190" t="inlineStr">
        <is>
          <t/>
        </is>
      </c>
      <c r="BA58" s="191" t="inlineStr">
        <is>
          <t/>
        </is>
      </c>
      <c r="BB58" s="192" t="inlineStr">
        <is>
          <t>BlueOcean Ventures (www.blueocean-ventures.com), EuroUS Ventures (www.eurousventures.com), Global Sources (www.globalsources.com), Polytech Ecosystem Ventures (www.polytechecosystem.vc), Venture kick (www.venturekick.ch), Zürcher Kantonalbank (www.zkb.ch)</t>
        </is>
      </c>
      <c r="BC58" s="193" t="inlineStr">
        <is>
          <t/>
        </is>
      </c>
      <c r="BD58" s="194" t="inlineStr">
        <is>
          <t/>
        </is>
      </c>
      <c r="BE58" s="195" t="inlineStr">
        <is>
          <t/>
        </is>
      </c>
      <c r="BF58" s="196" t="inlineStr">
        <is>
          <t>Boltendahl International Partners (Advisor)</t>
        </is>
      </c>
      <c r="BG58" s="197" t="n">
        <v>42005.0</v>
      </c>
      <c r="BH58" s="198" t="n">
        <v>0.12</v>
      </c>
      <c r="BI58" s="199" t="inlineStr">
        <is>
          <t>Actual</t>
        </is>
      </c>
      <c r="BJ58" s="200" t="inlineStr">
        <is>
          <t/>
        </is>
      </c>
      <c r="BK58" s="201" t="inlineStr">
        <is>
          <t/>
        </is>
      </c>
      <c r="BL58" s="202" t="inlineStr">
        <is>
          <t>Accelerator/Incubator</t>
        </is>
      </c>
      <c r="BM58" s="203" t="inlineStr">
        <is>
          <t/>
        </is>
      </c>
      <c r="BN58" s="204" t="inlineStr">
        <is>
          <t/>
        </is>
      </c>
      <c r="BO58" s="205" t="inlineStr">
        <is>
          <t>Other</t>
        </is>
      </c>
      <c r="BP58" s="206" t="inlineStr">
        <is>
          <t/>
        </is>
      </c>
      <c r="BQ58" s="207" t="inlineStr">
        <is>
          <t/>
        </is>
      </c>
      <c r="BR58" s="208" t="inlineStr">
        <is>
          <t/>
        </is>
      </c>
      <c r="BS58" s="209" t="inlineStr">
        <is>
          <t>Completed</t>
        </is>
      </c>
      <c r="BT58" s="210" t="n">
        <v>42689.0</v>
      </c>
      <c r="BU58" s="211" t="n">
        <v>8.98</v>
      </c>
      <c r="BV58" s="212" t="inlineStr">
        <is>
          <t>Actual</t>
        </is>
      </c>
      <c r="BW58" s="213" t="inlineStr">
        <is>
          <t/>
        </is>
      </c>
      <c r="BX58" s="214" t="inlineStr">
        <is>
          <t/>
        </is>
      </c>
      <c r="BY58" s="215" t="inlineStr">
        <is>
          <t>Early Stage VC</t>
        </is>
      </c>
      <c r="BZ58" s="216" t="inlineStr">
        <is>
          <t>Series A</t>
        </is>
      </c>
      <c r="CA58" s="217" t="inlineStr">
        <is>
          <t/>
        </is>
      </c>
      <c r="CB58" s="218" t="inlineStr">
        <is>
          <t>Venture Capital</t>
        </is>
      </c>
      <c r="CC58" s="219" t="inlineStr">
        <is>
          <t/>
        </is>
      </c>
      <c r="CD58" s="220" t="inlineStr">
        <is>
          <t/>
        </is>
      </c>
      <c r="CE58" s="221" t="inlineStr">
        <is>
          <t/>
        </is>
      </c>
      <c r="CF58" s="222" t="inlineStr">
        <is>
          <t>Completed</t>
        </is>
      </c>
      <c r="CG58" s="223" t="inlineStr">
        <is>
          <t>2,23%</t>
        </is>
      </c>
      <c r="CH58" s="224" t="inlineStr">
        <is>
          <t>94</t>
        </is>
      </c>
      <c r="CI58" s="225" t="inlineStr">
        <is>
          <t>0,51%</t>
        </is>
      </c>
      <c r="CJ58" s="226" t="inlineStr">
        <is>
          <t>29,44%</t>
        </is>
      </c>
      <c r="CK58" s="227" t="inlineStr">
        <is>
          <t>1,95%</t>
        </is>
      </c>
      <c r="CL58" s="228" t="inlineStr">
        <is>
          <t>91</t>
        </is>
      </c>
      <c r="CM58" s="229" t="inlineStr">
        <is>
          <t>1,48%</t>
        </is>
      </c>
      <c r="CN58" s="230" t="inlineStr">
        <is>
          <t>98</t>
        </is>
      </c>
      <c r="CO58" s="231" t="inlineStr">
        <is>
          <t>1,95%</t>
        </is>
      </c>
      <c r="CP58" s="232" t="inlineStr">
        <is>
          <t>89</t>
        </is>
      </c>
      <c r="CQ58" s="233" t="inlineStr">
        <is>
          <t/>
        </is>
      </c>
      <c r="CR58" s="234" t="inlineStr">
        <is>
          <t/>
        </is>
      </c>
      <c r="CS58" s="235" t="inlineStr">
        <is>
          <t>2,12%</t>
        </is>
      </c>
      <c r="CT58" s="236" t="inlineStr">
        <is>
          <t>98</t>
        </is>
      </c>
      <c r="CU58" s="237" t="inlineStr">
        <is>
          <t>0,83%</t>
        </is>
      </c>
      <c r="CV58" s="238" t="inlineStr">
        <is>
          <t>96</t>
        </is>
      </c>
      <c r="CW58" s="239" t="inlineStr">
        <is>
          <t>20,77x</t>
        </is>
      </c>
      <c r="CX58" s="240" t="inlineStr">
        <is>
          <t>92</t>
        </is>
      </c>
      <c r="CY58" s="241" t="inlineStr">
        <is>
          <t>-9,28x</t>
        </is>
      </c>
      <c r="CZ58" s="242" t="inlineStr">
        <is>
          <t>-30,89%</t>
        </is>
      </c>
      <c r="DA58" s="243" t="inlineStr">
        <is>
          <t>47,95x</t>
        </is>
      </c>
      <c r="DB58" s="244" t="inlineStr">
        <is>
          <t>96</t>
        </is>
      </c>
      <c r="DC58" s="245" t="inlineStr">
        <is>
          <t>12,61x</t>
        </is>
      </c>
      <c r="DD58" s="246" t="inlineStr">
        <is>
          <t>86</t>
        </is>
      </c>
      <c r="DE58" s="247" t="inlineStr">
        <is>
          <t>47,95x</t>
        </is>
      </c>
      <c r="DF58" s="248" t="inlineStr">
        <is>
          <t>93</t>
        </is>
      </c>
      <c r="DG58" s="249" t="inlineStr">
        <is>
          <t/>
        </is>
      </c>
      <c r="DH58" s="250" t="inlineStr">
        <is>
          <t/>
        </is>
      </c>
      <c r="DI58" s="251" t="inlineStr">
        <is>
          <t>23,19x</t>
        </is>
      </c>
      <c r="DJ58" s="252" t="inlineStr">
        <is>
          <t>89</t>
        </is>
      </c>
      <c r="DK58" s="253" t="inlineStr">
        <is>
          <t>2,02x</t>
        </is>
      </c>
      <c r="DL58" s="254" t="inlineStr">
        <is>
          <t>63</t>
        </is>
      </c>
      <c r="DM58" s="255" t="inlineStr">
        <is>
          <t>29.408</t>
        </is>
      </c>
      <c r="DN58" s="256" t="inlineStr">
        <is>
          <t>253</t>
        </is>
      </c>
      <c r="DO58" s="257" t="inlineStr">
        <is>
          <t>0,87%</t>
        </is>
      </c>
      <c r="DP58" s="258" t="inlineStr">
        <is>
          <t>18.419</t>
        </is>
      </c>
      <c r="DQ58" s="259" t="inlineStr">
        <is>
          <t>353</t>
        </is>
      </c>
      <c r="DR58" s="260" t="inlineStr">
        <is>
          <t>1,95%</t>
        </is>
      </c>
      <c r="DS58" s="261" t="inlineStr">
        <is>
          <t/>
        </is>
      </c>
      <c r="DT58" s="262" t="inlineStr">
        <is>
          <t/>
        </is>
      </c>
      <c r="DU58" s="263" t="inlineStr">
        <is>
          <t/>
        </is>
      </c>
      <c r="DV58" s="264" t="inlineStr">
        <is>
          <t>686</t>
        </is>
      </c>
      <c r="DW58" s="265" t="inlineStr">
        <is>
          <t>7</t>
        </is>
      </c>
      <c r="DX58" s="266" t="inlineStr">
        <is>
          <t>1,03%</t>
        </is>
      </c>
      <c r="DY58" s="267" t="inlineStr">
        <is>
          <t>PitchBook Research</t>
        </is>
      </c>
      <c r="DZ58" s="786">
        <f>HYPERLINK("https://my.pitchbook.com?c=99424-90", "View company online")</f>
      </c>
    </row>
    <row r="59">
      <c r="A59" s="9" t="inlineStr">
        <is>
          <t>119215-09</t>
        </is>
      </c>
      <c r="B59" s="10" t="inlineStr">
        <is>
          <t>Axegaz</t>
        </is>
      </c>
      <c r="C59" s="11" t="inlineStr">
        <is>
          <t/>
        </is>
      </c>
      <c r="D59" s="12" t="inlineStr">
        <is>
          <t/>
        </is>
      </c>
      <c r="E59" s="13" t="inlineStr">
        <is>
          <t>119215-09</t>
        </is>
      </c>
      <c r="F59" s="14" t="inlineStr">
        <is>
          <t>Supplier of liquefied natural gas to business organizations in France. The company offers sustainable energy and targets customer segments of industry, transportation and local distribution networks serving residential and tertiary activities.</t>
        </is>
      </c>
      <c r="G59" s="15" t="inlineStr">
        <is>
          <t>Energy</t>
        </is>
      </c>
      <c r="H59" s="16" t="inlineStr">
        <is>
          <t>Exploration, Production and Refining</t>
        </is>
      </c>
      <c r="I59" s="17" t="inlineStr">
        <is>
          <t>Energy Production</t>
        </is>
      </c>
      <c r="J59" s="18" t="inlineStr">
        <is>
          <t>Energy Production*; Energy Marketing</t>
        </is>
      </c>
      <c r="K59" s="19" t="inlineStr">
        <is>
          <t>CleanTech</t>
        </is>
      </c>
      <c r="L59" s="20" t="inlineStr">
        <is>
          <t>Venture Capital-Backed</t>
        </is>
      </c>
      <c r="M59" s="21" t="n">
        <v>11.2</v>
      </c>
      <c r="N59" s="22" t="inlineStr">
        <is>
          <t>Startup</t>
        </is>
      </c>
      <c r="O59" s="23" t="inlineStr">
        <is>
          <t>Privately Held (backing)</t>
        </is>
      </c>
      <c r="P59" s="24" t="inlineStr">
        <is>
          <t>Venture Capital</t>
        </is>
      </c>
      <c r="Q59" s="25" t="inlineStr">
        <is>
          <t>www.axegaz.com</t>
        </is>
      </c>
      <c r="R59" s="26" t="n">
        <v>5.0</v>
      </c>
      <c r="S59" s="27" t="inlineStr">
        <is>
          <t/>
        </is>
      </c>
      <c r="T59" s="28" t="inlineStr">
        <is>
          <t/>
        </is>
      </c>
      <c r="U59" s="29" t="n">
        <v>2012.0</v>
      </c>
      <c r="V59" s="30" t="inlineStr">
        <is>
          <t/>
        </is>
      </c>
      <c r="W59" s="31" t="inlineStr">
        <is>
          <t/>
        </is>
      </c>
      <c r="X59" s="32" t="inlineStr">
        <is>
          <t/>
        </is>
      </c>
      <c r="Y59" s="33" t="n">
        <v>1.50166</v>
      </c>
      <c r="Z59" s="34" t="inlineStr">
        <is>
          <t/>
        </is>
      </c>
      <c r="AA59" s="35" t="n">
        <v>-0.73866</v>
      </c>
      <c r="AB59" s="36" t="inlineStr">
        <is>
          <t/>
        </is>
      </c>
      <c r="AC59" s="37" t="inlineStr">
        <is>
          <t/>
        </is>
      </c>
      <c r="AD59" s="38" t="inlineStr">
        <is>
          <t>FY 2014</t>
        </is>
      </c>
      <c r="AE59" s="39" t="inlineStr">
        <is>
          <t>105413-95P</t>
        </is>
      </c>
      <c r="AF59" s="40" t="inlineStr">
        <is>
          <t>Jerome Moitry</t>
        </is>
      </c>
      <c r="AG59" s="41" t="inlineStr">
        <is>
          <t>Chief Financial Officer</t>
        </is>
      </c>
      <c r="AH59" s="42" t="inlineStr">
        <is>
          <t>jerome.moitry@axegaz.com</t>
        </is>
      </c>
      <c r="AI59" s="43" t="inlineStr">
        <is>
          <t>+33 (0)1 84 88 00 51</t>
        </is>
      </c>
      <c r="AJ59" s="44" t="inlineStr">
        <is>
          <t>Paris, France</t>
        </is>
      </c>
      <c r="AK59" s="45" t="inlineStr">
        <is>
          <t>120 rue Jean Jaurès</t>
        </is>
      </c>
      <c r="AL59" s="46" t="inlineStr">
        <is>
          <t/>
        </is>
      </c>
      <c r="AM59" s="47" t="inlineStr">
        <is>
          <t>Paris</t>
        </is>
      </c>
      <c r="AN59" s="48" t="inlineStr">
        <is>
          <t/>
        </is>
      </c>
      <c r="AO59" s="49" t="inlineStr">
        <is>
          <t>92300</t>
        </is>
      </c>
      <c r="AP59" s="50" t="inlineStr">
        <is>
          <t>France</t>
        </is>
      </c>
      <c r="AQ59" s="51" t="inlineStr">
        <is>
          <t>+33 (0)1 84 88 00 51</t>
        </is>
      </c>
      <c r="AR59" s="52" t="inlineStr">
        <is>
          <t/>
        </is>
      </c>
      <c r="AS59" s="53" t="inlineStr">
        <is>
          <t>contact@axegaz.com</t>
        </is>
      </c>
      <c r="AT59" s="54" t="inlineStr">
        <is>
          <t>Europe</t>
        </is>
      </c>
      <c r="AU59" s="55" t="inlineStr">
        <is>
          <t>Western Europe</t>
        </is>
      </c>
      <c r="AV59" s="56" t="inlineStr">
        <is>
          <t>The company received EUR 7.5 million of venture funding on November 8, 2016. The funding will be used for development of its independent supplier of natural gas for vehicle (NGV) and service station operator</t>
        </is>
      </c>
      <c r="AW59" s="57" t="inlineStr">
        <is>
          <t>123 Investment Managers, Caisse des Dépôts Group, Energipole, Energnl, Gravitation, Public Investment Bank</t>
        </is>
      </c>
      <c r="AX59" s="58" t="n">
        <v>6.0</v>
      </c>
      <c r="AY59" s="59" t="inlineStr">
        <is>
          <t/>
        </is>
      </c>
      <c r="AZ59" s="60" t="inlineStr">
        <is>
          <t/>
        </is>
      </c>
      <c r="BA59" s="61" t="inlineStr">
        <is>
          <t/>
        </is>
      </c>
      <c r="BB59" s="62" t="inlineStr">
        <is>
          <t>123 Investment Managers (www.123-im.com), Caisse des Dépôts Group (www.caissedesdepots.fr), Gravitation (www.gravitation.fr)</t>
        </is>
      </c>
      <c r="BC59" s="63" t="inlineStr">
        <is>
          <t/>
        </is>
      </c>
      <c r="BD59" s="64" t="inlineStr">
        <is>
          <t/>
        </is>
      </c>
      <c r="BE59" s="65" t="inlineStr">
        <is>
          <t/>
        </is>
      </c>
      <c r="BF59" s="66" t="inlineStr">
        <is>
          <t>Gramond &amp; Associés (Legal Advisor), Premier Monde (Advisor)</t>
        </is>
      </c>
      <c r="BG59" s="67" t="inlineStr">
        <is>
          <t/>
        </is>
      </c>
      <c r="BH59" s="68" t="inlineStr">
        <is>
          <t/>
        </is>
      </c>
      <c r="BI59" s="69" t="inlineStr">
        <is>
          <t/>
        </is>
      </c>
      <c r="BJ59" s="70" t="inlineStr">
        <is>
          <t/>
        </is>
      </c>
      <c r="BK59" s="71" t="inlineStr">
        <is>
          <t/>
        </is>
      </c>
      <c r="BL59" s="72" t="inlineStr">
        <is>
          <t>Corporate</t>
        </is>
      </c>
      <c r="BM59" s="73" t="inlineStr">
        <is>
          <t>Corporate</t>
        </is>
      </c>
      <c r="BN59" s="74" t="inlineStr">
        <is>
          <t/>
        </is>
      </c>
      <c r="BO59" s="75" t="inlineStr">
        <is>
          <t>Corporate</t>
        </is>
      </c>
      <c r="BP59" s="76" t="inlineStr">
        <is>
          <t/>
        </is>
      </c>
      <c r="BQ59" s="77" t="inlineStr">
        <is>
          <t/>
        </is>
      </c>
      <c r="BR59" s="78" t="inlineStr">
        <is>
          <t/>
        </is>
      </c>
      <c r="BS59" s="79" t="inlineStr">
        <is>
          <t>Completed</t>
        </is>
      </c>
      <c r="BT59" s="80" t="n">
        <v>42682.0</v>
      </c>
      <c r="BU59" s="81" t="n">
        <v>7.5</v>
      </c>
      <c r="BV59" s="82" t="inlineStr">
        <is>
          <t>Actual</t>
        </is>
      </c>
      <c r="BW59" s="83" t="inlineStr">
        <is>
          <t/>
        </is>
      </c>
      <c r="BX59" s="84" t="inlineStr">
        <is>
          <t/>
        </is>
      </c>
      <c r="BY59" s="85" t="inlineStr">
        <is>
          <t>Early Stage VC</t>
        </is>
      </c>
      <c r="BZ59" s="86" t="inlineStr">
        <is>
          <t/>
        </is>
      </c>
      <c r="CA59" s="87" t="inlineStr">
        <is>
          <t/>
        </is>
      </c>
      <c r="CB59" s="88" t="inlineStr">
        <is>
          <t>Venture Capital</t>
        </is>
      </c>
      <c r="CC59" s="89" t="inlineStr">
        <is>
          <t/>
        </is>
      </c>
      <c r="CD59" s="90" t="inlineStr">
        <is>
          <t/>
        </is>
      </c>
      <c r="CE59" s="91" t="inlineStr">
        <is>
          <t/>
        </is>
      </c>
      <c r="CF59" s="92" t="inlineStr">
        <is>
          <t>Completed</t>
        </is>
      </c>
      <c r="CG59" s="93" t="inlineStr">
        <is>
          <t>0,28%</t>
        </is>
      </c>
      <c r="CH59" s="94" t="inlineStr">
        <is>
          <t>80</t>
        </is>
      </c>
      <c r="CI59" s="95" t="inlineStr">
        <is>
          <t>0,03%</t>
        </is>
      </c>
      <c r="CJ59" s="96" t="inlineStr">
        <is>
          <t>13,92%</t>
        </is>
      </c>
      <c r="CK59" s="97" t="inlineStr">
        <is>
          <t>0,00%</t>
        </is>
      </c>
      <c r="CL59" s="98" t="inlineStr">
        <is>
          <t>18</t>
        </is>
      </c>
      <c r="CM59" s="99" t="inlineStr">
        <is>
          <t>0,56%</t>
        </is>
      </c>
      <c r="CN59" s="100" t="inlineStr">
        <is>
          <t>91</t>
        </is>
      </c>
      <c r="CO59" s="101" t="inlineStr">
        <is>
          <t>0,00%</t>
        </is>
      </c>
      <c r="CP59" s="102" t="inlineStr">
        <is>
          <t>26</t>
        </is>
      </c>
      <c r="CQ59" s="103" t="inlineStr">
        <is>
          <t>0,00%</t>
        </is>
      </c>
      <c r="CR59" s="104" t="inlineStr">
        <is>
          <t>13</t>
        </is>
      </c>
      <c r="CS59" s="105" t="inlineStr">
        <is>
          <t/>
        </is>
      </c>
      <c r="CT59" s="106" t="inlineStr">
        <is>
          <t/>
        </is>
      </c>
      <c r="CU59" s="107" t="inlineStr">
        <is>
          <t>0,56%</t>
        </is>
      </c>
      <c r="CV59" s="108" t="inlineStr">
        <is>
          <t>93</t>
        </is>
      </c>
      <c r="CW59" s="109" t="inlineStr">
        <is>
          <t>0,92x</t>
        </is>
      </c>
      <c r="CX59" s="110" t="inlineStr">
        <is>
          <t>47</t>
        </is>
      </c>
      <c r="CY59" s="111" t="inlineStr">
        <is>
          <t>0,01x</t>
        </is>
      </c>
      <c r="CZ59" s="112" t="inlineStr">
        <is>
          <t>1,54%</t>
        </is>
      </c>
      <c r="DA59" s="113" t="inlineStr">
        <is>
          <t>1,29x</t>
        </is>
      </c>
      <c r="DB59" s="114" t="inlineStr">
        <is>
          <t>57</t>
        </is>
      </c>
      <c r="DC59" s="115" t="inlineStr">
        <is>
          <t>0,55x</t>
        </is>
      </c>
      <c r="DD59" s="116" t="inlineStr">
        <is>
          <t>37</t>
        </is>
      </c>
      <c r="DE59" s="117" t="inlineStr">
        <is>
          <t>0,74x</t>
        </is>
      </c>
      <c r="DF59" s="118" t="inlineStr">
        <is>
          <t>44</t>
        </is>
      </c>
      <c r="DG59" s="119" t="inlineStr">
        <is>
          <t>1,83x</t>
        </is>
      </c>
      <c r="DH59" s="120" t="inlineStr">
        <is>
          <t>62</t>
        </is>
      </c>
      <c r="DI59" s="121" t="inlineStr">
        <is>
          <t/>
        </is>
      </c>
      <c r="DJ59" s="122" t="inlineStr">
        <is>
          <t/>
        </is>
      </c>
      <c r="DK59" s="123" t="inlineStr">
        <is>
          <t>0,55x</t>
        </is>
      </c>
      <c r="DL59" s="124" t="inlineStr">
        <is>
          <t>40</t>
        </is>
      </c>
      <c r="DM59" s="125" t="inlineStr">
        <is>
          <t>432</t>
        </is>
      </c>
      <c r="DN59" s="126" t="inlineStr">
        <is>
          <t>69</t>
        </is>
      </c>
      <c r="DO59" s="127" t="inlineStr">
        <is>
          <t>19,01%</t>
        </is>
      </c>
      <c r="DP59" s="128" t="inlineStr">
        <is>
          <t/>
        </is>
      </c>
      <c r="DQ59" s="129" t="inlineStr">
        <is>
          <t/>
        </is>
      </c>
      <c r="DR59" s="130" t="inlineStr">
        <is>
          <t/>
        </is>
      </c>
      <c r="DS59" s="131" t="inlineStr">
        <is>
          <t>66</t>
        </is>
      </c>
      <c r="DT59" s="132" t="inlineStr">
        <is>
          <t>-1</t>
        </is>
      </c>
      <c r="DU59" s="133" t="inlineStr">
        <is>
          <t>-1,49%</t>
        </is>
      </c>
      <c r="DV59" s="134" t="inlineStr">
        <is>
          <t>185</t>
        </is>
      </c>
      <c r="DW59" s="135" t="inlineStr">
        <is>
          <t>1</t>
        </is>
      </c>
      <c r="DX59" s="136" t="inlineStr">
        <is>
          <t>0,54%</t>
        </is>
      </c>
      <c r="DY59" s="137" t="inlineStr">
        <is>
          <t>PitchBook Research</t>
        </is>
      </c>
      <c r="DZ59" s="785">
        <f>HYPERLINK("https://my.pitchbook.com?c=119215-09", "View company online")</f>
      </c>
    </row>
    <row r="60">
      <c r="A60" s="139" t="inlineStr">
        <is>
          <t>83165-68</t>
        </is>
      </c>
      <c r="B60" s="140" t="inlineStr">
        <is>
          <t>Azalead</t>
        </is>
      </c>
      <c r="C60" s="141" t="inlineStr">
        <is>
          <t/>
        </is>
      </c>
      <c r="D60" s="142" t="inlineStr">
        <is>
          <t>Azalead Software</t>
        </is>
      </c>
      <c r="E60" s="143" t="inlineStr">
        <is>
          <t>83165-68</t>
        </is>
      </c>
      <c r="F60" s="144" t="inlineStr">
        <is>
          <t>Developer of a B2B account based marketing software. The company's marketing software provides a B2B marketing platform for Account Based Marketing (ABM), enabling enables marketers to identify, track and nurture target accounts with display advertisements.</t>
        </is>
      </c>
      <c r="G60" s="145" t="inlineStr">
        <is>
          <t>Information Technology</t>
        </is>
      </c>
      <c r="H60" s="146" t="inlineStr">
        <is>
          <t>Software</t>
        </is>
      </c>
      <c r="I60" s="147" t="inlineStr">
        <is>
          <t>Business/Productivity Software</t>
        </is>
      </c>
      <c r="J60" s="148" t="inlineStr">
        <is>
          <t>Business/Productivity Software*</t>
        </is>
      </c>
      <c r="K60" s="149" t="inlineStr">
        <is>
          <t>AdTech, Marketing Tech, SaaS</t>
        </is>
      </c>
      <c r="L60" s="150" t="inlineStr">
        <is>
          <t>Venture Capital-Backed</t>
        </is>
      </c>
      <c r="M60" s="151" t="n">
        <v>6.45</v>
      </c>
      <c r="N60" s="152" t="inlineStr">
        <is>
          <t>Generating Revenue/Not Profitable</t>
        </is>
      </c>
      <c r="O60" s="153" t="inlineStr">
        <is>
          <t>Privately Held (backing)</t>
        </is>
      </c>
      <c r="P60" s="154" t="inlineStr">
        <is>
          <t>Venture Capital</t>
        </is>
      </c>
      <c r="Q60" s="155" t="inlineStr">
        <is>
          <t>www.azalead.com</t>
        </is>
      </c>
      <c r="R60" s="156" t="n">
        <v>34.0</v>
      </c>
      <c r="S60" s="157" t="inlineStr">
        <is>
          <t/>
        </is>
      </c>
      <c r="T60" s="158" t="inlineStr">
        <is>
          <t/>
        </is>
      </c>
      <c r="U60" s="159" t="n">
        <v>2013.0</v>
      </c>
      <c r="V60" s="160" t="inlineStr">
        <is>
          <t/>
        </is>
      </c>
      <c r="W60" s="161" t="inlineStr">
        <is>
          <t/>
        </is>
      </c>
      <c r="X60" s="162" t="inlineStr">
        <is>
          <t/>
        </is>
      </c>
      <c r="Y60" s="163" t="inlineStr">
        <is>
          <t/>
        </is>
      </c>
      <c r="Z60" s="164" t="inlineStr">
        <is>
          <t/>
        </is>
      </c>
      <c r="AA60" s="165" t="inlineStr">
        <is>
          <t/>
        </is>
      </c>
      <c r="AB60" s="166" t="inlineStr">
        <is>
          <t/>
        </is>
      </c>
      <c r="AC60" s="167" t="inlineStr">
        <is>
          <t/>
        </is>
      </c>
      <c r="AD60" s="168" t="inlineStr">
        <is>
          <t/>
        </is>
      </c>
      <c r="AE60" s="169" t="inlineStr">
        <is>
          <t>95976-55P</t>
        </is>
      </c>
      <c r="AF60" s="170" t="inlineStr">
        <is>
          <t>Nick Heys</t>
        </is>
      </c>
      <c r="AG60" s="171" t="inlineStr">
        <is>
          <t>Co-Founder, Chief Executive Officer &amp; Chairman</t>
        </is>
      </c>
      <c r="AH60" s="172" t="inlineStr">
        <is>
          <t>nheys@azalead.com</t>
        </is>
      </c>
      <c r="AI60" s="173" t="inlineStr">
        <is>
          <t>+33 (0)6 80 25 01 28</t>
        </is>
      </c>
      <c r="AJ60" s="174" t="inlineStr">
        <is>
          <t>Paris, France</t>
        </is>
      </c>
      <c r="AK60" s="175" t="inlineStr">
        <is>
          <t>10 rue de la Boétie</t>
        </is>
      </c>
      <c r="AL60" s="176" t="inlineStr">
        <is>
          <t/>
        </is>
      </c>
      <c r="AM60" s="177" t="inlineStr">
        <is>
          <t>Paris</t>
        </is>
      </c>
      <c r="AN60" s="178" t="inlineStr">
        <is>
          <t/>
        </is>
      </c>
      <c r="AO60" s="179" t="inlineStr">
        <is>
          <t>75008</t>
        </is>
      </c>
      <c r="AP60" s="180" t="inlineStr">
        <is>
          <t>France</t>
        </is>
      </c>
      <c r="AQ60" s="181" t="inlineStr">
        <is>
          <t>+33 (0)1 82 28 89 50</t>
        </is>
      </c>
      <c r="AR60" s="182" t="inlineStr">
        <is>
          <t/>
        </is>
      </c>
      <c r="AS60" s="183" t="inlineStr">
        <is>
          <t/>
        </is>
      </c>
      <c r="AT60" s="184" t="inlineStr">
        <is>
          <t>Europe</t>
        </is>
      </c>
      <c r="AU60" s="185" t="inlineStr">
        <is>
          <t>Western Europe</t>
        </is>
      </c>
      <c r="AV60" s="186" t="inlineStr">
        <is>
          <t>The company raised EUR 4.5 million of Series B venture funding in a deal led by IDInvest Partners on November 1, 2015. Aurinvestand and Microsoft Accelarator also participated in the round. The company will use the funding to accelerate growth and product road-map. earlier, the company raised $2.1 million of Series A venture funding in a deal led by Aurinvest on March 18, 2015. Oleg Tscheltzoff also participated in this round.</t>
        </is>
      </c>
      <c r="AW60" s="187" t="inlineStr">
        <is>
          <t>Aurinvest, IdInvest Partners, Microsoft Accelerator, Oleg Tscheltzoff</t>
        </is>
      </c>
      <c r="AX60" s="188" t="n">
        <v>4.0</v>
      </c>
      <c r="AY60" s="189" t="inlineStr">
        <is>
          <t/>
        </is>
      </c>
      <c r="AZ60" s="190" t="inlineStr">
        <is>
          <t/>
        </is>
      </c>
      <c r="BA60" s="191" t="inlineStr">
        <is>
          <t/>
        </is>
      </c>
      <c r="BB60" s="192" t="inlineStr">
        <is>
          <t>Aurinvest (www.aurinvest.com), IdInvest Partners (www.idinvest.com), Microsoft Accelerator (www.microsoftaccelerator.com)</t>
        </is>
      </c>
      <c r="BC60" s="193" t="inlineStr">
        <is>
          <t/>
        </is>
      </c>
      <c r="BD60" s="194" t="inlineStr">
        <is>
          <t/>
        </is>
      </c>
      <c r="BE60" s="195" t="inlineStr">
        <is>
          <t>Valluet Achache Villain &amp; Associés (Legal Advisor), EY (Auditor), Silicon Valley Bank (General Business Banking), Oaklins Aelios (Advisor), Montgomery &amp; Company (Advisor)</t>
        </is>
      </c>
      <c r="BF60" s="196" t="inlineStr">
        <is>
          <t>Valluet Achache Villain &amp; Associés (Legal Advisor), EY (Auditor), Oaklins Aelios (Advisor), Ader Finance (Placement Agent), Ader Finance (Advisor)</t>
        </is>
      </c>
      <c r="BG60" s="197" t="n">
        <v>42081.0</v>
      </c>
      <c r="BH60" s="198" t="n">
        <v>1.95</v>
      </c>
      <c r="BI60" s="199" t="inlineStr">
        <is>
          <t>Actual</t>
        </is>
      </c>
      <c r="BJ60" s="200" t="inlineStr">
        <is>
          <t/>
        </is>
      </c>
      <c r="BK60" s="201" t="inlineStr">
        <is>
          <t/>
        </is>
      </c>
      <c r="BL60" s="202" t="inlineStr">
        <is>
          <t>Early Stage VC</t>
        </is>
      </c>
      <c r="BM60" s="203" t="inlineStr">
        <is>
          <t>Series A</t>
        </is>
      </c>
      <c r="BN60" s="204" t="inlineStr">
        <is>
          <t/>
        </is>
      </c>
      <c r="BO60" s="205" t="inlineStr">
        <is>
          <t>Venture Capital</t>
        </is>
      </c>
      <c r="BP60" s="206" t="inlineStr">
        <is>
          <t/>
        </is>
      </c>
      <c r="BQ60" s="207" t="inlineStr">
        <is>
          <t/>
        </is>
      </c>
      <c r="BR60" s="208" t="inlineStr">
        <is>
          <t/>
        </is>
      </c>
      <c r="BS60" s="209" t="inlineStr">
        <is>
          <t>Completed</t>
        </is>
      </c>
      <c r="BT60" s="210" t="n">
        <v>42309.0</v>
      </c>
      <c r="BU60" s="211" t="n">
        <v>4.5</v>
      </c>
      <c r="BV60" s="212" t="inlineStr">
        <is>
          <t>Actual</t>
        </is>
      </c>
      <c r="BW60" s="213" t="inlineStr">
        <is>
          <t/>
        </is>
      </c>
      <c r="BX60" s="214" t="inlineStr">
        <is>
          <t/>
        </is>
      </c>
      <c r="BY60" s="215" t="inlineStr">
        <is>
          <t>Early Stage VC</t>
        </is>
      </c>
      <c r="BZ60" s="216" t="inlineStr">
        <is>
          <t>Series B</t>
        </is>
      </c>
      <c r="CA60" s="217" t="inlineStr">
        <is>
          <t/>
        </is>
      </c>
      <c r="CB60" s="218" t="inlineStr">
        <is>
          <t>Venture Capital</t>
        </is>
      </c>
      <c r="CC60" s="219" t="inlineStr">
        <is>
          <t/>
        </is>
      </c>
      <c r="CD60" s="220" t="inlineStr">
        <is>
          <t/>
        </is>
      </c>
      <c r="CE60" s="221" t="inlineStr">
        <is>
          <t/>
        </is>
      </c>
      <c r="CF60" s="222" t="inlineStr">
        <is>
          <t>Completed</t>
        </is>
      </c>
      <c r="CG60" s="223" t="inlineStr">
        <is>
          <t>-3,18%</t>
        </is>
      </c>
      <c r="CH60" s="224" t="inlineStr">
        <is>
          <t>1</t>
        </is>
      </c>
      <c r="CI60" s="225" t="inlineStr">
        <is>
          <t>0,00%</t>
        </is>
      </c>
      <c r="CJ60" s="226" t="inlineStr">
        <is>
          <t>0,10%</t>
        </is>
      </c>
      <c r="CK60" s="227" t="inlineStr">
        <is>
          <t>-7,17%</t>
        </is>
      </c>
      <c r="CL60" s="228" t="inlineStr">
        <is>
          <t>1</t>
        </is>
      </c>
      <c r="CM60" s="229" t="inlineStr">
        <is>
          <t>0,82%</t>
        </is>
      </c>
      <c r="CN60" s="230" t="inlineStr">
        <is>
          <t>95</t>
        </is>
      </c>
      <c r="CO60" s="231" t="inlineStr">
        <is>
          <t>-14,34%</t>
        </is>
      </c>
      <c r="CP60" s="232" t="inlineStr">
        <is>
          <t>1</t>
        </is>
      </c>
      <c r="CQ60" s="233" t="inlineStr">
        <is>
          <t>0,00%</t>
        </is>
      </c>
      <c r="CR60" s="234" t="inlineStr">
        <is>
          <t>13</t>
        </is>
      </c>
      <c r="CS60" s="235" t="inlineStr">
        <is>
          <t>0,57%</t>
        </is>
      </c>
      <c r="CT60" s="236" t="inlineStr">
        <is>
          <t>89</t>
        </is>
      </c>
      <c r="CU60" s="237" t="inlineStr">
        <is>
          <t>1,08%</t>
        </is>
      </c>
      <c r="CV60" s="238" t="inlineStr">
        <is>
          <t>97</t>
        </is>
      </c>
      <c r="CW60" s="239" t="inlineStr">
        <is>
          <t>1,80x</t>
        </is>
      </c>
      <c r="CX60" s="240" t="inlineStr">
        <is>
          <t>62</t>
        </is>
      </c>
      <c r="CY60" s="241" t="inlineStr">
        <is>
          <t>0,04x</t>
        </is>
      </c>
      <c r="CZ60" s="242" t="inlineStr">
        <is>
          <t>2,17%</t>
        </is>
      </c>
      <c r="DA60" s="243" t="inlineStr">
        <is>
          <t>2,08x</t>
        </is>
      </c>
      <c r="DB60" s="244" t="inlineStr">
        <is>
          <t>67</t>
        </is>
      </c>
      <c r="DC60" s="245" t="inlineStr">
        <is>
          <t>1,52x</t>
        </is>
      </c>
      <c r="DD60" s="246" t="inlineStr">
        <is>
          <t>56</t>
        </is>
      </c>
      <c r="DE60" s="247" t="inlineStr">
        <is>
          <t>2,19x</t>
        </is>
      </c>
      <c r="DF60" s="248" t="inlineStr">
        <is>
          <t>65</t>
        </is>
      </c>
      <c r="DG60" s="249" t="inlineStr">
        <is>
          <t>1,97x</t>
        </is>
      </c>
      <c r="DH60" s="250" t="inlineStr">
        <is>
          <t>64</t>
        </is>
      </c>
      <c r="DI60" s="251" t="inlineStr">
        <is>
          <t>0,45x</t>
        </is>
      </c>
      <c r="DJ60" s="252" t="inlineStr">
        <is>
          <t>37</t>
        </is>
      </c>
      <c r="DK60" s="253" t="inlineStr">
        <is>
          <t>2,59x</t>
        </is>
      </c>
      <c r="DL60" s="254" t="inlineStr">
        <is>
          <t>68</t>
        </is>
      </c>
      <c r="DM60" s="255" t="inlineStr">
        <is>
          <t>1.528</t>
        </is>
      </c>
      <c r="DN60" s="256" t="inlineStr">
        <is>
          <t>-546</t>
        </is>
      </c>
      <c r="DO60" s="257" t="inlineStr">
        <is>
          <t>-26,33%</t>
        </is>
      </c>
      <c r="DP60" s="258" t="inlineStr">
        <is>
          <t>362</t>
        </is>
      </c>
      <c r="DQ60" s="259" t="inlineStr">
        <is>
          <t>1</t>
        </is>
      </c>
      <c r="DR60" s="260" t="inlineStr">
        <is>
          <t>0,28%</t>
        </is>
      </c>
      <c r="DS60" s="261" t="inlineStr">
        <is>
          <t>71</t>
        </is>
      </c>
      <c r="DT60" s="262" t="inlineStr">
        <is>
          <t>0</t>
        </is>
      </c>
      <c r="DU60" s="263" t="inlineStr">
        <is>
          <t>0,00%</t>
        </is>
      </c>
      <c r="DV60" s="264" t="inlineStr">
        <is>
          <t>879</t>
        </is>
      </c>
      <c r="DW60" s="265" t="inlineStr">
        <is>
          <t>13</t>
        </is>
      </c>
      <c r="DX60" s="266" t="inlineStr">
        <is>
          <t>1,50%</t>
        </is>
      </c>
      <c r="DY60" s="267" t="inlineStr">
        <is>
          <t>PitchBook Research</t>
        </is>
      </c>
      <c r="DZ60" s="786">
        <f>HYPERLINK("https://my.pitchbook.com?c=83165-68", "View company online")</f>
      </c>
    </row>
    <row r="61">
      <c r="A61" s="9" t="inlineStr">
        <is>
          <t>56108-98</t>
        </is>
      </c>
      <c r="B61" s="10" t="inlineStr">
        <is>
          <t>Azimo</t>
        </is>
      </c>
      <c r="C61" s="11" t="inlineStr">
        <is>
          <t/>
        </is>
      </c>
      <c r="D61" s="12" t="inlineStr">
        <is>
          <t/>
        </is>
      </c>
      <c r="E61" s="13" t="inlineStr">
        <is>
          <t>56108-98</t>
        </is>
      </c>
      <c r="F61" s="14" t="inlineStr">
        <is>
          <t>Developer of an online international money transfer platform designed to provide a better way to transfer money around the world. The company's online international money transfer platform allows to send money either to a bank account or to over 270,000 cash pick-up points around the world and is accessible via smartphone, tablet or desktop and even through Facebook, enabling customers to send money to over 190 countries, from any internet-connected device.</t>
        </is>
      </c>
      <c r="G61" s="15" t="inlineStr">
        <is>
          <t>Information Technology</t>
        </is>
      </c>
      <c r="H61" s="16" t="inlineStr">
        <is>
          <t>Software</t>
        </is>
      </c>
      <c r="I61" s="17" t="inlineStr">
        <is>
          <t>Financial Software</t>
        </is>
      </c>
      <c r="J61" s="18" t="inlineStr">
        <is>
          <t>Financial Software*; Other Financial Services; Application Software</t>
        </is>
      </c>
      <c r="K61" s="19" t="inlineStr">
        <is>
          <t>FinTech, Mobile</t>
        </is>
      </c>
      <c r="L61" s="20" t="inlineStr">
        <is>
          <t>Venture Capital-Backed</t>
        </is>
      </c>
      <c r="M61" s="21" t="n">
        <v>37.64</v>
      </c>
      <c r="N61" s="22" t="inlineStr">
        <is>
          <t>Generating Revenue</t>
        </is>
      </c>
      <c r="O61" s="23" t="inlineStr">
        <is>
          <t>Privately Held (backing)</t>
        </is>
      </c>
      <c r="P61" s="24" t="inlineStr">
        <is>
          <t>Venture Capital</t>
        </is>
      </c>
      <c r="Q61" s="25" t="inlineStr">
        <is>
          <t>www.azimo.com</t>
        </is>
      </c>
      <c r="R61" s="26" t="n">
        <v>72.0</v>
      </c>
      <c r="S61" s="27" t="inlineStr">
        <is>
          <t/>
        </is>
      </c>
      <c r="T61" s="28" t="inlineStr">
        <is>
          <t/>
        </is>
      </c>
      <c r="U61" s="29" t="n">
        <v>2012.0</v>
      </c>
      <c r="V61" s="30" t="inlineStr">
        <is>
          <t/>
        </is>
      </c>
      <c r="W61" s="31" t="inlineStr">
        <is>
          <t/>
        </is>
      </c>
      <c r="X61" s="32" t="inlineStr">
        <is>
          <t/>
        </is>
      </c>
      <c r="Y61" s="33" t="n">
        <v>5.34653</v>
      </c>
      <c r="Z61" s="34" t="n">
        <v>2.14395</v>
      </c>
      <c r="AA61" s="35" t="n">
        <v>-8.67365</v>
      </c>
      <c r="AB61" s="36" t="inlineStr">
        <is>
          <t/>
        </is>
      </c>
      <c r="AC61" s="37" t="n">
        <v>-8.50462</v>
      </c>
      <c r="AD61" s="38" t="inlineStr">
        <is>
          <t>FY 2016</t>
        </is>
      </c>
      <c r="AE61" s="39" t="inlineStr">
        <is>
          <t>71458-84P</t>
        </is>
      </c>
      <c r="AF61" s="40" t="inlineStr">
        <is>
          <t>Marta Krupinska</t>
        </is>
      </c>
      <c r="AG61" s="41" t="inlineStr">
        <is>
          <t>Co-Founder &amp; General Manager</t>
        </is>
      </c>
      <c r="AH61" s="42" t="inlineStr">
        <is>
          <t>marta@azimo.com</t>
        </is>
      </c>
      <c r="AI61" s="43" t="inlineStr">
        <is>
          <t>+44 (0)20 3322 1558</t>
        </is>
      </c>
      <c r="AJ61" s="44" t="inlineStr">
        <is>
          <t>London, United Kingdom</t>
        </is>
      </c>
      <c r="AK61" s="45" t="inlineStr">
        <is>
          <t>173 Upper Street</t>
        </is>
      </c>
      <c r="AL61" s="46" t="inlineStr">
        <is>
          <t/>
        </is>
      </c>
      <c r="AM61" s="47" t="inlineStr">
        <is>
          <t>London</t>
        </is>
      </c>
      <c r="AN61" s="48" t="inlineStr">
        <is>
          <t>England</t>
        </is>
      </c>
      <c r="AO61" s="49" t="inlineStr">
        <is>
          <t>N1 1RG</t>
        </is>
      </c>
      <c r="AP61" s="50" t="inlineStr">
        <is>
          <t>United Kingdom</t>
        </is>
      </c>
      <c r="AQ61" s="51" t="inlineStr">
        <is>
          <t>+44 (0)20 3322 1558</t>
        </is>
      </c>
      <c r="AR61" s="52" t="inlineStr">
        <is>
          <t/>
        </is>
      </c>
      <c r="AS61" s="53" t="inlineStr">
        <is>
          <t>hello@azimo.com</t>
        </is>
      </c>
      <c r="AT61" s="54" t="inlineStr">
        <is>
          <t>Europe</t>
        </is>
      </c>
      <c r="AU61" s="55" t="inlineStr">
        <is>
          <t>Western Europe</t>
        </is>
      </c>
      <c r="AV61" s="56" t="inlineStr">
        <is>
          <t>The company raised GBP 9.22 million of venture funding in a deal led by Rakuten Ventures on May 5, 2016, putting the pre-money valuation at GBP 47 million. Infinity Venture Partners, eVentures, Frog Capital, Greycroft, Accion and MCI Capital also participated in the round. The funding will be used to consolidate its position in Europe and accelerate its expansion into Asia.</t>
        </is>
      </c>
      <c r="AW61" s="57" t="inlineStr">
        <is>
          <t>Accion, Alasdair McPherson, Anthemis Group, Beacon Capital, btov Partners, e.ventures, Frog Capital, Frontier Investment Management, Greycroft Partners, Infinity Venture Partners, Jeremy Yap, Kevin Chong, KRW Schindler Private Ventures, Matt Cooper, MCI Capital, Michael Rolph, Peter Rading, Quona Capital, Raffay, Rakuten, Rakuten Capital, TA Ventures, Udayan Goyal</t>
        </is>
      </c>
      <c r="AX61" s="58" t="n">
        <v>23.0</v>
      </c>
      <c r="AY61" s="59" t="inlineStr">
        <is>
          <t/>
        </is>
      </c>
      <c r="AZ61" s="60" t="inlineStr">
        <is>
          <t/>
        </is>
      </c>
      <c r="BA61" s="61" t="inlineStr">
        <is>
          <t/>
        </is>
      </c>
      <c r="BB61" s="62" t="inlineStr">
        <is>
          <t>Accion (www.accion.org), Anthemis Group (www.anthemis.com), Beacon Capital (www.beaconcapital.co.uk), btov Partners (www.btov.vc), e.ventures (www.eventures.vc), Frog Capital (www.frogcapital.com), Frontier Investment Management (www.frontier.dk), Greycroft Partners (www.greycroft.com), Infinity Venture Partners (www.infinityventures.com), MCI Capital (www.mci.pl), Quona Capital (www.quona.com), Raffay (www.raffay.com), Rakuten (global.rakuten.com), Rakuten Capital (capital.rakuten.com), TA Ventures (www.taventures.vc)</t>
        </is>
      </c>
      <c r="BC61" s="63" t="inlineStr">
        <is>
          <t/>
        </is>
      </c>
      <c r="BD61" s="64" t="inlineStr">
        <is>
          <t/>
        </is>
      </c>
      <c r="BE61" s="65" t="inlineStr">
        <is>
          <t>Dorsey &amp; Whitney (Legal Advisor), KPMG (Auditor), Future Fifty (Consulting), Orrick Herrington &amp; Sutcliffe (Legal Advisor)</t>
        </is>
      </c>
      <c r="BF61" s="66" t="inlineStr">
        <is>
          <t>Dorsey &amp; Whitney (Legal Advisor), Financial Technology Partners (Advisor)</t>
        </is>
      </c>
      <c r="BG61" s="67" t="n">
        <v>41292.0</v>
      </c>
      <c r="BH61" s="68" t="n">
        <v>0.36</v>
      </c>
      <c r="BI61" s="69" t="inlineStr">
        <is>
          <t>Actual</t>
        </is>
      </c>
      <c r="BJ61" s="70" t="inlineStr">
        <is>
          <t/>
        </is>
      </c>
      <c r="BK61" s="71" t="inlineStr">
        <is>
          <t/>
        </is>
      </c>
      <c r="BL61" s="72" t="inlineStr">
        <is>
          <t>Angel (individual)</t>
        </is>
      </c>
      <c r="BM61" s="73" t="inlineStr">
        <is>
          <t>Angel</t>
        </is>
      </c>
      <c r="BN61" s="74" t="inlineStr">
        <is>
          <t/>
        </is>
      </c>
      <c r="BO61" s="75" t="inlineStr">
        <is>
          <t>Individual</t>
        </is>
      </c>
      <c r="BP61" s="76" t="inlineStr">
        <is>
          <t/>
        </is>
      </c>
      <c r="BQ61" s="77" t="inlineStr">
        <is>
          <t/>
        </is>
      </c>
      <c r="BR61" s="78" t="inlineStr">
        <is>
          <t/>
        </is>
      </c>
      <c r="BS61" s="79" t="inlineStr">
        <is>
          <t>Completed</t>
        </is>
      </c>
      <c r="BT61" s="80" t="n">
        <v>42495.0</v>
      </c>
      <c r="BU61" s="81" t="n">
        <v>11.83</v>
      </c>
      <c r="BV61" s="82" t="inlineStr">
        <is>
          <t>Actual</t>
        </is>
      </c>
      <c r="BW61" s="83" t="n">
        <v>72.3</v>
      </c>
      <c r="BX61" s="84" t="inlineStr">
        <is>
          <t>Actual</t>
        </is>
      </c>
      <c r="BY61" s="85" t="inlineStr">
        <is>
          <t>Early Stage VC</t>
        </is>
      </c>
      <c r="BZ61" s="86" t="inlineStr">
        <is>
          <t>Series B1</t>
        </is>
      </c>
      <c r="CA61" s="87" t="inlineStr">
        <is>
          <t/>
        </is>
      </c>
      <c r="CB61" s="88" t="inlineStr">
        <is>
          <t>Venture Capital</t>
        </is>
      </c>
      <c r="CC61" s="89" t="inlineStr">
        <is>
          <t/>
        </is>
      </c>
      <c r="CD61" s="90" t="inlineStr">
        <is>
          <t/>
        </is>
      </c>
      <c r="CE61" s="91" t="inlineStr">
        <is>
          <t/>
        </is>
      </c>
      <c r="CF61" s="92" t="inlineStr">
        <is>
          <t>Completed</t>
        </is>
      </c>
      <c r="CG61" s="93" t="inlineStr">
        <is>
          <t>0,48%</t>
        </is>
      </c>
      <c r="CH61" s="94" t="inlineStr">
        <is>
          <t>84</t>
        </is>
      </c>
      <c r="CI61" s="95" t="inlineStr">
        <is>
          <t>0,03%</t>
        </is>
      </c>
      <c r="CJ61" s="96" t="inlineStr">
        <is>
          <t>7,43%</t>
        </is>
      </c>
      <c r="CK61" s="97" t="inlineStr">
        <is>
          <t>-0,28%</t>
        </is>
      </c>
      <c r="CL61" s="98" t="inlineStr">
        <is>
          <t>14</t>
        </is>
      </c>
      <c r="CM61" s="99" t="inlineStr">
        <is>
          <t>0,44%</t>
        </is>
      </c>
      <c r="CN61" s="100" t="inlineStr">
        <is>
          <t>88</t>
        </is>
      </c>
      <c r="CO61" s="101" t="inlineStr">
        <is>
          <t>-0,78%</t>
        </is>
      </c>
      <c r="CP61" s="102" t="inlineStr">
        <is>
          <t>21</t>
        </is>
      </c>
      <c r="CQ61" s="103" t="inlineStr">
        <is>
          <t>0,22%</t>
        </is>
      </c>
      <c r="CR61" s="104" t="inlineStr">
        <is>
          <t>84</t>
        </is>
      </c>
      <c r="CS61" s="105" t="inlineStr">
        <is>
          <t>0,82%</t>
        </is>
      </c>
      <c r="CT61" s="106" t="inlineStr">
        <is>
          <t>93</t>
        </is>
      </c>
      <c r="CU61" s="107" t="inlineStr">
        <is>
          <t>0,06%</t>
        </is>
      </c>
      <c r="CV61" s="108" t="inlineStr">
        <is>
          <t>62</t>
        </is>
      </c>
      <c r="CW61" s="109" t="inlineStr">
        <is>
          <t>66,53x</t>
        </is>
      </c>
      <c r="CX61" s="110" t="inlineStr">
        <is>
          <t>97</t>
        </is>
      </c>
      <c r="CY61" s="111" t="inlineStr">
        <is>
          <t>0,65x</t>
        </is>
      </c>
      <c r="CZ61" s="112" t="inlineStr">
        <is>
          <t>0,98%</t>
        </is>
      </c>
      <c r="DA61" s="113" t="inlineStr">
        <is>
          <t>125,31x</t>
        </is>
      </c>
      <c r="DB61" s="114" t="inlineStr">
        <is>
          <t>98</t>
        </is>
      </c>
      <c r="DC61" s="115" t="inlineStr">
        <is>
          <t>73,87x</t>
        </is>
      </c>
      <c r="DD61" s="116" t="inlineStr">
        <is>
          <t>96</t>
        </is>
      </c>
      <c r="DE61" s="117" t="inlineStr">
        <is>
          <t>242,62x</t>
        </is>
      </c>
      <c r="DF61" s="118" t="inlineStr">
        <is>
          <t>98</t>
        </is>
      </c>
      <c r="DG61" s="119" t="inlineStr">
        <is>
          <t>8,00x</t>
        </is>
      </c>
      <c r="DH61" s="120" t="inlineStr">
        <is>
          <t>83</t>
        </is>
      </c>
      <c r="DI61" s="121" t="inlineStr">
        <is>
          <t>116,14x</t>
        </is>
      </c>
      <c r="DJ61" s="122" t="inlineStr">
        <is>
          <t>96</t>
        </is>
      </c>
      <c r="DK61" s="123" t="inlineStr">
        <is>
          <t>31,61x</t>
        </is>
      </c>
      <c r="DL61" s="124" t="inlineStr">
        <is>
          <t>94</t>
        </is>
      </c>
      <c r="DM61" s="125" t="inlineStr">
        <is>
          <t>150.119</t>
        </is>
      </c>
      <c r="DN61" s="126" t="inlineStr">
        <is>
          <t>-2.726</t>
        </is>
      </c>
      <c r="DO61" s="127" t="inlineStr">
        <is>
          <t>-1,78%</t>
        </is>
      </c>
      <c r="DP61" s="128" t="inlineStr">
        <is>
          <t>92.568</t>
        </is>
      </c>
      <c r="DQ61" s="129" t="inlineStr">
        <is>
          <t>447</t>
        </is>
      </c>
      <c r="DR61" s="130" t="inlineStr">
        <is>
          <t>0,49%</t>
        </is>
      </c>
      <c r="DS61" s="131" t="inlineStr">
        <is>
          <t>287</t>
        </is>
      </c>
      <c r="DT61" s="132" t="inlineStr">
        <is>
          <t>3</t>
        </is>
      </c>
      <c r="DU61" s="133" t="inlineStr">
        <is>
          <t>1,06%</t>
        </is>
      </c>
      <c r="DV61" s="134" t="inlineStr">
        <is>
          <t>10.840</t>
        </is>
      </c>
      <c r="DW61" s="135" t="inlineStr">
        <is>
          <t>3</t>
        </is>
      </c>
      <c r="DX61" s="136" t="inlineStr">
        <is>
          <t>0,03%</t>
        </is>
      </c>
      <c r="DY61" s="137" t="inlineStr">
        <is>
          <t>PitchBook Research</t>
        </is>
      </c>
      <c r="DZ61" s="785">
        <f>HYPERLINK("https://my.pitchbook.com?c=56108-98", "View company online")</f>
      </c>
    </row>
    <row r="62">
      <c r="A62" s="139" t="inlineStr">
        <is>
          <t>60208-75</t>
        </is>
      </c>
      <c r="B62" s="140" t="inlineStr">
        <is>
          <t>Azuri Technologies</t>
        </is>
      </c>
      <c r="C62" s="141" t="inlineStr">
        <is>
          <t/>
        </is>
      </c>
      <c r="D62" s="142" t="inlineStr">
        <is>
          <t/>
        </is>
      </c>
      <c r="E62" s="143" t="inlineStr">
        <is>
          <t>60208-75</t>
        </is>
      </c>
      <c r="F62" s="144" t="inlineStr">
        <is>
          <t>Manufacturer of solar systems created to supply energy to the rural off-grid communities in Africa. The company's PayGo solar systems provides 8 hours of clean lighting in off-grid rural areas of Africa each day and the opportunity to charge mobile phones at home by paying an installation fee for their system enabling users to use an integrated mobile money service to top-up their unit.</t>
        </is>
      </c>
      <c r="G62" s="145" t="inlineStr">
        <is>
          <t>Energy</t>
        </is>
      </c>
      <c r="H62" s="146" t="inlineStr">
        <is>
          <t>Energy Equipment</t>
        </is>
      </c>
      <c r="I62" s="147" t="inlineStr">
        <is>
          <t>Alternative Energy Equipment</t>
        </is>
      </c>
      <c r="J62" s="148" t="inlineStr">
        <is>
          <t>Alternative Energy Equipment*</t>
        </is>
      </c>
      <c r="K62" s="149" t="inlineStr">
        <is>
          <t>CleanTech, Manufacturing</t>
        </is>
      </c>
      <c r="L62" s="150" t="inlineStr">
        <is>
          <t>Venture Capital-Backed</t>
        </is>
      </c>
      <c r="M62" s="151" t="n">
        <v>19.82</v>
      </c>
      <c r="N62" s="152" t="inlineStr">
        <is>
          <t>Generating Revenue</t>
        </is>
      </c>
      <c r="O62" s="153" t="inlineStr">
        <is>
          <t>Privately Held (backing)</t>
        </is>
      </c>
      <c r="P62" s="154" t="inlineStr">
        <is>
          <t>Venture Capital</t>
        </is>
      </c>
      <c r="Q62" s="155" t="inlineStr">
        <is>
          <t>www.azuri-technologies.com</t>
        </is>
      </c>
      <c r="R62" s="156" t="n">
        <v>16.0</v>
      </c>
      <c r="S62" s="157" t="inlineStr">
        <is>
          <t/>
        </is>
      </c>
      <c r="T62" s="158" t="inlineStr">
        <is>
          <t/>
        </is>
      </c>
      <c r="U62" s="159" t="n">
        <v>2012.0</v>
      </c>
      <c r="V62" s="160" t="inlineStr">
        <is>
          <t/>
        </is>
      </c>
      <c r="W62" s="161" t="inlineStr">
        <is>
          <t/>
        </is>
      </c>
      <c r="X62" s="162" t="inlineStr">
        <is>
          <t/>
        </is>
      </c>
      <c r="Y62" s="163" t="n">
        <v>2.21021</v>
      </c>
      <c r="Z62" s="164" t="n">
        <v>0.43635</v>
      </c>
      <c r="AA62" s="165" t="n">
        <v>-3.06395</v>
      </c>
      <c r="AB62" s="166" t="inlineStr">
        <is>
          <t/>
        </is>
      </c>
      <c r="AC62" s="167" t="n">
        <v>-3.22521</v>
      </c>
      <c r="AD62" s="168" t="inlineStr">
        <is>
          <t>FY 2016</t>
        </is>
      </c>
      <c r="AE62" s="169" t="inlineStr">
        <is>
          <t>75533-41P</t>
        </is>
      </c>
      <c r="AF62" s="170" t="inlineStr">
        <is>
          <t>Adrian Watson</t>
        </is>
      </c>
      <c r="AG62" s="171" t="inlineStr">
        <is>
          <t>Chief Financial Officer &amp; Board Member</t>
        </is>
      </c>
      <c r="AH62" s="172" t="inlineStr">
        <is>
          <t>adrian.watson@azuri-technologies.com</t>
        </is>
      </c>
      <c r="AI62" s="173" t="inlineStr">
        <is>
          <t>+44 (0)14 2446 4801</t>
        </is>
      </c>
      <c r="AJ62" s="174" t="inlineStr">
        <is>
          <t>Cambridge, United Kingdom</t>
        </is>
      </c>
      <c r="AK62" s="175" t="inlineStr">
        <is>
          <t>Unit D, Brookmount Court</t>
        </is>
      </c>
      <c r="AL62" s="176" t="inlineStr">
        <is>
          <t>Kirkwood Road</t>
        </is>
      </c>
      <c r="AM62" s="177" t="inlineStr">
        <is>
          <t>Cambridge</t>
        </is>
      </c>
      <c r="AN62" s="178" t="inlineStr">
        <is>
          <t>England</t>
        </is>
      </c>
      <c r="AO62" s="179" t="inlineStr">
        <is>
          <t>CB4 2QH</t>
        </is>
      </c>
      <c r="AP62" s="180" t="inlineStr">
        <is>
          <t>United Kingdom</t>
        </is>
      </c>
      <c r="AQ62" s="181" t="inlineStr">
        <is>
          <t>+44 (0)14 2446 4801</t>
        </is>
      </c>
      <c r="AR62" s="182" t="inlineStr">
        <is>
          <t/>
        </is>
      </c>
      <c r="AS62" s="183" t="inlineStr">
        <is>
          <t>info@azuri-technologies.com</t>
        </is>
      </c>
      <c r="AT62" s="184" t="inlineStr">
        <is>
          <t>Europe</t>
        </is>
      </c>
      <c r="AU62" s="185" t="inlineStr">
        <is>
          <t>Western Europe</t>
        </is>
      </c>
      <c r="AV62" s="186" t="inlineStr">
        <is>
          <t>The company received $5 million of debt financing in the form of a loan from Standard Chartered Bank on February 22, 2017. The company intends to use the funding to support deployment of renewable energy in sub-Saharan Africa. Previously, the company raised $11 million of venture funding from undisclosed investors in December 2016.</t>
        </is>
      </c>
      <c r="AW62" s="187" t="inlineStr">
        <is>
          <t>IP Group, Solvay</t>
        </is>
      </c>
      <c r="AX62" s="188" t="n">
        <v>2.0</v>
      </c>
      <c r="AY62" s="189" t="inlineStr">
        <is>
          <t/>
        </is>
      </c>
      <c r="AZ62" s="190" t="inlineStr">
        <is>
          <t/>
        </is>
      </c>
      <c r="BA62" s="191" t="inlineStr">
        <is>
          <t/>
        </is>
      </c>
      <c r="BB62" s="192" t="inlineStr">
        <is>
          <t>IP Group (www.ipgroupplc.com), Solvay (www.solvay.com)</t>
        </is>
      </c>
      <c r="BC62" s="193" t="inlineStr">
        <is>
          <t/>
        </is>
      </c>
      <c r="BD62" s="194" t="inlineStr">
        <is>
          <t/>
        </is>
      </c>
      <c r="BE62" s="195" t="inlineStr">
        <is>
          <t>Bailey Fisher Executive Search (Advisor), PwC (Auditor)</t>
        </is>
      </c>
      <c r="BF62" s="196" t="inlineStr">
        <is>
          <t>Barclays Bank, Standard Chartered</t>
        </is>
      </c>
      <c r="BG62" s="197" t="n">
        <v>41122.0</v>
      </c>
      <c r="BH62" s="198" t="n">
        <v>0.23</v>
      </c>
      <c r="BI62" s="199" t="inlineStr">
        <is>
          <t>Actual</t>
        </is>
      </c>
      <c r="BJ62" s="200" t="n">
        <v>0.68</v>
      </c>
      <c r="BK62" s="201" t="inlineStr">
        <is>
          <t>Actual</t>
        </is>
      </c>
      <c r="BL62" s="202" t="inlineStr">
        <is>
          <t>Seed Round</t>
        </is>
      </c>
      <c r="BM62" s="203" t="inlineStr">
        <is>
          <t>Seed</t>
        </is>
      </c>
      <c r="BN62" s="204" t="inlineStr">
        <is>
          <t/>
        </is>
      </c>
      <c r="BO62" s="205" t="inlineStr">
        <is>
          <t>Venture Capital</t>
        </is>
      </c>
      <c r="BP62" s="206" t="inlineStr">
        <is>
          <t/>
        </is>
      </c>
      <c r="BQ62" s="207" t="inlineStr">
        <is>
          <t/>
        </is>
      </c>
      <c r="BR62" s="208" t="inlineStr">
        <is>
          <t/>
        </is>
      </c>
      <c r="BS62" s="209" t="inlineStr">
        <is>
          <t>Completed</t>
        </is>
      </c>
      <c r="BT62" s="210" t="n">
        <v>42788.0</v>
      </c>
      <c r="BU62" s="211" t="n">
        <v>4.69</v>
      </c>
      <c r="BV62" s="212" t="inlineStr">
        <is>
          <t>Actual</t>
        </is>
      </c>
      <c r="BW62" s="213" t="inlineStr">
        <is>
          <t/>
        </is>
      </c>
      <c r="BX62" s="214" t="inlineStr">
        <is>
          <t/>
        </is>
      </c>
      <c r="BY62" s="215" t="inlineStr">
        <is>
          <t>Debt - General</t>
        </is>
      </c>
      <c r="BZ62" s="216" t="inlineStr">
        <is>
          <t>Loan</t>
        </is>
      </c>
      <c r="CA62" s="217" t="inlineStr">
        <is>
          <t/>
        </is>
      </c>
      <c r="CB62" s="218" t="inlineStr">
        <is>
          <t>Debt</t>
        </is>
      </c>
      <c r="CC62" s="219" t="inlineStr">
        <is>
          <t>Loan</t>
        </is>
      </c>
      <c r="CD62" s="220" t="inlineStr">
        <is>
          <t/>
        </is>
      </c>
      <c r="CE62" s="221" t="inlineStr">
        <is>
          <t/>
        </is>
      </c>
      <c r="CF62" s="222" t="inlineStr">
        <is>
          <t>Completed</t>
        </is>
      </c>
      <c r="CG62" s="223" t="inlineStr">
        <is>
          <t>0,45%</t>
        </is>
      </c>
      <c r="CH62" s="224" t="inlineStr">
        <is>
          <t>83</t>
        </is>
      </c>
      <c r="CI62" s="225" t="inlineStr">
        <is>
          <t>0,09%</t>
        </is>
      </c>
      <c r="CJ62" s="226" t="inlineStr">
        <is>
          <t>24,75%</t>
        </is>
      </c>
      <c r="CK62" s="227" t="inlineStr">
        <is>
          <t>-0,12%</t>
        </is>
      </c>
      <c r="CL62" s="228" t="inlineStr">
        <is>
          <t>16</t>
        </is>
      </c>
      <c r="CM62" s="229" t="inlineStr">
        <is>
          <t>1,02%</t>
        </is>
      </c>
      <c r="CN62" s="230" t="inlineStr">
        <is>
          <t>96</t>
        </is>
      </c>
      <c r="CO62" s="231" t="inlineStr">
        <is>
          <t>-0,80%</t>
        </is>
      </c>
      <c r="CP62" s="232" t="inlineStr">
        <is>
          <t>21</t>
        </is>
      </c>
      <c r="CQ62" s="233" t="inlineStr">
        <is>
          <t>0,55%</t>
        </is>
      </c>
      <c r="CR62" s="234" t="inlineStr">
        <is>
          <t>87</t>
        </is>
      </c>
      <c r="CS62" s="235" t="inlineStr">
        <is>
          <t>1,31%</t>
        </is>
      </c>
      <c r="CT62" s="236" t="inlineStr">
        <is>
          <t>96</t>
        </is>
      </c>
      <c r="CU62" s="237" t="inlineStr">
        <is>
          <t>0,74%</t>
        </is>
      </c>
      <c r="CV62" s="238" t="inlineStr">
        <is>
          <t>95</t>
        </is>
      </c>
      <c r="CW62" s="239" t="inlineStr">
        <is>
          <t>6,01x</t>
        </is>
      </c>
      <c r="CX62" s="240" t="inlineStr">
        <is>
          <t>81</t>
        </is>
      </c>
      <c r="CY62" s="241" t="inlineStr">
        <is>
          <t>0,13x</t>
        </is>
      </c>
      <c r="CZ62" s="242" t="inlineStr">
        <is>
          <t>2,29%</t>
        </is>
      </c>
      <c r="DA62" s="243" t="inlineStr">
        <is>
          <t>6,05x</t>
        </is>
      </c>
      <c r="DB62" s="244" t="inlineStr">
        <is>
          <t>82</t>
        </is>
      </c>
      <c r="DC62" s="245" t="inlineStr">
        <is>
          <t>5,98x</t>
        </is>
      </c>
      <c r="DD62" s="246" t="inlineStr">
        <is>
          <t>78</t>
        </is>
      </c>
      <c r="DE62" s="247" t="inlineStr">
        <is>
          <t>2,31x</t>
        </is>
      </c>
      <c r="DF62" s="248" t="inlineStr">
        <is>
          <t>66</t>
        </is>
      </c>
      <c r="DG62" s="249" t="inlineStr">
        <is>
          <t>9,78x</t>
        </is>
      </c>
      <c r="DH62" s="250" t="inlineStr">
        <is>
          <t>86</t>
        </is>
      </c>
      <c r="DI62" s="251" t="inlineStr">
        <is>
          <t>3,45x</t>
        </is>
      </c>
      <c r="DJ62" s="252" t="inlineStr">
        <is>
          <t>70</t>
        </is>
      </c>
      <c r="DK62" s="253" t="inlineStr">
        <is>
          <t>8,52x</t>
        </is>
      </c>
      <c r="DL62" s="254" t="inlineStr">
        <is>
          <t>85</t>
        </is>
      </c>
      <c r="DM62" s="255" t="inlineStr">
        <is>
          <t>1.463</t>
        </is>
      </c>
      <c r="DN62" s="256" t="inlineStr">
        <is>
          <t>-123</t>
        </is>
      </c>
      <c r="DO62" s="257" t="inlineStr">
        <is>
          <t>-7,76%</t>
        </is>
      </c>
      <c r="DP62" s="258" t="inlineStr">
        <is>
          <t>2.746</t>
        </is>
      </c>
      <c r="DQ62" s="259" t="inlineStr">
        <is>
          <t>38</t>
        </is>
      </c>
      <c r="DR62" s="260" t="inlineStr">
        <is>
          <t>1,40%</t>
        </is>
      </c>
      <c r="DS62" s="261" t="inlineStr">
        <is>
          <t>352</t>
        </is>
      </c>
      <c r="DT62" s="262" t="inlineStr">
        <is>
          <t>1</t>
        </is>
      </c>
      <c r="DU62" s="263" t="inlineStr">
        <is>
          <t>0,28%</t>
        </is>
      </c>
      <c r="DV62" s="264" t="inlineStr">
        <is>
          <t>2.910</t>
        </is>
      </c>
      <c r="DW62" s="265" t="inlineStr">
        <is>
          <t>16</t>
        </is>
      </c>
      <c r="DX62" s="266" t="inlineStr">
        <is>
          <t>0,55%</t>
        </is>
      </c>
      <c r="DY62" s="267" t="inlineStr">
        <is>
          <t>PitchBook Research</t>
        </is>
      </c>
      <c r="DZ62" s="786">
        <f>HYPERLINK("https://my.pitchbook.com?c=60208-75", "View company online")</f>
      </c>
    </row>
    <row r="63">
      <c r="A63" s="9" t="inlineStr">
        <is>
          <t>120257-47</t>
        </is>
      </c>
      <c r="B63" s="10" t="inlineStr">
        <is>
          <t>Babbler</t>
        </is>
      </c>
      <c r="C63" s="11" t="inlineStr">
        <is>
          <t/>
        </is>
      </c>
      <c r="D63" s="12" t="inlineStr">
        <is>
          <t/>
        </is>
      </c>
      <c r="E63" s="13" t="inlineStr">
        <is>
          <t>120257-47</t>
        </is>
      </c>
      <c r="F63" s="14" t="inlineStr">
        <is>
          <t>Developer of a communication platform designed to simplify press relations and media services. The company's communication platform is a social network where press officers can instantly broadcast news, content and messages to a targeted audience, enabling communication professionals to effectively and meaningfully connect with their audience.</t>
        </is>
      </c>
      <c r="G63" s="15" t="inlineStr">
        <is>
          <t>Information Technology</t>
        </is>
      </c>
      <c r="H63" s="16" t="inlineStr">
        <is>
          <t>Software</t>
        </is>
      </c>
      <c r="I63" s="17" t="inlineStr">
        <is>
          <t>Social/Platform Software</t>
        </is>
      </c>
      <c r="J63" s="18" t="inlineStr">
        <is>
          <t>Social/Platform Software*; Information Services (B2C); Communication Software</t>
        </is>
      </c>
      <c r="K63" s="19" t="inlineStr">
        <is>
          <t>Mobile, SaaS</t>
        </is>
      </c>
      <c r="L63" s="20" t="inlineStr">
        <is>
          <t>Venture Capital-Backed</t>
        </is>
      </c>
      <c r="M63" s="21" t="n">
        <v>17.42</v>
      </c>
      <c r="N63" s="22" t="inlineStr">
        <is>
          <t>Generating Revenue</t>
        </is>
      </c>
      <c r="O63" s="23" t="inlineStr">
        <is>
          <t>Privately Held (backing)</t>
        </is>
      </c>
      <c r="P63" s="24" t="inlineStr">
        <is>
          <t>Venture Capital</t>
        </is>
      </c>
      <c r="Q63" s="25" t="inlineStr">
        <is>
          <t>www.babbler.fr</t>
        </is>
      </c>
      <c r="R63" s="26" t="n">
        <v>25.0</v>
      </c>
      <c r="S63" s="27" t="inlineStr">
        <is>
          <t/>
        </is>
      </c>
      <c r="T63" s="28" t="inlineStr">
        <is>
          <t/>
        </is>
      </c>
      <c r="U63" s="29" t="n">
        <v>2013.0</v>
      </c>
      <c r="V63" s="30" t="inlineStr">
        <is>
          <t/>
        </is>
      </c>
      <c r="W63" s="31" t="inlineStr">
        <is>
          <t/>
        </is>
      </c>
      <c r="X63" s="32" t="inlineStr">
        <is>
          <t/>
        </is>
      </c>
      <c r="Y63" s="33" t="inlineStr">
        <is>
          <t/>
        </is>
      </c>
      <c r="Z63" s="34" t="inlineStr">
        <is>
          <t/>
        </is>
      </c>
      <c r="AA63" s="35" t="inlineStr">
        <is>
          <t/>
        </is>
      </c>
      <c r="AB63" s="36" t="inlineStr">
        <is>
          <t/>
        </is>
      </c>
      <c r="AC63" s="37" t="inlineStr">
        <is>
          <t/>
        </is>
      </c>
      <c r="AD63" s="38" t="inlineStr">
        <is>
          <t/>
        </is>
      </c>
      <c r="AE63" s="39" t="inlineStr">
        <is>
          <t>110172-79P</t>
        </is>
      </c>
      <c r="AF63" s="40" t="inlineStr">
        <is>
          <t>Sarah Azan</t>
        </is>
      </c>
      <c r="AG63" s="41" t="inlineStr">
        <is>
          <t>Co-Founder &amp; Chief Operating Officer</t>
        </is>
      </c>
      <c r="AH63" s="42" t="inlineStr">
        <is>
          <t>sarah@babbler.fr</t>
        </is>
      </c>
      <c r="AI63" s="43" t="inlineStr">
        <is>
          <t>+33 (0)9 67 03 69 38</t>
        </is>
      </c>
      <c r="AJ63" s="44" t="inlineStr">
        <is>
          <t>Paris, France</t>
        </is>
      </c>
      <c r="AK63" s="45" t="inlineStr">
        <is>
          <t>93 Rue Montmartre</t>
        </is>
      </c>
      <c r="AL63" s="46" t="inlineStr">
        <is>
          <t/>
        </is>
      </c>
      <c r="AM63" s="47" t="inlineStr">
        <is>
          <t>Paris</t>
        </is>
      </c>
      <c r="AN63" s="48" t="inlineStr">
        <is>
          <t/>
        </is>
      </c>
      <c r="AO63" s="49" t="inlineStr">
        <is>
          <t>75002</t>
        </is>
      </c>
      <c r="AP63" s="50" t="inlineStr">
        <is>
          <t>France</t>
        </is>
      </c>
      <c r="AQ63" s="51" t="inlineStr">
        <is>
          <t>+33 (0)9 67 03 69 38</t>
        </is>
      </c>
      <c r="AR63" s="52" t="inlineStr">
        <is>
          <t/>
        </is>
      </c>
      <c r="AS63" s="53" t="inlineStr">
        <is>
          <t>hello@babbler.fr</t>
        </is>
      </c>
      <c r="AT63" s="54" t="inlineStr">
        <is>
          <t>Europe</t>
        </is>
      </c>
      <c r="AU63" s="55" t="inlineStr">
        <is>
          <t>Western Europe</t>
        </is>
      </c>
      <c r="AV63" s="56" t="inlineStr">
        <is>
          <t>The company raised EUR 2 million of Series A venture funding from Omnes Capital and CM-CIC Capital Privé on April 19, 2016. The funding will be used boost its social network of PR in the United States and will enable the start-up to continue to develop its product, while pursuing its business development in France and the United States. Previously, the company graduated from Techstars as a part of its Class 88 of Austin 2017 Q1 cohort and received $20,000 in funding on April 21, 2017.</t>
        </is>
      </c>
      <c r="AW63" s="57" t="inlineStr">
        <is>
          <t>CM-CIC Capital Privé, ESSEC Ventures, Fashion Capital Partners, Fred &amp; Farid Digital Investment Fund, Omnes Capital, Stiefel Family Office, Techstars</t>
        </is>
      </c>
      <c r="AX63" s="58" t="n">
        <v>7.0</v>
      </c>
      <c r="AY63" s="59" t="inlineStr">
        <is>
          <t/>
        </is>
      </c>
      <c r="AZ63" s="60" t="inlineStr">
        <is>
          <t/>
        </is>
      </c>
      <c r="BA63" s="61" t="inlineStr">
        <is>
          <t/>
        </is>
      </c>
      <c r="BB63" s="62" t="inlineStr">
        <is>
          <t>CM-CIC Capital Privé (www.cmciccapitalprive.com), Fashion Capital Partners (www.fashioncapitalpartners.com), Fred &amp; Farid Digital Investment Fund (ffdif.com), Omnes Capital (www.omnescapital.com), Techstars (www.techstars.com)</t>
        </is>
      </c>
      <c r="BC63" s="63" t="inlineStr">
        <is>
          <t/>
        </is>
      </c>
      <c r="BD63" s="64" t="inlineStr">
        <is>
          <t/>
        </is>
      </c>
      <c r="BE63" s="65" t="inlineStr">
        <is>
          <t/>
        </is>
      </c>
      <c r="BF63" s="66" t="inlineStr">
        <is>
          <t/>
        </is>
      </c>
      <c r="BG63" s="67" t="n">
        <v>41957.0</v>
      </c>
      <c r="BH63" s="68" t="n">
        <v>0.4</v>
      </c>
      <c r="BI63" s="69" t="inlineStr">
        <is>
          <t>Actual</t>
        </is>
      </c>
      <c r="BJ63" s="70" t="inlineStr">
        <is>
          <t/>
        </is>
      </c>
      <c r="BK63" s="71" t="inlineStr">
        <is>
          <t/>
        </is>
      </c>
      <c r="BL63" s="72" t="inlineStr">
        <is>
          <t>Seed Round</t>
        </is>
      </c>
      <c r="BM63" s="73" t="inlineStr">
        <is>
          <t>Seed</t>
        </is>
      </c>
      <c r="BN63" s="74" t="inlineStr">
        <is>
          <t/>
        </is>
      </c>
      <c r="BO63" s="75" t="inlineStr">
        <is>
          <t>Venture Capital</t>
        </is>
      </c>
      <c r="BP63" s="76" t="inlineStr">
        <is>
          <t/>
        </is>
      </c>
      <c r="BQ63" s="77" t="inlineStr">
        <is>
          <t/>
        </is>
      </c>
      <c r="BR63" s="78" t="inlineStr">
        <is>
          <t/>
        </is>
      </c>
      <c r="BS63" s="79" t="inlineStr">
        <is>
          <t>Completed</t>
        </is>
      </c>
      <c r="BT63" s="80" t="n">
        <v>42950.0</v>
      </c>
      <c r="BU63" s="81" t="n">
        <v>15.0</v>
      </c>
      <c r="BV63" s="82" t="inlineStr">
        <is>
          <t>Actual</t>
        </is>
      </c>
      <c r="BW63" s="83" t="inlineStr">
        <is>
          <t/>
        </is>
      </c>
      <c r="BX63" s="84" t="inlineStr">
        <is>
          <t/>
        </is>
      </c>
      <c r="BY63" s="85" t="inlineStr">
        <is>
          <t>Early Stage VC</t>
        </is>
      </c>
      <c r="BZ63" s="86" t="inlineStr">
        <is>
          <t/>
        </is>
      </c>
      <c r="CA63" s="87" t="inlineStr">
        <is>
          <t/>
        </is>
      </c>
      <c r="CB63" s="88" t="inlineStr">
        <is>
          <t>Venture Capital</t>
        </is>
      </c>
      <c r="CC63" s="89" t="inlineStr">
        <is>
          <t/>
        </is>
      </c>
      <c r="CD63" s="90" t="inlineStr">
        <is>
          <t/>
        </is>
      </c>
      <c r="CE63" s="91" t="inlineStr">
        <is>
          <t/>
        </is>
      </c>
      <c r="CF63" s="92" t="inlineStr">
        <is>
          <t>Completed</t>
        </is>
      </c>
      <c r="CG63" s="93" t="inlineStr">
        <is>
          <t>-8,09%</t>
        </is>
      </c>
      <c r="CH63" s="94" t="inlineStr">
        <is>
          <t>1</t>
        </is>
      </c>
      <c r="CI63" s="95" t="inlineStr">
        <is>
          <t>0,00%</t>
        </is>
      </c>
      <c r="CJ63" s="96" t="inlineStr">
        <is>
          <t>-0,03%</t>
        </is>
      </c>
      <c r="CK63" s="97" t="inlineStr">
        <is>
          <t>-16,40%</t>
        </is>
      </c>
      <c r="CL63" s="98" t="inlineStr">
        <is>
          <t>1</t>
        </is>
      </c>
      <c r="CM63" s="99" t="inlineStr">
        <is>
          <t>0,23%</t>
        </is>
      </c>
      <c r="CN63" s="100" t="inlineStr">
        <is>
          <t>76</t>
        </is>
      </c>
      <c r="CO63" s="101" t="inlineStr">
        <is>
          <t>-16,40%</t>
        </is>
      </c>
      <c r="CP63" s="102" t="inlineStr">
        <is>
          <t>1</t>
        </is>
      </c>
      <c r="CQ63" s="103" t="inlineStr">
        <is>
          <t/>
        </is>
      </c>
      <c r="CR63" s="104" t="inlineStr">
        <is>
          <t/>
        </is>
      </c>
      <c r="CS63" s="105" t="inlineStr">
        <is>
          <t>0,43%</t>
        </is>
      </c>
      <c r="CT63" s="106" t="inlineStr">
        <is>
          <t>85</t>
        </is>
      </c>
      <c r="CU63" s="107" t="inlineStr">
        <is>
          <t>0,02%</t>
        </is>
      </c>
      <c r="CV63" s="108" t="inlineStr">
        <is>
          <t>57</t>
        </is>
      </c>
      <c r="CW63" s="109" t="inlineStr">
        <is>
          <t>5,15x</t>
        </is>
      </c>
      <c r="CX63" s="110" t="inlineStr">
        <is>
          <t>79</t>
        </is>
      </c>
      <c r="CY63" s="111" t="inlineStr">
        <is>
          <t>0,10x</t>
        </is>
      </c>
      <c r="CZ63" s="112" t="inlineStr">
        <is>
          <t>1,91%</t>
        </is>
      </c>
      <c r="DA63" s="113" t="inlineStr">
        <is>
          <t>1,58x</t>
        </is>
      </c>
      <c r="DB63" s="114" t="inlineStr">
        <is>
          <t>62</t>
        </is>
      </c>
      <c r="DC63" s="115" t="inlineStr">
        <is>
          <t>8,72x</t>
        </is>
      </c>
      <c r="DD63" s="116" t="inlineStr">
        <is>
          <t>83</t>
        </is>
      </c>
      <c r="DE63" s="117" t="inlineStr">
        <is>
          <t>1,58x</t>
        </is>
      </c>
      <c r="DF63" s="118" t="inlineStr">
        <is>
          <t>59</t>
        </is>
      </c>
      <c r="DG63" s="119" t="inlineStr">
        <is>
          <t/>
        </is>
      </c>
      <c r="DH63" s="120" t="inlineStr">
        <is>
          <t/>
        </is>
      </c>
      <c r="DI63" s="121" t="inlineStr">
        <is>
          <t>9,55x</t>
        </is>
      </c>
      <c r="DJ63" s="122" t="inlineStr">
        <is>
          <t>82</t>
        </is>
      </c>
      <c r="DK63" s="123" t="inlineStr">
        <is>
          <t>7,90x</t>
        </is>
      </c>
      <c r="DL63" s="124" t="inlineStr">
        <is>
          <t>84</t>
        </is>
      </c>
      <c r="DM63" s="125" t="inlineStr">
        <is>
          <t>1.255</t>
        </is>
      </c>
      <c r="DN63" s="126" t="inlineStr">
        <is>
          <t>-853</t>
        </is>
      </c>
      <c r="DO63" s="127" t="inlineStr">
        <is>
          <t>-40,46%</t>
        </is>
      </c>
      <c r="DP63" s="128" t="inlineStr">
        <is>
          <t>7.625</t>
        </is>
      </c>
      <c r="DQ63" s="129" t="inlineStr">
        <is>
          <t>20</t>
        </is>
      </c>
      <c r="DR63" s="130" t="inlineStr">
        <is>
          <t>0,26%</t>
        </is>
      </c>
      <c r="DS63" s="131" t="inlineStr">
        <is>
          <t/>
        </is>
      </c>
      <c r="DT63" s="132" t="inlineStr">
        <is>
          <t/>
        </is>
      </c>
      <c r="DU63" s="133" t="inlineStr">
        <is>
          <t/>
        </is>
      </c>
      <c r="DV63" s="134" t="inlineStr">
        <is>
          <t>2.706</t>
        </is>
      </c>
      <c r="DW63" s="135" t="inlineStr">
        <is>
          <t>0</t>
        </is>
      </c>
      <c r="DX63" s="136" t="inlineStr">
        <is>
          <t>0,00%</t>
        </is>
      </c>
      <c r="DY63" s="137" t="inlineStr">
        <is>
          <t>PitchBook Research</t>
        </is>
      </c>
      <c r="DZ63" s="785">
        <f>HYPERLINK("https://my.pitchbook.com?c=120257-47", "View company online")</f>
      </c>
    </row>
    <row r="64">
      <c r="A64" s="139" t="inlineStr">
        <is>
          <t>113444-02</t>
        </is>
      </c>
      <c r="B64" s="140" t="inlineStr">
        <is>
          <t>Babylon Health</t>
        </is>
      </c>
      <c r="C64" s="141" t="inlineStr">
        <is>
          <t/>
        </is>
      </c>
      <c r="D64" s="142" t="inlineStr">
        <is>
          <t>Babylon</t>
        </is>
      </c>
      <c r="E64" s="143" t="inlineStr">
        <is>
          <t>113444-02</t>
        </is>
      </c>
      <c r="F64" s="144" t="inlineStr">
        <is>
          <t>Developer of a digital healthcare consultation application designed to transform healthcare for everyone. The company's Babylon application offers healthcare services where users can make doctor's appointment, access clinical records and avail health monitoring system, providing users with healthcare related advice.</t>
        </is>
      </c>
      <c r="G64" s="145" t="inlineStr">
        <is>
          <t>Healthcare</t>
        </is>
      </c>
      <c r="H64" s="146" t="inlineStr">
        <is>
          <t>Healthcare Services</t>
        </is>
      </c>
      <c r="I64" s="147" t="inlineStr">
        <is>
          <t>Clinics/Outpatient Services</t>
        </is>
      </c>
      <c r="J64" s="148" t="inlineStr">
        <is>
          <t>Clinics/Outpatient Services*; Other Healthcare Technology Systems</t>
        </is>
      </c>
      <c r="K64" s="149" t="inlineStr">
        <is>
          <t>Artificial Intelligence &amp; Machine Learning, HealthTech, Mobile</t>
        </is>
      </c>
      <c r="L64" s="150" t="inlineStr">
        <is>
          <t>Venture Capital-Backed</t>
        </is>
      </c>
      <c r="M64" s="151" t="n">
        <v>79.08</v>
      </c>
      <c r="N64" s="152" t="inlineStr">
        <is>
          <t>Generating Revenue</t>
        </is>
      </c>
      <c r="O64" s="153" t="inlineStr">
        <is>
          <t>Privately Held (backing)</t>
        </is>
      </c>
      <c r="P64" s="154" t="inlineStr">
        <is>
          <t>Venture Capital</t>
        </is>
      </c>
      <c r="Q64" s="155" t="inlineStr">
        <is>
          <t>www.babylonhealth.com</t>
        </is>
      </c>
      <c r="R64" s="156" t="n">
        <v>66.0</v>
      </c>
      <c r="S64" s="157" t="inlineStr">
        <is>
          <t/>
        </is>
      </c>
      <c r="T64" s="158" t="inlineStr">
        <is>
          <t/>
        </is>
      </c>
      <c r="U64" s="159" t="n">
        <v>2013.0</v>
      </c>
      <c r="V64" s="160" t="inlineStr">
        <is>
          <t/>
        </is>
      </c>
      <c r="W64" s="161" t="inlineStr">
        <is>
          <t/>
        </is>
      </c>
      <c r="X64" s="162" t="inlineStr">
        <is>
          <t/>
        </is>
      </c>
      <c r="Y64" s="163" t="inlineStr">
        <is>
          <t/>
        </is>
      </c>
      <c r="Z64" s="164" t="inlineStr">
        <is>
          <t/>
        </is>
      </c>
      <c r="AA64" s="165" t="inlineStr">
        <is>
          <t/>
        </is>
      </c>
      <c r="AB64" s="166" t="inlineStr">
        <is>
          <t/>
        </is>
      </c>
      <c r="AC64" s="167" t="inlineStr">
        <is>
          <t/>
        </is>
      </c>
      <c r="AD64" s="168" t="inlineStr">
        <is>
          <t/>
        </is>
      </c>
      <c r="AE64" s="169" t="inlineStr">
        <is>
          <t>109279-99P</t>
        </is>
      </c>
      <c r="AF64" s="170" t="inlineStr">
        <is>
          <t>Tracey McNeill</t>
        </is>
      </c>
      <c r="AG64" s="171" t="inlineStr">
        <is>
          <t>Chief Executive Officer, Babylon Rwanda</t>
        </is>
      </c>
      <c r="AH64" s="172" t="inlineStr">
        <is>
          <t>tracey@babylonhealth.com</t>
        </is>
      </c>
      <c r="AI64" s="173" t="inlineStr">
        <is>
          <t>+44 (0)20 7100 0762</t>
        </is>
      </c>
      <c r="AJ64" s="174" t="inlineStr">
        <is>
          <t>London, United Kingdom</t>
        </is>
      </c>
      <c r="AK64" s="175" t="inlineStr">
        <is>
          <t>60 Sloane Avenue</t>
        </is>
      </c>
      <c r="AL64" s="176" t="inlineStr">
        <is>
          <t/>
        </is>
      </c>
      <c r="AM64" s="177" t="inlineStr">
        <is>
          <t>London</t>
        </is>
      </c>
      <c r="AN64" s="178" t="inlineStr">
        <is>
          <t>England</t>
        </is>
      </c>
      <c r="AO64" s="179" t="inlineStr">
        <is>
          <t>SW3 3DD</t>
        </is>
      </c>
      <c r="AP64" s="180" t="inlineStr">
        <is>
          <t>United Kingdom</t>
        </is>
      </c>
      <c r="AQ64" s="181" t="inlineStr">
        <is>
          <t>+44 (0)20 7100 0762</t>
        </is>
      </c>
      <c r="AR64" s="182" t="inlineStr">
        <is>
          <t/>
        </is>
      </c>
      <c r="AS64" s="183" t="inlineStr">
        <is>
          <t/>
        </is>
      </c>
      <c r="AT64" s="184" t="inlineStr">
        <is>
          <t>Europe</t>
        </is>
      </c>
      <c r="AU64" s="185" t="inlineStr">
        <is>
          <t>Western Europe</t>
        </is>
      </c>
      <c r="AV64" s="186" t="inlineStr">
        <is>
          <t>The company raised $60 million of Series B venture funding from lead investor Vostok New Ventures on April 25, 2017, valuing the company at more than $200 million. Hoxton Ventures, Kinnevik, Nassef Sawiris, NNS Holdings and other undisclosed investors also participated in this round. The company plans to use the funds to develop the next version of the app: a robot that can help provide faster and more sophisticated medical diagnoses. The company has raised $85 million to date.</t>
        </is>
      </c>
      <c r="AW64" s="187" t="inlineStr">
        <is>
          <t>Adam Balon, Demis Hassabis, Google DeepMind, Hoxton Ventures, JamJar Investments, Jon Wright, Kinnevik, Mustafa Suleyman, Nassef Sawiris, NNS Holdings, Richard Reed, Vostok New Ventures</t>
        </is>
      </c>
      <c r="AX64" s="188" t="n">
        <v>12.0</v>
      </c>
      <c r="AY64" s="189" t="inlineStr">
        <is>
          <t/>
        </is>
      </c>
      <c r="AZ64" s="190" t="inlineStr">
        <is>
          <t/>
        </is>
      </c>
      <c r="BA64" s="191" t="inlineStr">
        <is>
          <t/>
        </is>
      </c>
      <c r="BB64" s="192" t="inlineStr">
        <is>
          <t>Google DeepMind (www.deepmind.com), Hoxton Ventures (www.hoxtonventures.com), JamJar Investments (www.jamjarinvestments.com), Kinnevik (www.kinnevik.com), Vostok New Ventures (www.vostoknewventures.com)</t>
        </is>
      </c>
      <c r="BC64" s="193" t="inlineStr">
        <is>
          <t/>
        </is>
      </c>
      <c r="BD64" s="194" t="inlineStr">
        <is>
          <t/>
        </is>
      </c>
      <c r="BE64" s="195" t="inlineStr">
        <is>
          <t>Founders Keepers (Consulting)</t>
        </is>
      </c>
      <c r="BF64" s="196" t="inlineStr">
        <is>
          <t/>
        </is>
      </c>
      <c r="BG64" s="197" t="inlineStr">
        <is>
          <t/>
        </is>
      </c>
      <c r="BH64" s="198" t="inlineStr">
        <is>
          <t/>
        </is>
      </c>
      <c r="BI64" s="199" t="inlineStr">
        <is>
          <t/>
        </is>
      </c>
      <c r="BJ64" s="200" t="inlineStr">
        <is>
          <t/>
        </is>
      </c>
      <c r="BK64" s="201" t="inlineStr">
        <is>
          <t/>
        </is>
      </c>
      <c r="BL64" s="202" t="inlineStr">
        <is>
          <t>Early Stage VC</t>
        </is>
      </c>
      <c r="BM64" s="203" t="inlineStr">
        <is>
          <t/>
        </is>
      </c>
      <c r="BN64" s="204" t="inlineStr">
        <is>
          <t/>
        </is>
      </c>
      <c r="BO64" s="205" t="inlineStr">
        <is>
          <t>Venture Capital</t>
        </is>
      </c>
      <c r="BP64" s="206" t="inlineStr">
        <is>
          <t/>
        </is>
      </c>
      <c r="BQ64" s="207" t="inlineStr">
        <is>
          <t/>
        </is>
      </c>
      <c r="BR64" s="208" t="inlineStr">
        <is>
          <t/>
        </is>
      </c>
      <c r="BS64" s="209" t="inlineStr">
        <is>
          <t>Completed</t>
        </is>
      </c>
      <c r="BT64" s="210" t="n">
        <v>42850.0</v>
      </c>
      <c r="BU64" s="211" t="n">
        <v>56.08</v>
      </c>
      <c r="BV64" s="212" t="inlineStr">
        <is>
          <t>Actual</t>
        </is>
      </c>
      <c r="BW64" s="213" t="n">
        <v>186.93</v>
      </c>
      <c r="BX64" s="214" t="inlineStr">
        <is>
          <t>Estimated</t>
        </is>
      </c>
      <c r="BY64" s="215" t="inlineStr">
        <is>
          <t>Early Stage VC</t>
        </is>
      </c>
      <c r="BZ64" s="216" t="inlineStr">
        <is>
          <t>Series B</t>
        </is>
      </c>
      <c r="CA64" s="217" t="inlineStr">
        <is>
          <t/>
        </is>
      </c>
      <c r="CB64" s="218" t="inlineStr">
        <is>
          <t>Venture Capital</t>
        </is>
      </c>
      <c r="CC64" s="219" t="inlineStr">
        <is>
          <t/>
        </is>
      </c>
      <c r="CD64" s="220" t="inlineStr">
        <is>
          <t/>
        </is>
      </c>
      <c r="CE64" s="221" t="inlineStr">
        <is>
          <t/>
        </is>
      </c>
      <c r="CF64" s="222" t="inlineStr">
        <is>
          <t>Completed</t>
        </is>
      </c>
      <c r="CG64" s="223" t="inlineStr">
        <is>
          <t>-0,64%</t>
        </is>
      </c>
      <c r="CH64" s="224" t="inlineStr">
        <is>
          <t>8</t>
        </is>
      </c>
      <c r="CI64" s="225" t="inlineStr">
        <is>
          <t>-0,11%</t>
        </is>
      </c>
      <c r="CJ64" s="226" t="inlineStr">
        <is>
          <t>-19,57%</t>
        </is>
      </c>
      <c r="CK64" s="227" t="inlineStr">
        <is>
          <t>-2,05%</t>
        </is>
      </c>
      <c r="CL64" s="228" t="inlineStr">
        <is>
          <t>5</t>
        </is>
      </c>
      <c r="CM64" s="229" t="inlineStr">
        <is>
          <t>0,77%</t>
        </is>
      </c>
      <c r="CN64" s="230" t="inlineStr">
        <is>
          <t>94</t>
        </is>
      </c>
      <c r="CO64" s="231" t="inlineStr">
        <is>
          <t>-4,19%</t>
        </is>
      </c>
      <c r="CP64" s="232" t="inlineStr">
        <is>
          <t>9</t>
        </is>
      </c>
      <c r="CQ64" s="233" t="inlineStr">
        <is>
          <t>0,08%</t>
        </is>
      </c>
      <c r="CR64" s="234" t="inlineStr">
        <is>
          <t>83</t>
        </is>
      </c>
      <c r="CS64" s="235" t="inlineStr">
        <is>
          <t>0,58%</t>
        </is>
      </c>
      <c r="CT64" s="236" t="inlineStr">
        <is>
          <t>89</t>
        </is>
      </c>
      <c r="CU64" s="237" t="inlineStr">
        <is>
          <t>0,95%</t>
        </is>
      </c>
      <c r="CV64" s="238" t="inlineStr">
        <is>
          <t>97</t>
        </is>
      </c>
      <c r="CW64" s="239" t="inlineStr">
        <is>
          <t>28,32x</t>
        </is>
      </c>
      <c r="CX64" s="240" t="inlineStr">
        <is>
          <t>94</t>
        </is>
      </c>
      <c r="CY64" s="241" t="inlineStr">
        <is>
          <t>0,52x</t>
        </is>
      </c>
      <c r="CZ64" s="242" t="inlineStr">
        <is>
          <t>1,85%</t>
        </is>
      </c>
      <c r="DA64" s="243" t="inlineStr">
        <is>
          <t>21,94x</t>
        </is>
      </c>
      <c r="DB64" s="244" t="inlineStr">
        <is>
          <t>93</t>
        </is>
      </c>
      <c r="DC64" s="245" t="inlineStr">
        <is>
          <t>34,70x</t>
        </is>
      </c>
      <c r="DD64" s="246" t="inlineStr">
        <is>
          <t>93</t>
        </is>
      </c>
      <c r="DE64" s="247" t="inlineStr">
        <is>
          <t>18,44x</t>
        </is>
      </c>
      <c r="DF64" s="248" t="inlineStr">
        <is>
          <t>88</t>
        </is>
      </c>
      <c r="DG64" s="249" t="inlineStr">
        <is>
          <t>25,44x</t>
        </is>
      </c>
      <c r="DH64" s="250" t="inlineStr">
        <is>
          <t>94</t>
        </is>
      </c>
      <c r="DI64" s="251" t="inlineStr">
        <is>
          <t>57,75x</t>
        </is>
      </c>
      <c r="DJ64" s="252" t="inlineStr">
        <is>
          <t>93</t>
        </is>
      </c>
      <c r="DK64" s="253" t="inlineStr">
        <is>
          <t>11,65x</t>
        </is>
      </c>
      <c r="DL64" s="254" t="inlineStr">
        <is>
          <t>88</t>
        </is>
      </c>
      <c r="DM64" s="255" t="inlineStr">
        <is>
          <t>11.740</t>
        </is>
      </c>
      <c r="DN64" s="256" t="inlineStr">
        <is>
          <t>-1.208</t>
        </is>
      </c>
      <c r="DO64" s="257" t="inlineStr">
        <is>
          <t>-9,33%</t>
        </is>
      </c>
      <c r="DP64" s="258" t="inlineStr">
        <is>
          <t>46.132</t>
        </is>
      </c>
      <c r="DQ64" s="259" t="inlineStr">
        <is>
          <t>76</t>
        </is>
      </c>
      <c r="DR64" s="260" t="inlineStr">
        <is>
          <t>0,17%</t>
        </is>
      </c>
      <c r="DS64" s="261" t="inlineStr">
        <is>
          <t>918</t>
        </is>
      </c>
      <c r="DT64" s="262" t="inlineStr">
        <is>
          <t>-4</t>
        </is>
      </c>
      <c r="DU64" s="263" t="inlineStr">
        <is>
          <t>-0,43%</t>
        </is>
      </c>
      <c r="DV64" s="264" t="inlineStr">
        <is>
          <t>3.985</t>
        </is>
      </c>
      <c r="DW64" s="265" t="inlineStr">
        <is>
          <t>20</t>
        </is>
      </c>
      <c r="DX64" s="266" t="inlineStr">
        <is>
          <t>0,50%</t>
        </is>
      </c>
      <c r="DY64" s="267" t="inlineStr">
        <is>
          <t>PitchBook Research</t>
        </is>
      </c>
      <c r="DZ64" s="786">
        <f>HYPERLINK("https://my.pitchbook.com?c=113444-02", "View company online")</f>
      </c>
    </row>
    <row r="65">
      <c r="A65" s="9" t="inlineStr">
        <is>
          <t>87979-15</t>
        </is>
      </c>
      <c r="B65" s="10" t="inlineStr">
        <is>
          <t>Beamery</t>
        </is>
      </c>
      <c r="C65" s="11" t="inlineStr">
        <is>
          <t>Seed.Jobs</t>
        </is>
      </c>
      <c r="D65" s="12" t="inlineStr">
        <is>
          <t/>
        </is>
      </c>
      <c r="E65" s="13" t="inlineStr">
        <is>
          <t>87979-15</t>
        </is>
      </c>
      <c r="F65" s="14" t="inlineStr">
        <is>
          <t>Developer of a candidate relationship software designed to power modern recruiting teams. The company's candidate relationship software uses machine learning algorithms, predictive marketing and data-science to determine which prospects are most interested in working for a given employer, enabling recruiters or employers to identify, get connected and nurture relationships with prospective hires, long before they apply for a job.</t>
        </is>
      </c>
      <c r="G65" s="15" t="inlineStr">
        <is>
          <t>Business Products and Services (B2B)</t>
        </is>
      </c>
      <c r="H65" s="16" t="inlineStr">
        <is>
          <t>Commercial Services</t>
        </is>
      </c>
      <c r="I65" s="17" t="inlineStr">
        <is>
          <t>Human Capital Services</t>
        </is>
      </c>
      <c r="J65" s="18" t="inlineStr">
        <is>
          <t>Human Capital Services*; Application Software; Business/Productivity Software</t>
        </is>
      </c>
      <c r="K65" s="19" t="inlineStr">
        <is>
          <t>Artificial Intelligence &amp; Machine Learning, Big Data</t>
        </is>
      </c>
      <c r="L65" s="20" t="inlineStr">
        <is>
          <t>Venture Capital-Backed</t>
        </is>
      </c>
      <c r="M65" s="21" t="n">
        <v>6.45</v>
      </c>
      <c r="N65" s="22" t="inlineStr">
        <is>
          <t>Generating Revenue</t>
        </is>
      </c>
      <c r="O65" s="23" t="inlineStr">
        <is>
          <t>Privately Held (backing)</t>
        </is>
      </c>
      <c r="P65" s="24" t="inlineStr">
        <is>
          <t>Venture Capital</t>
        </is>
      </c>
      <c r="Q65" s="25" t="inlineStr">
        <is>
          <t>www.beamery.com</t>
        </is>
      </c>
      <c r="R65" s="26" t="n">
        <v>25.0</v>
      </c>
      <c r="S65" s="27" t="inlineStr">
        <is>
          <t/>
        </is>
      </c>
      <c r="T65" s="28" t="inlineStr">
        <is>
          <t/>
        </is>
      </c>
      <c r="U65" s="29" t="n">
        <v>2013.0</v>
      </c>
      <c r="V65" s="30" t="inlineStr">
        <is>
          <t/>
        </is>
      </c>
      <c r="W65" s="31" t="inlineStr">
        <is>
          <t/>
        </is>
      </c>
      <c r="X65" s="32" t="inlineStr">
        <is>
          <t/>
        </is>
      </c>
      <c r="Y65" s="33" t="inlineStr">
        <is>
          <t/>
        </is>
      </c>
      <c r="Z65" s="34" t="inlineStr">
        <is>
          <t/>
        </is>
      </c>
      <c r="AA65" s="35" t="inlineStr">
        <is>
          <t/>
        </is>
      </c>
      <c r="AB65" s="36" t="inlineStr">
        <is>
          <t/>
        </is>
      </c>
      <c r="AC65" s="37" t="inlineStr">
        <is>
          <t/>
        </is>
      </c>
      <c r="AD65" s="38" t="inlineStr">
        <is>
          <t/>
        </is>
      </c>
      <c r="AE65" s="39" t="inlineStr">
        <is>
          <t>79767-10P</t>
        </is>
      </c>
      <c r="AF65" s="40" t="inlineStr">
        <is>
          <t>Abakar Saidov</t>
        </is>
      </c>
      <c r="AG65" s="41" t="inlineStr">
        <is>
          <t>Chief Executive Officer, Board Member &amp; Co-Founder</t>
        </is>
      </c>
      <c r="AH65" s="42" t="inlineStr">
        <is>
          <t>abakar@beamery.com</t>
        </is>
      </c>
      <c r="AI65" s="43" t="inlineStr">
        <is>
          <t>+44 (0)20 3289 3837</t>
        </is>
      </c>
      <c r="AJ65" s="44" t="inlineStr">
        <is>
          <t>London, United Kingdom</t>
        </is>
      </c>
      <c r="AK65" s="45" t="inlineStr">
        <is>
          <t>41 Corsham Street</t>
        </is>
      </c>
      <c r="AL65" s="46" t="inlineStr">
        <is>
          <t/>
        </is>
      </c>
      <c r="AM65" s="47" t="inlineStr">
        <is>
          <t>London</t>
        </is>
      </c>
      <c r="AN65" s="48" t="inlineStr">
        <is>
          <t>England</t>
        </is>
      </c>
      <c r="AO65" s="49" t="inlineStr">
        <is>
          <t>N1 6DR</t>
        </is>
      </c>
      <c r="AP65" s="50" t="inlineStr">
        <is>
          <t>United Kingdom</t>
        </is>
      </c>
      <c r="AQ65" s="51" t="inlineStr">
        <is>
          <t>+44 (0)20 3289 3837</t>
        </is>
      </c>
      <c r="AR65" s="52" t="inlineStr">
        <is>
          <t/>
        </is>
      </c>
      <c r="AS65" s="53" t="inlineStr">
        <is>
          <t>info@beamery.com</t>
        </is>
      </c>
      <c r="AT65" s="54" t="inlineStr">
        <is>
          <t>Europe</t>
        </is>
      </c>
      <c r="AU65" s="55" t="inlineStr">
        <is>
          <t>Western Europe</t>
        </is>
      </c>
      <c r="AV65" s="56" t="inlineStr">
        <is>
          <t>The company rased $5 million of Series A venture funding in a deal led by Index Ventures on April 11, 2017. GP Ventures, Edenred Capital Partners and LocalGlobe also participated in this round. The company will use the funds to double its headcount and open a new sales and marketing-focused office in the Bay Area, while keeping its core product dev and engineering team in London. Previously, the company raised $2 million of seed funding from Edenred Capital Partners, GP Ventures and Grupa Pracuj on June 16, 2016. The company will use the capital for further product development and geographic expansion, especially in the U.S.</t>
        </is>
      </c>
      <c r="AW65" s="57" t="inlineStr">
        <is>
          <t>AngelPad, Edenred Capital Partners, GP Ventures, Grupa Pracuj, Index Ventures (UK), LocalGlobe, Oxford Accelerator, Thomas Korte</t>
        </is>
      </c>
      <c r="AX65" s="58" t="n">
        <v>8.0</v>
      </c>
      <c r="AY65" s="59" t="inlineStr">
        <is>
          <t/>
        </is>
      </c>
      <c r="AZ65" s="60" t="inlineStr">
        <is>
          <t/>
        </is>
      </c>
      <c r="BA65" s="61" t="inlineStr">
        <is>
          <t/>
        </is>
      </c>
      <c r="BB65" s="62" t="inlineStr">
        <is>
          <t>AngelPad (www.angelpad.org), Edenred Capital Partners (www.edenredcapitalpartners.com), GP Ventures (gp-ventures.com), Grupa Pracuj (www.grupapracuj.pl), Index Ventures (UK) (www.indexventures.com), LocalGlobe (www.localglobe.vc), Oxford Accelerator (www.oxfordaccelerator.com), Thomas Korte (www.thomaskorte.com)</t>
        </is>
      </c>
      <c r="BC65" s="63" t="inlineStr">
        <is>
          <t/>
        </is>
      </c>
      <c r="BD65" s="64" t="inlineStr">
        <is>
          <t/>
        </is>
      </c>
      <c r="BE65" s="65" t="inlineStr">
        <is>
          <t>Wilson Sonsini Goodrich &amp; Rosati (Legal Advisor)</t>
        </is>
      </c>
      <c r="BF65" s="66" t="inlineStr">
        <is>
          <t>Wilson Sonsini Goodrich &amp; Rosati (Legal Advisor), Seedmatch (Lead Manager or Arranger)</t>
        </is>
      </c>
      <c r="BG65" s="67" t="n">
        <v>41746.0</v>
      </c>
      <c r="BH65" s="68" t="inlineStr">
        <is>
          <t/>
        </is>
      </c>
      <c r="BI65" s="69" t="inlineStr">
        <is>
          <t/>
        </is>
      </c>
      <c r="BJ65" s="70" t="inlineStr">
        <is>
          <t/>
        </is>
      </c>
      <c r="BK65" s="71" t="inlineStr">
        <is>
          <t/>
        </is>
      </c>
      <c r="BL65" s="72" t="inlineStr">
        <is>
          <t>Accelerator/Incubator</t>
        </is>
      </c>
      <c r="BM65" s="73" t="inlineStr">
        <is>
          <t/>
        </is>
      </c>
      <c r="BN65" s="74" t="inlineStr">
        <is>
          <t/>
        </is>
      </c>
      <c r="BO65" s="75" t="inlineStr">
        <is>
          <t>Other</t>
        </is>
      </c>
      <c r="BP65" s="76" t="inlineStr">
        <is>
          <t/>
        </is>
      </c>
      <c r="BQ65" s="77" t="inlineStr">
        <is>
          <t/>
        </is>
      </c>
      <c r="BR65" s="78" t="inlineStr">
        <is>
          <t/>
        </is>
      </c>
      <c r="BS65" s="79" t="inlineStr">
        <is>
          <t>Completed</t>
        </is>
      </c>
      <c r="BT65" s="80" t="n">
        <v>42836.0</v>
      </c>
      <c r="BU65" s="81" t="n">
        <v>4.67</v>
      </c>
      <c r="BV65" s="82" t="inlineStr">
        <is>
          <t>Actual</t>
        </is>
      </c>
      <c r="BW65" s="83" t="inlineStr">
        <is>
          <t/>
        </is>
      </c>
      <c r="BX65" s="84" t="inlineStr">
        <is>
          <t/>
        </is>
      </c>
      <c r="BY65" s="85" t="inlineStr">
        <is>
          <t>Early Stage VC</t>
        </is>
      </c>
      <c r="BZ65" s="86" t="inlineStr">
        <is>
          <t>Series A</t>
        </is>
      </c>
      <c r="CA65" s="87" t="inlineStr">
        <is>
          <t/>
        </is>
      </c>
      <c r="CB65" s="88" t="inlineStr">
        <is>
          <t>Venture Capital</t>
        </is>
      </c>
      <c r="CC65" s="89" t="inlineStr">
        <is>
          <t/>
        </is>
      </c>
      <c r="CD65" s="90" t="inlineStr">
        <is>
          <t/>
        </is>
      </c>
      <c r="CE65" s="91" t="inlineStr">
        <is>
          <t/>
        </is>
      </c>
      <c r="CF65" s="92" t="inlineStr">
        <is>
          <t>Completed</t>
        </is>
      </c>
      <c r="CG65" s="93" t="inlineStr">
        <is>
          <t>0,25%</t>
        </is>
      </c>
      <c r="CH65" s="94" t="inlineStr">
        <is>
          <t>79</t>
        </is>
      </c>
      <c r="CI65" s="95" t="inlineStr">
        <is>
          <t>-0,03%</t>
        </is>
      </c>
      <c r="CJ65" s="96" t="inlineStr">
        <is>
          <t>-11,91%</t>
        </is>
      </c>
      <c r="CK65" s="97" t="inlineStr">
        <is>
          <t>0,00%</t>
        </is>
      </c>
      <c r="CL65" s="98" t="inlineStr">
        <is>
          <t>18</t>
        </is>
      </c>
      <c r="CM65" s="99" t="inlineStr">
        <is>
          <t>0,50%</t>
        </is>
      </c>
      <c r="CN65" s="100" t="inlineStr">
        <is>
          <t>90</t>
        </is>
      </c>
      <c r="CO65" s="101" t="inlineStr">
        <is>
          <t/>
        </is>
      </c>
      <c r="CP65" s="102" t="inlineStr">
        <is>
          <t/>
        </is>
      </c>
      <c r="CQ65" s="103" t="inlineStr">
        <is>
          <t>0,00%</t>
        </is>
      </c>
      <c r="CR65" s="104" t="inlineStr">
        <is>
          <t>13</t>
        </is>
      </c>
      <c r="CS65" s="105" t="inlineStr">
        <is>
          <t>0,35%</t>
        </is>
      </c>
      <c r="CT65" s="106" t="inlineStr">
        <is>
          <t>81</t>
        </is>
      </c>
      <c r="CU65" s="107" t="inlineStr">
        <is>
          <t>0,65%</t>
        </is>
      </c>
      <c r="CV65" s="108" t="inlineStr">
        <is>
          <t>94</t>
        </is>
      </c>
      <c r="CW65" s="109" t="inlineStr">
        <is>
          <t>1,30x</t>
        </is>
      </c>
      <c r="CX65" s="110" t="inlineStr">
        <is>
          <t>55</t>
        </is>
      </c>
      <c r="CY65" s="111" t="inlineStr">
        <is>
          <t>0,03x</t>
        </is>
      </c>
      <c r="CZ65" s="112" t="inlineStr">
        <is>
          <t>2,30%</t>
        </is>
      </c>
      <c r="DA65" s="113" t="inlineStr">
        <is>
          <t>0,61x</t>
        </is>
      </c>
      <c r="DB65" s="114" t="inlineStr">
        <is>
          <t>40</t>
        </is>
      </c>
      <c r="DC65" s="115" t="inlineStr">
        <is>
          <t>1,99x</t>
        </is>
      </c>
      <c r="DD65" s="116" t="inlineStr">
        <is>
          <t>61</t>
        </is>
      </c>
      <c r="DE65" s="117" t="inlineStr">
        <is>
          <t/>
        </is>
      </c>
      <c r="DF65" s="118" t="inlineStr">
        <is>
          <t/>
        </is>
      </c>
      <c r="DG65" s="119" t="inlineStr">
        <is>
          <t>0,61x</t>
        </is>
      </c>
      <c r="DH65" s="120" t="inlineStr">
        <is>
          <t>40</t>
        </is>
      </c>
      <c r="DI65" s="121" t="inlineStr">
        <is>
          <t>0,23x</t>
        </is>
      </c>
      <c r="DJ65" s="122" t="inlineStr">
        <is>
          <t>26</t>
        </is>
      </c>
      <c r="DK65" s="123" t="inlineStr">
        <is>
          <t>3,75x</t>
        </is>
      </c>
      <c r="DL65" s="124" t="inlineStr">
        <is>
          <t>74</t>
        </is>
      </c>
      <c r="DM65" s="125" t="inlineStr">
        <is>
          <t/>
        </is>
      </c>
      <c r="DN65" s="126" t="inlineStr">
        <is>
          <t/>
        </is>
      </c>
      <c r="DO65" s="127" t="inlineStr">
        <is>
          <t/>
        </is>
      </c>
      <c r="DP65" s="128" t="inlineStr">
        <is>
          <t>181</t>
        </is>
      </c>
      <c r="DQ65" s="129" t="inlineStr">
        <is>
          <t>0</t>
        </is>
      </c>
      <c r="DR65" s="130" t="inlineStr">
        <is>
          <t>0,00%</t>
        </is>
      </c>
      <c r="DS65" s="131" t="inlineStr">
        <is>
          <t>22</t>
        </is>
      </c>
      <c r="DT65" s="132" t="inlineStr">
        <is>
          <t>0</t>
        </is>
      </c>
      <c r="DU65" s="133" t="inlineStr">
        <is>
          <t>0,00%</t>
        </is>
      </c>
      <c r="DV65" s="134" t="inlineStr">
        <is>
          <t>1.282</t>
        </is>
      </c>
      <c r="DW65" s="135" t="inlineStr">
        <is>
          <t>1</t>
        </is>
      </c>
      <c r="DX65" s="136" t="inlineStr">
        <is>
          <t>0,08%</t>
        </is>
      </c>
      <c r="DY65" s="137" t="inlineStr">
        <is>
          <t>PitchBook Research</t>
        </is>
      </c>
      <c r="DZ65" s="785">
        <f>HYPERLINK("https://my.pitchbook.com?c=87979-15", "View company online")</f>
      </c>
    </row>
    <row r="66">
      <c r="A66" s="139" t="inlineStr">
        <is>
          <t>115059-70</t>
        </is>
      </c>
      <c r="B66" s="140" t="inlineStr">
        <is>
          <t>Better All Round</t>
        </is>
      </c>
      <c r="C66" s="141" t="inlineStr">
        <is>
          <t/>
        </is>
      </c>
      <c r="D66" s="142" t="inlineStr">
        <is>
          <t>BAR, Ora</t>
        </is>
      </c>
      <c r="E66" s="143" t="inlineStr">
        <is>
          <t>115059-70</t>
        </is>
      </c>
      <c r="F66" s="144" t="inlineStr">
        <is>
          <t>Provider of kitchen accessories. The company engages in the design and production of round disposable kitchen towels known as Ora.</t>
        </is>
      </c>
      <c r="G66" s="145" t="inlineStr">
        <is>
          <t>Consumer Products and Services (B2C)</t>
        </is>
      </c>
      <c r="H66" s="146" t="inlineStr">
        <is>
          <t>Consumer Non-Durables</t>
        </is>
      </c>
      <c r="I66" s="147" t="inlineStr">
        <is>
          <t>Household Products</t>
        </is>
      </c>
      <c r="J66" s="148" t="inlineStr">
        <is>
          <t>Household Products*</t>
        </is>
      </c>
      <c r="K66" s="149" t="inlineStr">
        <is>
          <t/>
        </is>
      </c>
      <c r="L66" s="150" t="inlineStr">
        <is>
          <t>Venture Capital-Backed</t>
        </is>
      </c>
      <c r="M66" s="151" t="n">
        <v>15.73</v>
      </c>
      <c r="N66" s="152" t="inlineStr">
        <is>
          <t>Startup</t>
        </is>
      </c>
      <c r="O66" s="153" t="inlineStr">
        <is>
          <t>Privately Held (backing)</t>
        </is>
      </c>
      <c r="P66" s="154" t="inlineStr">
        <is>
          <t>Venture Capital</t>
        </is>
      </c>
      <c r="Q66" s="155" t="inlineStr">
        <is>
          <t>www.ora-home.com</t>
        </is>
      </c>
      <c r="R66" s="156" t="n">
        <v>7.0</v>
      </c>
      <c r="S66" s="157" t="inlineStr">
        <is>
          <t/>
        </is>
      </c>
      <c r="T66" s="158" t="inlineStr">
        <is>
          <t/>
        </is>
      </c>
      <c r="U66" s="159" t="n">
        <v>2012.0</v>
      </c>
      <c r="V66" s="160" t="inlineStr">
        <is>
          <t/>
        </is>
      </c>
      <c r="W66" s="161" t="inlineStr">
        <is>
          <t/>
        </is>
      </c>
      <c r="X66" s="162" t="inlineStr">
        <is>
          <t/>
        </is>
      </c>
      <c r="Y66" s="163" t="inlineStr">
        <is>
          <t/>
        </is>
      </c>
      <c r="Z66" s="164" t="inlineStr">
        <is>
          <t/>
        </is>
      </c>
      <c r="AA66" s="165" t="inlineStr">
        <is>
          <t/>
        </is>
      </c>
      <c r="AB66" s="166" t="inlineStr">
        <is>
          <t/>
        </is>
      </c>
      <c r="AC66" s="167" t="inlineStr">
        <is>
          <t/>
        </is>
      </c>
      <c r="AD66" s="168" t="inlineStr">
        <is>
          <t/>
        </is>
      </c>
      <c r="AE66" s="169" t="inlineStr">
        <is>
          <t>102569-86P</t>
        </is>
      </c>
      <c r="AF66" s="170" t="inlineStr">
        <is>
          <t>Oday Abbosh</t>
        </is>
      </c>
      <c r="AG66" s="171" t="inlineStr">
        <is>
          <t>Founder, Board Member &amp; Chief Executive Officer</t>
        </is>
      </c>
      <c r="AH66" s="172" t="inlineStr">
        <is>
          <t>oday@betterallround.com</t>
        </is>
      </c>
      <c r="AI66" s="173" t="inlineStr">
        <is>
          <t>+44 (0)80 0112 3010</t>
        </is>
      </c>
      <c r="AJ66" s="174" t="inlineStr">
        <is>
          <t>London, United Kingdom</t>
        </is>
      </c>
      <c r="AK66" s="175" t="inlineStr">
        <is>
          <t>Post Office Box 71024</t>
        </is>
      </c>
      <c r="AL66" s="176" t="inlineStr">
        <is>
          <t/>
        </is>
      </c>
      <c r="AM66" s="177" t="inlineStr">
        <is>
          <t>London</t>
        </is>
      </c>
      <c r="AN66" s="178" t="inlineStr">
        <is>
          <t>England</t>
        </is>
      </c>
      <c r="AO66" s="179" t="inlineStr">
        <is>
          <t>W4 9GL</t>
        </is>
      </c>
      <c r="AP66" s="180" t="inlineStr">
        <is>
          <t>United Kingdom</t>
        </is>
      </c>
      <c r="AQ66" s="181" t="inlineStr">
        <is>
          <t>+44 (0)80 0112 3010</t>
        </is>
      </c>
      <c r="AR66" s="182" t="inlineStr">
        <is>
          <t/>
        </is>
      </c>
      <c r="AS66" s="183" t="inlineStr">
        <is>
          <t>info@ora-home.com</t>
        </is>
      </c>
      <c r="AT66" s="184" t="inlineStr">
        <is>
          <t>Europe</t>
        </is>
      </c>
      <c r="AU66" s="185" t="inlineStr">
        <is>
          <t>Western Europe</t>
        </is>
      </c>
      <c r="AV66" s="186" t="inlineStr">
        <is>
          <t>The company raised GBP 4.3 million of venture funding from JamJar Investments and other undisclosed investors on November 1, 2014, putting the company's pre-money valuation at GBP 25 million.</t>
        </is>
      </c>
      <c r="AW66" s="187" t="inlineStr">
        <is>
          <t>JamJar Investments</t>
        </is>
      </c>
      <c r="AX66" s="188" t="n">
        <v>1.0</v>
      </c>
      <c r="AY66" s="189" t="inlineStr">
        <is>
          <t/>
        </is>
      </c>
      <c r="AZ66" s="190" t="inlineStr">
        <is>
          <t/>
        </is>
      </c>
      <c r="BA66" s="191" t="inlineStr">
        <is>
          <t/>
        </is>
      </c>
      <c r="BB66" s="192" t="inlineStr">
        <is>
          <t>JamJar Investments (www.jamjarinvestments.com)</t>
        </is>
      </c>
      <c r="BC66" s="193" t="inlineStr">
        <is>
          <t/>
        </is>
      </c>
      <c r="BD66" s="194" t="inlineStr">
        <is>
          <t/>
        </is>
      </c>
      <c r="BE66" s="195" t="inlineStr">
        <is>
          <t/>
        </is>
      </c>
      <c r="BF66" s="196" t="inlineStr">
        <is>
          <t/>
        </is>
      </c>
      <c r="BG66" s="197" t="n">
        <v>41170.0</v>
      </c>
      <c r="BH66" s="198" t="n">
        <v>0.75</v>
      </c>
      <c r="BI66" s="199" t="inlineStr">
        <is>
          <t>Actual</t>
        </is>
      </c>
      <c r="BJ66" s="200" t="n">
        <v>7.08</v>
      </c>
      <c r="BK66" s="201" t="inlineStr">
        <is>
          <t>Actual</t>
        </is>
      </c>
      <c r="BL66" s="202" t="inlineStr">
        <is>
          <t>Early Stage VC</t>
        </is>
      </c>
      <c r="BM66" s="203" t="inlineStr">
        <is>
          <t/>
        </is>
      </c>
      <c r="BN66" s="204" t="inlineStr">
        <is>
          <t/>
        </is>
      </c>
      <c r="BO66" s="205" t="inlineStr">
        <is>
          <t>Venture Capital</t>
        </is>
      </c>
      <c r="BP66" s="206" t="inlineStr">
        <is>
          <t/>
        </is>
      </c>
      <c r="BQ66" s="207" t="inlineStr">
        <is>
          <t/>
        </is>
      </c>
      <c r="BR66" s="208" t="inlineStr">
        <is>
          <t/>
        </is>
      </c>
      <c r="BS66" s="209" t="inlineStr">
        <is>
          <t>Completed</t>
        </is>
      </c>
      <c r="BT66" s="210" t="n">
        <v>41944.0</v>
      </c>
      <c r="BU66" s="211" t="n">
        <v>5.44</v>
      </c>
      <c r="BV66" s="212" t="inlineStr">
        <is>
          <t>Actual</t>
        </is>
      </c>
      <c r="BW66" s="213" t="n">
        <v>37.07</v>
      </c>
      <c r="BX66" s="214" t="inlineStr">
        <is>
          <t>Actual</t>
        </is>
      </c>
      <c r="BY66" s="215" t="inlineStr">
        <is>
          <t>Early Stage VC</t>
        </is>
      </c>
      <c r="BZ66" s="216" t="inlineStr">
        <is>
          <t/>
        </is>
      </c>
      <c r="CA66" s="217" t="inlineStr">
        <is>
          <t/>
        </is>
      </c>
      <c r="CB66" s="218" t="inlineStr">
        <is>
          <t>Venture Capital</t>
        </is>
      </c>
      <c r="CC66" s="219" t="inlineStr">
        <is>
          <t/>
        </is>
      </c>
      <c r="CD66" s="220" t="inlineStr">
        <is>
          <t/>
        </is>
      </c>
      <c r="CE66" s="221" t="inlineStr">
        <is>
          <t/>
        </is>
      </c>
      <c r="CF66" s="222" t="inlineStr">
        <is>
          <t>Completed</t>
        </is>
      </c>
      <c r="CG66" s="223" t="inlineStr">
        <is>
          <t>0,44%</t>
        </is>
      </c>
      <c r="CH66" s="224" t="inlineStr">
        <is>
          <t>83</t>
        </is>
      </c>
      <c r="CI66" s="225" t="inlineStr">
        <is>
          <t>-0,18%</t>
        </is>
      </c>
      <c r="CJ66" s="226" t="inlineStr">
        <is>
          <t>-28,46%</t>
        </is>
      </c>
      <c r="CK66" s="227" t="inlineStr">
        <is>
          <t>0,00%</t>
        </is>
      </c>
      <c r="CL66" s="228" t="inlineStr">
        <is>
          <t>18</t>
        </is>
      </c>
      <c r="CM66" s="229" t="inlineStr">
        <is>
          <t>0,89%</t>
        </is>
      </c>
      <c r="CN66" s="230" t="inlineStr">
        <is>
          <t>95</t>
        </is>
      </c>
      <c r="CO66" s="231" t="inlineStr">
        <is>
          <t>0,00%</t>
        </is>
      </c>
      <c r="CP66" s="232" t="inlineStr">
        <is>
          <t>26</t>
        </is>
      </c>
      <c r="CQ66" s="233" t="inlineStr">
        <is>
          <t>0,00%</t>
        </is>
      </c>
      <c r="CR66" s="234" t="inlineStr">
        <is>
          <t>13</t>
        </is>
      </c>
      <c r="CS66" s="235" t="inlineStr">
        <is>
          <t>0,47%</t>
        </is>
      </c>
      <c r="CT66" s="236" t="inlineStr">
        <is>
          <t>86</t>
        </is>
      </c>
      <c r="CU66" s="237" t="inlineStr">
        <is>
          <t>1,31%</t>
        </is>
      </c>
      <c r="CV66" s="238" t="inlineStr">
        <is>
          <t>98</t>
        </is>
      </c>
      <c r="CW66" s="239" t="inlineStr">
        <is>
          <t>12,46x</t>
        </is>
      </c>
      <c r="CX66" s="240" t="inlineStr">
        <is>
          <t>89</t>
        </is>
      </c>
      <c r="CY66" s="241" t="inlineStr">
        <is>
          <t>0,31x</t>
        </is>
      </c>
      <c r="CZ66" s="242" t="inlineStr">
        <is>
          <t>2,55%</t>
        </is>
      </c>
      <c r="DA66" s="243" t="inlineStr">
        <is>
          <t>0,50x</t>
        </is>
      </c>
      <c r="DB66" s="244" t="inlineStr">
        <is>
          <t>36</t>
        </is>
      </c>
      <c r="DC66" s="245" t="inlineStr">
        <is>
          <t>24,43x</t>
        </is>
      </c>
      <c r="DD66" s="246" t="inlineStr">
        <is>
          <t>91</t>
        </is>
      </c>
      <c r="DE66" s="247" t="inlineStr">
        <is>
          <t>0,22x</t>
        </is>
      </c>
      <c r="DF66" s="248" t="inlineStr">
        <is>
          <t>20</t>
        </is>
      </c>
      <c r="DG66" s="249" t="inlineStr">
        <is>
          <t>0,78x</t>
        </is>
      </c>
      <c r="DH66" s="250" t="inlineStr">
        <is>
          <t>45</t>
        </is>
      </c>
      <c r="DI66" s="251" t="inlineStr">
        <is>
          <t>5,85x</t>
        </is>
      </c>
      <c r="DJ66" s="252" t="inlineStr">
        <is>
          <t>77</t>
        </is>
      </c>
      <c r="DK66" s="253" t="inlineStr">
        <is>
          <t>43,01x</t>
        </is>
      </c>
      <c r="DL66" s="254" t="inlineStr">
        <is>
          <t>96</t>
        </is>
      </c>
      <c r="DM66" s="255" t="inlineStr">
        <is>
          <t>132</t>
        </is>
      </c>
      <c r="DN66" s="256" t="inlineStr">
        <is>
          <t>11</t>
        </is>
      </c>
      <c r="DO66" s="257" t="inlineStr">
        <is>
          <t>9,09%</t>
        </is>
      </c>
      <c r="DP66" s="258" t="inlineStr">
        <is>
          <t>4.671</t>
        </is>
      </c>
      <c r="DQ66" s="259" t="inlineStr">
        <is>
          <t>-2</t>
        </is>
      </c>
      <c r="DR66" s="260" t="inlineStr">
        <is>
          <t>-0,04%</t>
        </is>
      </c>
      <c r="DS66" s="261" t="inlineStr">
        <is>
          <t>27</t>
        </is>
      </c>
      <c r="DT66" s="262" t="inlineStr">
        <is>
          <t>0</t>
        </is>
      </c>
      <c r="DU66" s="263" t="inlineStr">
        <is>
          <t>0,00%</t>
        </is>
      </c>
      <c r="DV66" s="264" t="inlineStr">
        <is>
          <t>14.720</t>
        </is>
      </c>
      <c r="DW66" s="265" t="inlineStr">
        <is>
          <t>132</t>
        </is>
      </c>
      <c r="DX66" s="266" t="inlineStr">
        <is>
          <t>0,90%</t>
        </is>
      </c>
      <c r="DY66" s="267" t="inlineStr">
        <is>
          <t>PitchBook Research</t>
        </is>
      </c>
      <c r="DZ66" s="786">
        <f>HYPERLINK("https://my.pitchbook.com?c=115059-70", "View company online")</f>
      </c>
    </row>
    <row r="67">
      <c r="A67" s="9" t="inlineStr">
        <is>
          <t>109293-13</t>
        </is>
      </c>
      <c r="B67" s="10" t="inlineStr">
        <is>
          <t>Bexio</t>
        </is>
      </c>
      <c r="C67" s="11" t="inlineStr">
        <is>
          <t>easySYS</t>
        </is>
      </c>
      <c r="D67" s="12" t="inlineStr">
        <is>
          <t/>
        </is>
      </c>
      <c r="E67" s="13" t="inlineStr">
        <is>
          <t>109293-13</t>
        </is>
      </c>
      <c r="F67" s="14" t="inlineStr">
        <is>
          <t>Developer of cloud-based business management platform designed to simplify accounting for small businesses. The company's SaaS platform utilizes a standardized interface that streamlines customer acquisition, accounting processes, enabling businesses to connect with their trustees, banks and service providers.</t>
        </is>
      </c>
      <c r="G67" s="15" t="inlineStr">
        <is>
          <t>Information Technology</t>
        </is>
      </c>
      <c r="H67" s="16" t="inlineStr">
        <is>
          <t>Software</t>
        </is>
      </c>
      <c r="I67" s="17" t="inlineStr">
        <is>
          <t>Financial Software</t>
        </is>
      </c>
      <c r="J67" s="18" t="inlineStr">
        <is>
          <t>Financial Software*; Business/Productivity Software; Social/Platform Software</t>
        </is>
      </c>
      <c r="K67" s="19" t="inlineStr">
        <is>
          <t>FinTech, Mobile, SaaS</t>
        </is>
      </c>
      <c r="L67" s="20" t="inlineStr">
        <is>
          <t>Venture Capital-Backed</t>
        </is>
      </c>
      <c r="M67" s="21" t="n">
        <v>11.28</v>
      </c>
      <c r="N67" s="22" t="inlineStr">
        <is>
          <t>Generating Revenue</t>
        </is>
      </c>
      <c r="O67" s="23" t="inlineStr">
        <is>
          <t>Privately Held (backing)</t>
        </is>
      </c>
      <c r="P67" s="24" t="inlineStr">
        <is>
          <t>Venture Capital</t>
        </is>
      </c>
      <c r="Q67" s="25" t="inlineStr">
        <is>
          <t>www.bexio.com</t>
        </is>
      </c>
      <c r="R67" s="26" t="n">
        <v>50.0</v>
      </c>
      <c r="S67" s="27" t="inlineStr">
        <is>
          <t/>
        </is>
      </c>
      <c r="T67" s="28" t="inlineStr">
        <is>
          <t/>
        </is>
      </c>
      <c r="U67" s="29" t="n">
        <v>2013.0</v>
      </c>
      <c r="V67" s="30" t="inlineStr">
        <is>
          <t/>
        </is>
      </c>
      <c r="W67" s="31" t="inlineStr">
        <is>
          <t/>
        </is>
      </c>
      <c r="X67" s="32" t="inlineStr">
        <is>
          <t/>
        </is>
      </c>
      <c r="Y67" s="33" t="inlineStr">
        <is>
          <t/>
        </is>
      </c>
      <c r="Z67" s="34" t="inlineStr">
        <is>
          <t/>
        </is>
      </c>
      <c r="AA67" s="35" t="inlineStr">
        <is>
          <t/>
        </is>
      </c>
      <c r="AB67" s="36" t="inlineStr">
        <is>
          <t/>
        </is>
      </c>
      <c r="AC67" s="37" t="inlineStr">
        <is>
          <t/>
        </is>
      </c>
      <c r="AD67" s="38" t="inlineStr">
        <is>
          <t/>
        </is>
      </c>
      <c r="AE67" s="39" t="inlineStr">
        <is>
          <t>94163-95P</t>
        </is>
      </c>
      <c r="AF67" s="40" t="inlineStr">
        <is>
          <t>Jeremias Meier</t>
        </is>
      </c>
      <c r="AG67" s="41" t="inlineStr">
        <is>
          <t>Co-Founder, Board Member &amp; Chief Executive Officer</t>
        </is>
      </c>
      <c r="AH67" s="42" t="inlineStr">
        <is>
          <t>jeremias.meier@easysys.ch</t>
        </is>
      </c>
      <c r="AI67" s="43" t="inlineStr">
        <is>
          <t>+41 (0)71 552 0060</t>
        </is>
      </c>
      <c r="AJ67" s="44" t="inlineStr">
        <is>
          <t>Rapperswil, Switzerland</t>
        </is>
      </c>
      <c r="AK67" s="45" t="inlineStr">
        <is>
          <t>Alte Jonastrasse 24</t>
        </is>
      </c>
      <c r="AL67" s="46" t="inlineStr">
        <is>
          <t/>
        </is>
      </c>
      <c r="AM67" s="47" t="inlineStr">
        <is>
          <t>Rapperswil</t>
        </is>
      </c>
      <c r="AN67" s="48" t="inlineStr">
        <is>
          <t/>
        </is>
      </c>
      <c r="AO67" s="49" t="inlineStr">
        <is>
          <t>8640</t>
        </is>
      </c>
      <c r="AP67" s="50" t="inlineStr">
        <is>
          <t>Switzerland</t>
        </is>
      </c>
      <c r="AQ67" s="51" t="inlineStr">
        <is>
          <t>+41 (0)71 552 0060</t>
        </is>
      </c>
      <c r="AR67" s="52" t="inlineStr">
        <is>
          <t>+41 (0)71 552 0066</t>
        </is>
      </c>
      <c r="AS67" s="53" t="inlineStr">
        <is>
          <t>customer@bexio.com</t>
        </is>
      </c>
      <c r="AT67" s="54" t="inlineStr">
        <is>
          <t>Europe</t>
        </is>
      </c>
      <c r="AU67" s="55" t="inlineStr">
        <is>
          <t>Western Europe</t>
        </is>
      </c>
      <c r="AV67" s="56" t="inlineStr">
        <is>
          <t>The company raised CHF 7.5 million of venture funding in a deal led by Swisscom Ventures on February 24, 2017. Armada Investment and Redalpine Venture Partners also participated in the round. The funding will be used to expand the company's market position and invest in product innovations.</t>
        </is>
      </c>
      <c r="AW67" s="57" t="inlineStr">
        <is>
          <t>Armada Investment, eFolio, Redalpine Venture Partners, Swiss Finance Startups, Swisscom Ventures</t>
        </is>
      </c>
      <c r="AX67" s="58" t="n">
        <v>5.0</v>
      </c>
      <c r="AY67" s="59" t="inlineStr">
        <is>
          <t/>
        </is>
      </c>
      <c r="AZ67" s="60" t="inlineStr">
        <is>
          <t/>
        </is>
      </c>
      <c r="BA67" s="61" t="inlineStr">
        <is>
          <t/>
        </is>
      </c>
      <c r="BB67" s="62" t="inlineStr">
        <is>
          <t>Armada Investment (www.armada.com), eFolio (www.efolio.ch), Redalpine Venture Partners (www.redalpine.com), Swiss Finance Startups (www.swissfinancestartups.com)</t>
        </is>
      </c>
      <c r="BC67" s="63" t="inlineStr">
        <is>
          <t/>
        </is>
      </c>
      <c r="BD67" s="64" t="inlineStr">
        <is>
          <t/>
        </is>
      </c>
      <c r="BE67" s="65" t="inlineStr">
        <is>
          <t/>
        </is>
      </c>
      <c r="BF67" s="66" t="inlineStr">
        <is>
          <t/>
        </is>
      </c>
      <c r="BG67" s="67" t="n">
        <v>41609.0</v>
      </c>
      <c r="BH67" s="68" t="inlineStr">
        <is>
          <t/>
        </is>
      </c>
      <c r="BI67" s="69" t="inlineStr">
        <is>
          <t/>
        </is>
      </c>
      <c r="BJ67" s="70" t="inlineStr">
        <is>
          <t/>
        </is>
      </c>
      <c r="BK67" s="71" t="inlineStr">
        <is>
          <t/>
        </is>
      </c>
      <c r="BL67" s="72" t="inlineStr">
        <is>
          <t>Early Stage VC</t>
        </is>
      </c>
      <c r="BM67" s="73" t="inlineStr">
        <is>
          <t/>
        </is>
      </c>
      <c r="BN67" s="74" t="inlineStr">
        <is>
          <t/>
        </is>
      </c>
      <c r="BO67" s="75" t="inlineStr">
        <is>
          <t>Venture Capital</t>
        </is>
      </c>
      <c r="BP67" s="76" t="inlineStr">
        <is>
          <t/>
        </is>
      </c>
      <c r="BQ67" s="77" t="inlineStr">
        <is>
          <t/>
        </is>
      </c>
      <c r="BR67" s="78" t="inlineStr">
        <is>
          <t/>
        </is>
      </c>
      <c r="BS67" s="79" t="inlineStr">
        <is>
          <t>Completed</t>
        </is>
      </c>
      <c r="BT67" s="80" t="n">
        <v>42790.0</v>
      </c>
      <c r="BU67" s="81" t="n">
        <v>7.03</v>
      </c>
      <c r="BV67" s="82" t="inlineStr">
        <is>
          <t>Actual</t>
        </is>
      </c>
      <c r="BW67" s="83" t="inlineStr">
        <is>
          <t/>
        </is>
      </c>
      <c r="BX67" s="84" t="inlineStr">
        <is>
          <t/>
        </is>
      </c>
      <c r="BY67" s="85" t="inlineStr">
        <is>
          <t>Early Stage VC</t>
        </is>
      </c>
      <c r="BZ67" s="86" t="inlineStr">
        <is>
          <t/>
        </is>
      </c>
      <c r="CA67" s="87" t="inlineStr">
        <is>
          <t/>
        </is>
      </c>
      <c r="CB67" s="88" t="inlineStr">
        <is>
          <t>Venture Capital</t>
        </is>
      </c>
      <c r="CC67" s="89" t="inlineStr">
        <is>
          <t/>
        </is>
      </c>
      <c r="CD67" s="90" t="inlineStr">
        <is>
          <t/>
        </is>
      </c>
      <c r="CE67" s="91" t="inlineStr">
        <is>
          <t/>
        </is>
      </c>
      <c r="CF67" s="92" t="inlineStr">
        <is>
          <t>Completed</t>
        </is>
      </c>
      <c r="CG67" s="93" t="inlineStr">
        <is>
          <t>-0,25%</t>
        </is>
      </c>
      <c r="CH67" s="94" t="inlineStr">
        <is>
          <t>11</t>
        </is>
      </c>
      <c r="CI67" s="95" t="inlineStr">
        <is>
          <t>-0,04%</t>
        </is>
      </c>
      <c r="CJ67" s="96" t="inlineStr">
        <is>
          <t>-18,66%</t>
        </is>
      </c>
      <c r="CK67" s="97" t="inlineStr">
        <is>
          <t>-0,81%</t>
        </is>
      </c>
      <c r="CL67" s="98" t="inlineStr">
        <is>
          <t>10</t>
        </is>
      </c>
      <c r="CM67" s="99" t="inlineStr">
        <is>
          <t>0,30%</t>
        </is>
      </c>
      <c r="CN67" s="100" t="inlineStr">
        <is>
          <t>81</t>
        </is>
      </c>
      <c r="CO67" s="101" t="inlineStr">
        <is>
          <t>-1,24%</t>
        </is>
      </c>
      <c r="CP67" s="102" t="inlineStr">
        <is>
          <t>19</t>
        </is>
      </c>
      <c r="CQ67" s="103" t="inlineStr">
        <is>
          <t>-0,37%</t>
        </is>
      </c>
      <c r="CR67" s="104" t="inlineStr">
        <is>
          <t>8</t>
        </is>
      </c>
      <c r="CS67" s="105" t="inlineStr">
        <is>
          <t>0,38%</t>
        </is>
      </c>
      <c r="CT67" s="106" t="inlineStr">
        <is>
          <t>83</t>
        </is>
      </c>
      <c r="CU67" s="107" t="inlineStr">
        <is>
          <t>0,22%</t>
        </is>
      </c>
      <c r="CV67" s="108" t="inlineStr">
        <is>
          <t>79</t>
        </is>
      </c>
      <c r="CW67" s="109" t="inlineStr">
        <is>
          <t>18,52x</t>
        </is>
      </c>
      <c r="CX67" s="110" t="inlineStr">
        <is>
          <t>91</t>
        </is>
      </c>
      <c r="CY67" s="111" t="inlineStr">
        <is>
          <t>0,10x</t>
        </is>
      </c>
      <c r="CZ67" s="112" t="inlineStr">
        <is>
          <t>0,56%</t>
        </is>
      </c>
      <c r="DA67" s="113" t="inlineStr">
        <is>
          <t>32,49x</t>
        </is>
      </c>
      <c r="DB67" s="114" t="inlineStr">
        <is>
          <t>95</t>
        </is>
      </c>
      <c r="DC67" s="115" t="inlineStr">
        <is>
          <t>4,55x</t>
        </is>
      </c>
      <c r="DD67" s="116" t="inlineStr">
        <is>
          <t>75</t>
        </is>
      </c>
      <c r="DE67" s="117" t="inlineStr">
        <is>
          <t>57,72x</t>
        </is>
      </c>
      <c r="DF67" s="118" t="inlineStr">
        <is>
          <t>94</t>
        </is>
      </c>
      <c r="DG67" s="119" t="inlineStr">
        <is>
          <t>7,25x</t>
        </is>
      </c>
      <c r="DH67" s="120" t="inlineStr">
        <is>
          <t>82</t>
        </is>
      </c>
      <c r="DI67" s="121" t="inlineStr">
        <is>
          <t>3,17x</t>
        </is>
      </c>
      <c r="DJ67" s="122" t="inlineStr">
        <is>
          <t>69</t>
        </is>
      </c>
      <c r="DK67" s="123" t="inlineStr">
        <is>
          <t>5,92x</t>
        </is>
      </c>
      <c r="DL67" s="124" t="inlineStr">
        <is>
          <t>80</t>
        </is>
      </c>
      <c r="DM67" s="125" t="inlineStr">
        <is>
          <t>35.616</t>
        </is>
      </c>
      <c r="DN67" s="126" t="inlineStr">
        <is>
          <t>-348</t>
        </is>
      </c>
      <c r="DO67" s="127" t="inlineStr">
        <is>
          <t>-0,97%</t>
        </is>
      </c>
      <c r="DP67" s="128" t="inlineStr">
        <is>
          <t>2.523</t>
        </is>
      </c>
      <c r="DQ67" s="129" t="inlineStr">
        <is>
          <t>7</t>
        </is>
      </c>
      <c r="DR67" s="130" t="inlineStr">
        <is>
          <t>0,28%</t>
        </is>
      </c>
      <c r="DS67" s="131" t="inlineStr">
        <is>
          <t>261</t>
        </is>
      </c>
      <c r="DT67" s="132" t="inlineStr">
        <is>
          <t>-1</t>
        </is>
      </c>
      <c r="DU67" s="133" t="inlineStr">
        <is>
          <t>-0,38%</t>
        </is>
      </c>
      <c r="DV67" s="134" t="inlineStr">
        <is>
          <t>2.023</t>
        </is>
      </c>
      <c r="DW67" s="135" t="inlineStr">
        <is>
          <t>10</t>
        </is>
      </c>
      <c r="DX67" s="136" t="inlineStr">
        <is>
          <t>0,50%</t>
        </is>
      </c>
      <c r="DY67" s="137" t="inlineStr">
        <is>
          <t>PitchBook Research</t>
        </is>
      </c>
      <c r="DZ67" s="785">
        <f>HYPERLINK("https://my.pitchbook.com?c=109293-13", "View company online")</f>
      </c>
    </row>
    <row r="68">
      <c r="A68" s="139" t="inlineStr">
        <is>
          <t>168804-55</t>
        </is>
      </c>
      <c r="B68" s="140" t="inlineStr">
        <is>
          <t>Bink (App)</t>
        </is>
      </c>
      <c r="C68" s="141" t="inlineStr">
        <is>
          <t/>
        </is>
      </c>
      <c r="D68" s="142" t="inlineStr">
        <is>
          <t/>
        </is>
      </c>
      <c r="E68" s="143" t="inlineStr">
        <is>
          <t>168804-55</t>
        </is>
      </c>
      <c r="F68" s="144" t="inlineStr">
        <is>
          <t>Developer of a loyalty rewards managing mobile application designed to automatically collect loyalty points and rewards by using payment cards. The company's loyalty rewards managing mobile application links card payment to loyalty schemes, engages customers and offer tailored rewards enabling shoppers to track and win loyalty rewards by linking their payment cards to the loyalty scheme advertised by online retailers.</t>
        </is>
      </c>
      <c r="G68" s="145" t="inlineStr">
        <is>
          <t>Information Technology</t>
        </is>
      </c>
      <c r="H68" s="146" t="inlineStr">
        <is>
          <t>Software</t>
        </is>
      </c>
      <c r="I68" s="147" t="inlineStr">
        <is>
          <t>Application Software</t>
        </is>
      </c>
      <c r="J68" s="148" t="inlineStr">
        <is>
          <t>Application Software*; Social/Platform Software</t>
        </is>
      </c>
      <c r="K68" s="149" t="inlineStr">
        <is>
          <t>Mobile</t>
        </is>
      </c>
      <c r="L68" s="150" t="inlineStr">
        <is>
          <t>Venture Capital-Backed</t>
        </is>
      </c>
      <c r="M68" s="151" t="n">
        <v>43.32</v>
      </c>
      <c r="N68" s="152" t="inlineStr">
        <is>
          <t>Startup</t>
        </is>
      </c>
      <c r="O68" s="153" t="inlineStr">
        <is>
          <t>Privately Held (backing)</t>
        </is>
      </c>
      <c r="P68" s="154" t="inlineStr">
        <is>
          <t>Venture Capital</t>
        </is>
      </c>
      <c r="Q68" s="155" t="inlineStr">
        <is>
          <t>www.bink.com</t>
        </is>
      </c>
      <c r="R68" s="156" t="n">
        <v>34.0</v>
      </c>
      <c r="S68" s="157" t="inlineStr">
        <is>
          <t/>
        </is>
      </c>
      <c r="T68" s="158" t="inlineStr">
        <is>
          <t/>
        </is>
      </c>
      <c r="U68" s="159" t="n">
        <v>2014.0</v>
      </c>
      <c r="V68" s="160" t="inlineStr">
        <is>
          <t/>
        </is>
      </c>
      <c r="W68" s="161" t="inlineStr">
        <is>
          <t/>
        </is>
      </c>
      <c r="X68" s="162" t="inlineStr">
        <is>
          <t/>
        </is>
      </c>
      <c r="Y68" s="163" t="inlineStr">
        <is>
          <t/>
        </is>
      </c>
      <c r="Z68" s="164" t="inlineStr">
        <is>
          <t/>
        </is>
      </c>
      <c r="AA68" s="165" t="inlineStr">
        <is>
          <t/>
        </is>
      </c>
      <c r="AB68" s="166" t="inlineStr">
        <is>
          <t/>
        </is>
      </c>
      <c r="AC68" s="167" t="inlineStr">
        <is>
          <t/>
        </is>
      </c>
      <c r="AD68" s="168" t="inlineStr">
        <is>
          <t/>
        </is>
      </c>
      <c r="AE68" s="169" t="inlineStr">
        <is>
          <t>151883-29P</t>
        </is>
      </c>
      <c r="AF68" s="170" t="inlineStr">
        <is>
          <t>Lee Clarke</t>
        </is>
      </c>
      <c r="AG68" s="171" t="inlineStr">
        <is>
          <t>Co-Founder &amp; Chief Executive Officer</t>
        </is>
      </c>
      <c r="AH68" s="172" t="inlineStr">
        <is>
          <t>lee@bink.com</t>
        </is>
      </c>
      <c r="AI68" s="173" t="inlineStr">
        <is>
          <t/>
        </is>
      </c>
      <c r="AJ68" s="174" t="inlineStr">
        <is>
          <t>Berkshire, United Kingdom</t>
        </is>
      </c>
      <c r="AK68" s="175" t="inlineStr">
        <is>
          <t>2 Queens Square, Ascot Business Park</t>
        </is>
      </c>
      <c r="AL68" s="176" t="inlineStr">
        <is>
          <t>Lyndhurst Road, Ascot</t>
        </is>
      </c>
      <c r="AM68" s="177" t="inlineStr">
        <is>
          <t>Berkshire</t>
        </is>
      </c>
      <c r="AN68" s="178" t="inlineStr">
        <is>
          <t>England</t>
        </is>
      </c>
      <c r="AO68" s="179" t="inlineStr">
        <is>
          <t>SL5 9FE</t>
        </is>
      </c>
      <c r="AP68" s="180" t="inlineStr">
        <is>
          <t>United Kingdom</t>
        </is>
      </c>
      <c r="AQ68" s="181" t="inlineStr">
        <is>
          <t/>
        </is>
      </c>
      <c r="AR68" s="182" t="inlineStr">
        <is>
          <t/>
        </is>
      </c>
      <c r="AS68" s="183" t="inlineStr">
        <is>
          <t/>
        </is>
      </c>
      <c r="AT68" s="184" t="inlineStr">
        <is>
          <t>Europe</t>
        </is>
      </c>
      <c r="AU68" s="185" t="inlineStr">
        <is>
          <t>Western Europe</t>
        </is>
      </c>
      <c r="AV68" s="186" t="inlineStr">
        <is>
          <t>The company is in the process of raising $30.42 million of financing from undisclosed investors on March 17, 2017. Previously, the company raised GBP 9.5 million of angel funding from undisclosed investors on March 10, 2017. Previously, the company raised GBP 2.54 million of seed funding from Raw Capital Partners and other undisclosed investors on December 7, 2016. The company intends to use the funding to accelerate Bink's growth and expand operations in the UK and elsewhere, continuing to invest in B2B, marketing and sales staff. The company raised GBP 700,000 of venture funding from Gate Ventures on June 2, 2016. Putting the company's pre-money valuation at GBP 16.37 million. The company is being actively tracked by PitchBook.</t>
        </is>
      </c>
      <c r="AW68" s="187" t="inlineStr">
        <is>
          <t>Gate Ventures, Raw Capital Partners</t>
        </is>
      </c>
      <c r="AX68" s="188" t="n">
        <v>2.0</v>
      </c>
      <c r="AY68" s="189" t="inlineStr">
        <is>
          <t/>
        </is>
      </c>
      <c r="AZ68" s="190" t="inlineStr">
        <is>
          <t/>
        </is>
      </c>
      <c r="BA68" s="191" t="inlineStr">
        <is>
          <t/>
        </is>
      </c>
      <c r="BB68" s="192" t="inlineStr">
        <is>
          <t>Gate Ventures (www.gateplc.com), Raw Capital Partners (www.rawcapitalpartners.com)</t>
        </is>
      </c>
      <c r="BC68" s="193" t="inlineStr">
        <is>
          <t/>
        </is>
      </c>
      <c r="BD68" s="194" t="inlineStr">
        <is>
          <t/>
        </is>
      </c>
      <c r="BE68" s="195" t="inlineStr">
        <is>
          <t/>
        </is>
      </c>
      <c r="BF68" s="196" t="inlineStr">
        <is>
          <t/>
        </is>
      </c>
      <c r="BG68" s="197" t="n">
        <v>42523.0</v>
      </c>
      <c r="BH68" s="198" t="n">
        <v>0.89</v>
      </c>
      <c r="BI68" s="199" t="inlineStr">
        <is>
          <t>Actual</t>
        </is>
      </c>
      <c r="BJ68" s="200" t="n">
        <v>21.63</v>
      </c>
      <c r="BK68" s="201" t="inlineStr">
        <is>
          <t>Actual</t>
        </is>
      </c>
      <c r="BL68" s="202" t="inlineStr">
        <is>
          <t>Early Stage VC</t>
        </is>
      </c>
      <c r="BM68" s="203" t="inlineStr">
        <is>
          <t/>
        </is>
      </c>
      <c r="BN68" s="204" t="inlineStr">
        <is>
          <t/>
        </is>
      </c>
      <c r="BO68" s="205" t="inlineStr">
        <is>
          <t>Venture Capital</t>
        </is>
      </c>
      <c r="BP68" s="206" t="inlineStr">
        <is>
          <t/>
        </is>
      </c>
      <c r="BQ68" s="207" t="inlineStr">
        <is>
          <t/>
        </is>
      </c>
      <c r="BR68" s="208" t="inlineStr">
        <is>
          <t/>
        </is>
      </c>
      <c r="BS68" s="209" t="inlineStr">
        <is>
          <t>Completed</t>
        </is>
      </c>
      <c r="BT68" s="210" t="n">
        <v>42811.0</v>
      </c>
      <c r="BU68" s="211" t="n">
        <v>28.46</v>
      </c>
      <c r="BV68" s="212" t="inlineStr">
        <is>
          <t>Actual</t>
        </is>
      </c>
      <c r="BW68" s="213" t="inlineStr">
        <is>
          <t/>
        </is>
      </c>
      <c r="BX68" s="214" t="inlineStr">
        <is>
          <t/>
        </is>
      </c>
      <c r="BY68" s="215" t="inlineStr">
        <is>
          <t>Undetermined</t>
        </is>
      </c>
      <c r="BZ68" s="216" t="inlineStr">
        <is>
          <t/>
        </is>
      </c>
      <c r="CA68" s="217" t="inlineStr">
        <is>
          <t/>
        </is>
      </c>
      <c r="CB68" s="218" t="inlineStr">
        <is>
          <t>Corporate</t>
        </is>
      </c>
      <c r="CC68" s="219" t="inlineStr">
        <is>
          <t/>
        </is>
      </c>
      <c r="CD68" s="220" t="inlineStr">
        <is>
          <t/>
        </is>
      </c>
      <c r="CE68" s="221" t="inlineStr">
        <is>
          <t/>
        </is>
      </c>
      <c r="CF68" s="222" t="inlineStr">
        <is>
          <t>Announced/In Progress</t>
        </is>
      </c>
      <c r="CG68" s="223" t="inlineStr">
        <is>
          <t>-2,95%</t>
        </is>
      </c>
      <c r="CH68" s="224" t="inlineStr">
        <is>
          <t>2</t>
        </is>
      </c>
      <c r="CI68" s="225" t="inlineStr">
        <is>
          <t>-0,09%</t>
        </is>
      </c>
      <c r="CJ68" s="226" t="inlineStr">
        <is>
          <t>-3,24%</t>
        </is>
      </c>
      <c r="CK68" s="227" t="inlineStr">
        <is>
          <t>-5,69%</t>
        </is>
      </c>
      <c r="CL68" s="228" t="inlineStr">
        <is>
          <t>1</t>
        </is>
      </c>
      <c r="CM68" s="229" t="inlineStr">
        <is>
          <t>-0,21%</t>
        </is>
      </c>
      <c r="CN68" s="230" t="inlineStr">
        <is>
          <t>1</t>
        </is>
      </c>
      <c r="CO68" s="231" t="inlineStr">
        <is>
          <t>-11,38%</t>
        </is>
      </c>
      <c r="CP68" s="232" t="inlineStr">
        <is>
          <t>1</t>
        </is>
      </c>
      <c r="CQ68" s="233" t="inlineStr">
        <is>
          <t>0,00%</t>
        </is>
      </c>
      <c r="CR68" s="234" t="inlineStr">
        <is>
          <t>13</t>
        </is>
      </c>
      <c r="CS68" s="235" t="inlineStr">
        <is>
          <t>0,27%</t>
        </is>
      </c>
      <c r="CT68" s="236" t="inlineStr">
        <is>
          <t>77</t>
        </is>
      </c>
      <c r="CU68" s="237" t="inlineStr">
        <is>
          <t>-0,69%</t>
        </is>
      </c>
      <c r="CV68" s="238" t="inlineStr">
        <is>
          <t>1</t>
        </is>
      </c>
      <c r="CW68" s="239" t="inlineStr">
        <is>
          <t>1,75x</t>
        </is>
      </c>
      <c r="CX68" s="240" t="inlineStr">
        <is>
          <t>61</t>
        </is>
      </c>
      <c r="CY68" s="241" t="inlineStr">
        <is>
          <t>-0,01x</t>
        </is>
      </c>
      <c r="CZ68" s="242" t="inlineStr">
        <is>
          <t>-0,33%</t>
        </is>
      </c>
      <c r="DA68" s="243" t="inlineStr">
        <is>
          <t>1,58x</t>
        </is>
      </c>
      <c r="DB68" s="244" t="inlineStr">
        <is>
          <t>62</t>
        </is>
      </c>
      <c r="DC68" s="245" t="inlineStr">
        <is>
          <t>1,92x</t>
        </is>
      </c>
      <c r="DD68" s="246" t="inlineStr">
        <is>
          <t>61</t>
        </is>
      </c>
      <c r="DE68" s="247" t="inlineStr">
        <is>
          <t>1,52x</t>
        </is>
      </c>
      <c r="DF68" s="248" t="inlineStr">
        <is>
          <t>59</t>
        </is>
      </c>
      <c r="DG68" s="249" t="inlineStr">
        <is>
          <t>1,64x</t>
        </is>
      </c>
      <c r="DH68" s="250" t="inlineStr">
        <is>
          <t>60</t>
        </is>
      </c>
      <c r="DI68" s="251" t="inlineStr">
        <is>
          <t>0,41x</t>
        </is>
      </c>
      <c r="DJ68" s="252" t="inlineStr">
        <is>
          <t>35</t>
        </is>
      </c>
      <c r="DK68" s="253" t="inlineStr">
        <is>
          <t>3,44x</t>
        </is>
      </c>
      <c r="DL68" s="254" t="inlineStr">
        <is>
          <t>72</t>
        </is>
      </c>
      <c r="DM68" s="255" t="inlineStr">
        <is>
          <t>970</t>
        </is>
      </c>
      <c r="DN68" s="256" t="inlineStr">
        <is>
          <t>-117</t>
        </is>
      </c>
      <c r="DO68" s="257" t="inlineStr">
        <is>
          <t>-10,76%</t>
        </is>
      </c>
      <c r="DP68" s="258" t="inlineStr">
        <is>
          <t>324</t>
        </is>
      </c>
      <c r="DQ68" s="259" t="inlineStr">
        <is>
          <t>0</t>
        </is>
      </c>
      <c r="DR68" s="260" t="inlineStr">
        <is>
          <t>0,00%</t>
        </is>
      </c>
      <c r="DS68" s="261" t="inlineStr">
        <is>
          <t>59</t>
        </is>
      </c>
      <c r="DT68" s="262" t="inlineStr">
        <is>
          <t>0</t>
        </is>
      </c>
      <c r="DU68" s="263" t="inlineStr">
        <is>
          <t>0,00%</t>
        </is>
      </c>
      <c r="DV68" s="264" t="inlineStr">
        <is>
          <t>1.213</t>
        </is>
      </c>
      <c r="DW68" s="265" t="inlineStr">
        <is>
          <t>-34</t>
        </is>
      </c>
      <c r="DX68" s="266" t="inlineStr">
        <is>
          <t>-2,73%</t>
        </is>
      </c>
      <c r="DY68" s="267" t="inlineStr">
        <is>
          <t>PitchBook Research</t>
        </is>
      </c>
      <c r="DZ68" s="786">
        <f>HYPERLINK("https://my.pitchbook.com?c=168804-55", "View company online")</f>
      </c>
    </row>
    <row r="69">
      <c r="A69" s="9" t="inlineStr">
        <is>
          <t>129286-00</t>
        </is>
      </c>
      <c r="B69" s="10" t="inlineStr">
        <is>
          <t>BiovelocITA</t>
        </is>
      </c>
      <c r="C69" s="11" t="inlineStr">
        <is>
          <t/>
        </is>
      </c>
      <c r="D69" s="12" t="inlineStr">
        <is>
          <t/>
        </is>
      </c>
      <c r="E69" s="13" t="inlineStr">
        <is>
          <t>129286-00</t>
        </is>
      </c>
      <c r="F69" s="14" t="inlineStr">
        <is>
          <t>Operator of an accelerator. The company provides acceleration service to early stage biotech companies in Italy. It offers start-ups workspace, mentorship, a small amount of funding to create viable business plans and an introduction to potential investors.</t>
        </is>
      </c>
      <c r="G69" s="15" t="inlineStr">
        <is>
          <t>Financial Services</t>
        </is>
      </c>
      <c r="H69" s="16" t="inlineStr">
        <is>
          <t>Other Financial Services</t>
        </is>
      </c>
      <c r="I69" s="17" t="inlineStr">
        <is>
          <t>Other Financial Services</t>
        </is>
      </c>
      <c r="J69" s="18" t="inlineStr">
        <is>
          <t>Other Financial Services*</t>
        </is>
      </c>
      <c r="K69" s="19" t="inlineStr">
        <is>
          <t/>
        </is>
      </c>
      <c r="L69" s="20" t="inlineStr">
        <is>
          <t>Venture Capital-Backed</t>
        </is>
      </c>
      <c r="M69" s="21" t="n">
        <v>6.8</v>
      </c>
      <c r="N69" s="22" t="inlineStr">
        <is>
          <t>Startup</t>
        </is>
      </c>
      <c r="O69" s="23" t="inlineStr">
        <is>
          <t>Privately Held (backing)</t>
        </is>
      </c>
      <c r="P69" s="24" t="inlineStr">
        <is>
          <t>Venture Capital</t>
        </is>
      </c>
      <c r="Q69" s="25" t="inlineStr">
        <is>
          <t>www.biovelocita.com</t>
        </is>
      </c>
      <c r="R69" s="26" t="inlineStr">
        <is>
          <t/>
        </is>
      </c>
      <c r="S69" s="27" t="inlineStr">
        <is>
          <t/>
        </is>
      </c>
      <c r="T69" s="28" t="inlineStr">
        <is>
          <t/>
        </is>
      </c>
      <c r="U69" s="29" t="n">
        <v>2015.0</v>
      </c>
      <c r="V69" s="30" t="inlineStr">
        <is>
          <t/>
        </is>
      </c>
      <c r="W69" s="31" t="inlineStr">
        <is>
          <t/>
        </is>
      </c>
      <c r="X69" s="32" t="inlineStr">
        <is>
          <t/>
        </is>
      </c>
      <c r="Y69" s="33" t="inlineStr">
        <is>
          <t/>
        </is>
      </c>
      <c r="Z69" s="34" t="inlineStr">
        <is>
          <t/>
        </is>
      </c>
      <c r="AA69" s="35" t="inlineStr">
        <is>
          <t/>
        </is>
      </c>
      <c r="AB69" s="36" t="inlineStr">
        <is>
          <t/>
        </is>
      </c>
      <c r="AC69" s="37" t="inlineStr">
        <is>
          <t/>
        </is>
      </c>
      <c r="AD69" s="38" t="inlineStr">
        <is>
          <t/>
        </is>
      </c>
      <c r="AE69" s="39" t="inlineStr">
        <is>
          <t>120211-66P</t>
        </is>
      </c>
      <c r="AF69" s="40" t="inlineStr">
        <is>
          <t>Maria Camboni</t>
        </is>
      </c>
      <c r="AG69" s="41" t="inlineStr">
        <is>
          <t>Chief Executive Officer &amp; Co-Founder</t>
        </is>
      </c>
      <c r="AH69" s="42" t="inlineStr">
        <is>
          <t/>
        </is>
      </c>
      <c r="AI69" s="43" t="inlineStr">
        <is>
          <t>+39 02 4819 6154</t>
        </is>
      </c>
      <c r="AJ69" s="44" t="inlineStr">
        <is>
          <t>Milan, Italy</t>
        </is>
      </c>
      <c r="AK69" s="45" t="inlineStr">
        <is>
          <t>Via Vincenzo Gioberti, 8</t>
        </is>
      </c>
      <c r="AL69" s="46" t="inlineStr">
        <is>
          <t/>
        </is>
      </c>
      <c r="AM69" s="47" t="inlineStr">
        <is>
          <t>Milan</t>
        </is>
      </c>
      <c r="AN69" s="48" t="inlineStr">
        <is>
          <t/>
        </is>
      </c>
      <c r="AO69" s="49" t="inlineStr">
        <is>
          <t/>
        </is>
      </c>
      <c r="AP69" s="50" t="inlineStr">
        <is>
          <t>Italy</t>
        </is>
      </c>
      <c r="AQ69" s="51" t="inlineStr">
        <is>
          <t>+39 02 4819 6154</t>
        </is>
      </c>
      <c r="AR69" s="52" t="inlineStr">
        <is>
          <t/>
        </is>
      </c>
      <c r="AS69" s="53" t="inlineStr">
        <is>
          <t>info@biovelocita.com</t>
        </is>
      </c>
      <c r="AT69" s="54" t="inlineStr">
        <is>
          <t>Europe</t>
        </is>
      </c>
      <c r="AU69" s="55" t="inlineStr">
        <is>
          <t>Southern Europe</t>
        </is>
      </c>
      <c r="AV69" s="56" t="inlineStr">
        <is>
          <t>The company raised EUR 800,000 of venture funding from IMI Fondi Chiusi SGR on April 19, 2016. Previously, the company raised EUR 6 million of seed funding from Sofinnova Partners on November 18, 2015.</t>
        </is>
      </c>
      <c r="AW69" s="57" t="inlineStr">
        <is>
          <t>IMI Fondi Chiusi SGR, Sofinnova Partners</t>
        </is>
      </c>
      <c r="AX69" s="58" t="n">
        <v>2.0</v>
      </c>
      <c r="AY69" s="59" t="inlineStr">
        <is>
          <t/>
        </is>
      </c>
      <c r="AZ69" s="60" t="inlineStr">
        <is>
          <t/>
        </is>
      </c>
      <c r="BA69" s="61" t="inlineStr">
        <is>
          <t/>
        </is>
      </c>
      <c r="BB69" s="62" t="inlineStr">
        <is>
          <t>IMI Fondi Chiusi SGR (www.imifondichiusisgr.com), Sofinnova Partners (www.sofinnova.fr)</t>
        </is>
      </c>
      <c r="BC69" s="63" t="inlineStr">
        <is>
          <t/>
        </is>
      </c>
      <c r="BD69" s="64" t="inlineStr">
        <is>
          <t/>
        </is>
      </c>
      <c r="BE69" s="65" t="inlineStr">
        <is>
          <t/>
        </is>
      </c>
      <c r="BF69" s="66" t="inlineStr">
        <is>
          <t>Banor Capital (Advisor)</t>
        </is>
      </c>
      <c r="BG69" s="67" t="n">
        <v>42326.0</v>
      </c>
      <c r="BH69" s="68" t="n">
        <v>6.0</v>
      </c>
      <c r="BI69" s="69" t="inlineStr">
        <is>
          <t>Actual</t>
        </is>
      </c>
      <c r="BJ69" s="70" t="inlineStr">
        <is>
          <t/>
        </is>
      </c>
      <c r="BK69" s="71" t="inlineStr">
        <is>
          <t/>
        </is>
      </c>
      <c r="BL69" s="72" t="inlineStr">
        <is>
          <t>Seed Round</t>
        </is>
      </c>
      <c r="BM69" s="73" t="inlineStr">
        <is>
          <t>Seed</t>
        </is>
      </c>
      <c r="BN69" s="74" t="inlineStr">
        <is>
          <t/>
        </is>
      </c>
      <c r="BO69" s="75" t="inlineStr">
        <is>
          <t>Venture Capital</t>
        </is>
      </c>
      <c r="BP69" s="76" t="inlineStr">
        <is>
          <t/>
        </is>
      </c>
      <c r="BQ69" s="77" t="inlineStr">
        <is>
          <t/>
        </is>
      </c>
      <c r="BR69" s="78" t="inlineStr">
        <is>
          <t/>
        </is>
      </c>
      <c r="BS69" s="79" t="inlineStr">
        <is>
          <t>Completed</t>
        </is>
      </c>
      <c r="BT69" s="80" t="n">
        <v>42479.0</v>
      </c>
      <c r="BU69" s="81" t="n">
        <v>0.8</v>
      </c>
      <c r="BV69" s="82" t="inlineStr">
        <is>
          <t>Actual</t>
        </is>
      </c>
      <c r="BW69" s="83" t="inlineStr">
        <is>
          <t/>
        </is>
      </c>
      <c r="BX69" s="84" t="inlineStr">
        <is>
          <t/>
        </is>
      </c>
      <c r="BY69" s="85" t="inlineStr">
        <is>
          <t>Early Stage VC</t>
        </is>
      </c>
      <c r="BZ69" s="86" t="inlineStr">
        <is>
          <t/>
        </is>
      </c>
      <c r="CA69" s="87" t="inlineStr">
        <is>
          <t/>
        </is>
      </c>
      <c r="CB69" s="88" t="inlineStr">
        <is>
          <t>Venture Capital</t>
        </is>
      </c>
      <c r="CC69" s="89" t="inlineStr">
        <is>
          <t/>
        </is>
      </c>
      <c r="CD69" s="90" t="inlineStr">
        <is>
          <t/>
        </is>
      </c>
      <c r="CE69" s="91" t="inlineStr">
        <is>
          <t/>
        </is>
      </c>
      <c r="CF69" s="92" t="inlineStr">
        <is>
          <t>Completed</t>
        </is>
      </c>
      <c r="CG69" s="93" t="inlineStr">
        <is>
          <t>0,00%</t>
        </is>
      </c>
      <c r="CH69" s="94" t="inlineStr">
        <is>
          <t>23</t>
        </is>
      </c>
      <c r="CI69" s="95" t="inlineStr">
        <is>
          <t>0,00%</t>
        </is>
      </c>
      <c r="CJ69" s="96" t="inlineStr">
        <is>
          <t>0,00%</t>
        </is>
      </c>
      <c r="CK69" s="97" t="inlineStr">
        <is>
          <t>0,00%</t>
        </is>
      </c>
      <c r="CL69" s="98" t="inlineStr">
        <is>
          <t>18</t>
        </is>
      </c>
      <c r="CM69" s="99" t="inlineStr">
        <is>
          <t/>
        </is>
      </c>
      <c r="CN69" s="100" t="inlineStr">
        <is>
          <t/>
        </is>
      </c>
      <c r="CO69" s="101" t="inlineStr">
        <is>
          <t>0,00%</t>
        </is>
      </c>
      <c r="CP69" s="102" t="inlineStr">
        <is>
          <t>26</t>
        </is>
      </c>
      <c r="CQ69" s="103" t="inlineStr">
        <is>
          <t>0,00%</t>
        </is>
      </c>
      <c r="CR69" s="104" t="inlineStr">
        <is>
          <t>13</t>
        </is>
      </c>
      <c r="CS69" s="105" t="inlineStr">
        <is>
          <t/>
        </is>
      </c>
      <c r="CT69" s="106" t="inlineStr">
        <is>
          <t/>
        </is>
      </c>
      <c r="CU69" s="107" t="inlineStr">
        <is>
          <t/>
        </is>
      </c>
      <c r="CV69" s="108" t="inlineStr">
        <is>
          <t/>
        </is>
      </c>
      <c r="CW69" s="109" t="inlineStr">
        <is>
          <t>0,36x</t>
        </is>
      </c>
      <c r="CX69" s="110" t="inlineStr">
        <is>
          <t>27</t>
        </is>
      </c>
      <c r="CY69" s="111" t="inlineStr">
        <is>
          <t>0,01x</t>
        </is>
      </c>
      <c r="CZ69" s="112" t="inlineStr">
        <is>
          <t>2,43%</t>
        </is>
      </c>
      <c r="DA69" s="113" t="inlineStr">
        <is>
          <t>0,36x</t>
        </is>
      </c>
      <c r="DB69" s="114" t="inlineStr">
        <is>
          <t>29</t>
        </is>
      </c>
      <c r="DC69" s="115" t="inlineStr">
        <is>
          <t/>
        </is>
      </c>
      <c r="DD69" s="116" t="inlineStr">
        <is>
          <t/>
        </is>
      </c>
      <c r="DE69" s="117" t="inlineStr">
        <is>
          <t>0,09x</t>
        </is>
      </c>
      <c r="DF69" s="118" t="inlineStr">
        <is>
          <t>9</t>
        </is>
      </c>
      <c r="DG69" s="119" t="inlineStr">
        <is>
          <t>0,64x</t>
        </is>
      </c>
      <c r="DH69" s="120" t="inlineStr">
        <is>
          <t>41</t>
        </is>
      </c>
      <c r="DI69" s="121" t="inlineStr">
        <is>
          <t/>
        </is>
      </c>
      <c r="DJ69" s="122" t="inlineStr">
        <is>
          <t/>
        </is>
      </c>
      <c r="DK69" s="123" t="inlineStr">
        <is>
          <t/>
        </is>
      </c>
      <c r="DL69" s="124" t="inlineStr">
        <is>
          <t/>
        </is>
      </c>
      <c r="DM69" s="125" t="inlineStr">
        <is>
          <t>56</t>
        </is>
      </c>
      <c r="DN69" s="126" t="inlineStr">
        <is>
          <t>-13</t>
        </is>
      </c>
      <c r="DO69" s="127" t="inlineStr">
        <is>
          <t>-18,84%</t>
        </is>
      </c>
      <c r="DP69" s="128" t="inlineStr">
        <is>
          <t/>
        </is>
      </c>
      <c r="DQ69" s="129" t="inlineStr">
        <is>
          <t/>
        </is>
      </c>
      <c r="DR69" s="130" t="inlineStr">
        <is>
          <t/>
        </is>
      </c>
      <c r="DS69" s="131" t="inlineStr">
        <is>
          <t>23</t>
        </is>
      </c>
      <c r="DT69" s="132" t="inlineStr">
        <is>
          <t>0</t>
        </is>
      </c>
      <c r="DU69" s="133" t="inlineStr">
        <is>
          <t>0,00%</t>
        </is>
      </c>
      <c r="DV69" s="134" t="inlineStr">
        <is>
          <t/>
        </is>
      </c>
      <c r="DW69" s="135" t="inlineStr">
        <is>
          <t/>
        </is>
      </c>
      <c r="DX69" s="136" t="inlineStr">
        <is>
          <t/>
        </is>
      </c>
      <c r="DY69" s="137" t="inlineStr">
        <is>
          <t>PitchBook Research</t>
        </is>
      </c>
      <c r="DZ69" s="785">
        <f>HYPERLINK("https://my.pitchbook.com?c=129286-00", "View company online")</f>
      </c>
    </row>
    <row r="70">
      <c r="A70" s="139" t="inlineStr">
        <is>
          <t>65987-29</t>
        </is>
      </c>
      <c r="B70" s="140" t="inlineStr">
        <is>
          <t>Bitbond</t>
        </is>
      </c>
      <c r="C70" s="141" t="inlineStr">
        <is>
          <t/>
        </is>
      </c>
      <c r="D70" s="142" t="inlineStr">
        <is>
          <t/>
        </is>
      </c>
      <c r="E70" s="143" t="inlineStr">
        <is>
          <t>65987-29</t>
        </is>
      </c>
      <c r="F70" s="144" t="inlineStr">
        <is>
          <t>Provider of a peer-to-peer bitcoin lending platform designed to make financial inclusion a reality around the world. The company's Bitbond platform connects creditworthy borrowers with individual and institutional investors, enabling borrowers to raise loans at affordable interest rates.</t>
        </is>
      </c>
      <c r="G70" s="145" t="inlineStr">
        <is>
          <t>Information Technology</t>
        </is>
      </c>
      <c r="H70" s="146" t="inlineStr">
        <is>
          <t>Software</t>
        </is>
      </c>
      <c r="I70" s="147" t="inlineStr">
        <is>
          <t>Financial Software</t>
        </is>
      </c>
      <c r="J70" s="148" t="inlineStr">
        <is>
          <t>Financial Software*; Application Software; Social/Platform Software</t>
        </is>
      </c>
      <c r="K70" s="149" t="inlineStr">
        <is>
          <t>FinTech</t>
        </is>
      </c>
      <c r="L70" s="150" t="inlineStr">
        <is>
          <t>Venture Capital-Backed</t>
        </is>
      </c>
      <c r="M70" s="151" t="n">
        <v>7.1</v>
      </c>
      <c r="N70" s="152" t="inlineStr">
        <is>
          <t>Generating Revenue</t>
        </is>
      </c>
      <c r="O70" s="153" t="inlineStr">
        <is>
          <t>Privately Held (backing)</t>
        </is>
      </c>
      <c r="P70" s="154" t="inlineStr">
        <is>
          <t>Venture Capital</t>
        </is>
      </c>
      <c r="Q70" s="155" t="inlineStr">
        <is>
          <t>www.bitbond.com</t>
        </is>
      </c>
      <c r="R70" s="156" t="n">
        <v>6.0</v>
      </c>
      <c r="S70" s="157" t="inlineStr">
        <is>
          <t/>
        </is>
      </c>
      <c r="T70" s="158" t="inlineStr">
        <is>
          <t/>
        </is>
      </c>
      <c r="U70" s="159" t="n">
        <v>2013.0</v>
      </c>
      <c r="V70" s="160" t="inlineStr">
        <is>
          <t/>
        </is>
      </c>
      <c r="W70" s="161" t="inlineStr">
        <is>
          <t/>
        </is>
      </c>
      <c r="X70" s="162" t="inlineStr">
        <is>
          <t/>
        </is>
      </c>
      <c r="Y70" s="163" t="n">
        <v>0.35098</v>
      </c>
      <c r="Z70" s="164" t="inlineStr">
        <is>
          <t/>
        </is>
      </c>
      <c r="AA70" s="165" t="inlineStr">
        <is>
          <t/>
        </is>
      </c>
      <c r="AB70" s="166" t="inlineStr">
        <is>
          <t/>
        </is>
      </c>
      <c r="AC70" s="167" t="inlineStr">
        <is>
          <t/>
        </is>
      </c>
      <c r="AD70" s="168" t="inlineStr">
        <is>
          <t>FY 2016</t>
        </is>
      </c>
      <c r="AE70" s="169" t="inlineStr">
        <is>
          <t>75829-42P</t>
        </is>
      </c>
      <c r="AF70" s="170" t="inlineStr">
        <is>
          <t>Radoslav Albrecht</t>
        </is>
      </c>
      <c r="AG70" s="171" t="inlineStr">
        <is>
          <t>Chief Executive Officer &amp; Co-Founder</t>
        </is>
      </c>
      <c r="AH70" s="172" t="inlineStr">
        <is>
          <t>radoslav.albrecht@bitbond.com</t>
        </is>
      </c>
      <c r="AI70" s="173" t="inlineStr">
        <is>
          <t>+49 (0)32 2210 9599 2</t>
        </is>
      </c>
      <c r="AJ70" s="174" t="inlineStr">
        <is>
          <t>Berlin, Germany</t>
        </is>
      </c>
      <c r="AK70" s="175" t="inlineStr">
        <is>
          <t>Strelitzer Street 60</t>
        </is>
      </c>
      <c r="AL70" s="176" t="inlineStr">
        <is>
          <t/>
        </is>
      </c>
      <c r="AM70" s="177" t="inlineStr">
        <is>
          <t>Berlin</t>
        </is>
      </c>
      <c r="AN70" s="178" t="inlineStr">
        <is>
          <t/>
        </is>
      </c>
      <c r="AO70" s="179" t="inlineStr">
        <is>
          <t>10115</t>
        </is>
      </c>
      <c r="AP70" s="180" t="inlineStr">
        <is>
          <t>Germany</t>
        </is>
      </c>
      <c r="AQ70" s="181" t="inlineStr">
        <is>
          <t>+49 (0)32 2210 9599 2</t>
        </is>
      </c>
      <c r="AR70" s="182" t="inlineStr">
        <is>
          <t/>
        </is>
      </c>
      <c r="AS70" s="183" t="inlineStr">
        <is>
          <t>contact@bitbond.com</t>
        </is>
      </c>
      <c r="AT70" s="184" t="inlineStr">
        <is>
          <t>Europe</t>
        </is>
      </c>
      <c r="AU70" s="185" t="inlineStr">
        <is>
          <t>Western Europe</t>
        </is>
      </c>
      <c r="AV70" s="186" t="inlineStr">
        <is>
          <t>The company raised an undisclosed amount of venture funding through a combination of debt and equity from Obotritia Capital on May 10, 2017. EUR 5 million of loan was provided by Obotritia Capital. Earlier, the company raised EUR 1.1 million of angel funding in a deal led by Sekip Can Gökalp on February 22, 2017.</t>
        </is>
      </c>
      <c r="AW70" s="187" t="inlineStr">
        <is>
          <t>Alexander Graubner-Müller, Andreas Bodczek, Christian Vollmann, Felix Jahn, Florian Heinemann, Janis Zech, Nelson Holzner, Obotritia Capital, Point Nine Capital, Sekip Can Gökalp, Uwe Horstmann</t>
        </is>
      </c>
      <c r="AX70" s="188" t="n">
        <v>11.0</v>
      </c>
      <c r="AY70" s="189" t="inlineStr">
        <is>
          <t/>
        </is>
      </c>
      <c r="AZ70" s="190" t="inlineStr">
        <is>
          <t/>
        </is>
      </c>
      <c r="BA70" s="191" t="inlineStr">
        <is>
          <t/>
        </is>
      </c>
      <c r="BB70" s="192" t="inlineStr">
        <is>
          <t>Obotritia Capital (www.obotritia-capital.com), Point Nine Capital (www.pointninecap.com)</t>
        </is>
      </c>
      <c r="BC70" s="193" t="inlineStr">
        <is>
          <t/>
        </is>
      </c>
      <c r="BD70" s="194" t="inlineStr">
        <is>
          <t/>
        </is>
      </c>
      <c r="BE70" s="195" t="inlineStr">
        <is>
          <t/>
        </is>
      </c>
      <c r="BF70" s="196" t="inlineStr">
        <is>
          <t>Obotritia Capital</t>
        </is>
      </c>
      <c r="BG70" s="197" t="n">
        <v>41864.0</v>
      </c>
      <c r="BH70" s="198" t="n">
        <v>0.2</v>
      </c>
      <c r="BI70" s="199" t="inlineStr">
        <is>
          <t>Actual</t>
        </is>
      </c>
      <c r="BJ70" s="200" t="inlineStr">
        <is>
          <t/>
        </is>
      </c>
      <c r="BK70" s="201" t="inlineStr">
        <is>
          <t/>
        </is>
      </c>
      <c r="BL70" s="202" t="inlineStr">
        <is>
          <t>Seed Round</t>
        </is>
      </c>
      <c r="BM70" s="203" t="inlineStr">
        <is>
          <t>Seed</t>
        </is>
      </c>
      <c r="BN70" s="204" t="inlineStr">
        <is>
          <t/>
        </is>
      </c>
      <c r="BO70" s="205" t="inlineStr">
        <is>
          <t>Venture Capital</t>
        </is>
      </c>
      <c r="BP70" s="206" t="inlineStr">
        <is>
          <t/>
        </is>
      </c>
      <c r="BQ70" s="207" t="inlineStr">
        <is>
          <t/>
        </is>
      </c>
      <c r="BR70" s="208" t="inlineStr">
        <is>
          <t/>
        </is>
      </c>
      <c r="BS70" s="209" t="inlineStr">
        <is>
          <t>Completed</t>
        </is>
      </c>
      <c r="BT70" s="210" t="n">
        <v>42865.0</v>
      </c>
      <c r="BU70" s="211" t="inlineStr">
        <is>
          <t/>
        </is>
      </c>
      <c r="BV70" s="212" t="inlineStr">
        <is>
          <t/>
        </is>
      </c>
      <c r="BW70" s="213" t="inlineStr">
        <is>
          <t/>
        </is>
      </c>
      <c r="BX70" s="214" t="inlineStr">
        <is>
          <t/>
        </is>
      </c>
      <c r="BY70" s="215" t="inlineStr">
        <is>
          <t>Early Stage VC</t>
        </is>
      </c>
      <c r="BZ70" s="216" t="inlineStr">
        <is>
          <t/>
        </is>
      </c>
      <c r="CA70" s="217" t="inlineStr">
        <is>
          <t/>
        </is>
      </c>
      <c r="CB70" s="218" t="inlineStr">
        <is>
          <t>Venture Capital</t>
        </is>
      </c>
      <c r="CC70" s="219" t="inlineStr">
        <is>
          <t>Loan</t>
        </is>
      </c>
      <c r="CD70" s="220" t="inlineStr">
        <is>
          <t/>
        </is>
      </c>
      <c r="CE70" s="221" t="inlineStr">
        <is>
          <t/>
        </is>
      </c>
      <c r="CF70" s="222" t="inlineStr">
        <is>
          <t>Completed</t>
        </is>
      </c>
      <c r="CG70" s="223" t="inlineStr">
        <is>
          <t>0,67%</t>
        </is>
      </c>
      <c r="CH70" s="224" t="inlineStr">
        <is>
          <t>86</t>
        </is>
      </c>
      <c r="CI70" s="225" t="inlineStr">
        <is>
          <t>0,10%</t>
        </is>
      </c>
      <c r="CJ70" s="226" t="inlineStr">
        <is>
          <t>17,22%</t>
        </is>
      </c>
      <c r="CK70" s="227" t="inlineStr">
        <is>
          <t>0,46%</t>
        </is>
      </c>
      <c r="CL70" s="228" t="inlineStr">
        <is>
          <t>84</t>
        </is>
      </c>
      <c r="CM70" s="229" t="inlineStr">
        <is>
          <t>0,87%</t>
        </is>
      </c>
      <c r="CN70" s="230" t="inlineStr">
        <is>
          <t>95</t>
        </is>
      </c>
      <c r="CO70" s="231" t="inlineStr">
        <is>
          <t>-1,29%</t>
        </is>
      </c>
      <c r="CP70" s="232" t="inlineStr">
        <is>
          <t>19</t>
        </is>
      </c>
      <c r="CQ70" s="233" t="inlineStr">
        <is>
          <t>2,21%</t>
        </is>
      </c>
      <c r="CR70" s="234" t="inlineStr">
        <is>
          <t>91</t>
        </is>
      </c>
      <c r="CS70" s="235" t="inlineStr">
        <is>
          <t>0,87%</t>
        </is>
      </c>
      <c r="CT70" s="236" t="inlineStr">
        <is>
          <t>93</t>
        </is>
      </c>
      <c r="CU70" s="237" t="inlineStr">
        <is>
          <t/>
        </is>
      </c>
      <c r="CV70" s="238" t="inlineStr">
        <is>
          <t/>
        </is>
      </c>
      <c r="CW70" s="239" t="inlineStr">
        <is>
          <t>63,04x</t>
        </is>
      </c>
      <c r="CX70" s="240" t="inlineStr">
        <is>
          <t>96</t>
        </is>
      </c>
      <c r="CY70" s="241" t="inlineStr">
        <is>
          <t>0,71x</t>
        </is>
      </c>
      <c r="CZ70" s="242" t="inlineStr">
        <is>
          <t>1,15%</t>
        </is>
      </c>
      <c r="DA70" s="243" t="inlineStr">
        <is>
          <t>121,16x</t>
        </is>
      </c>
      <c r="DB70" s="244" t="inlineStr">
        <is>
          <t>98</t>
        </is>
      </c>
      <c r="DC70" s="245" t="inlineStr">
        <is>
          <t>4,91x</t>
        </is>
      </c>
      <c r="DD70" s="246" t="inlineStr">
        <is>
          <t>76</t>
        </is>
      </c>
      <c r="DE70" s="247" t="inlineStr">
        <is>
          <t>202,60x</t>
        </is>
      </c>
      <c r="DF70" s="248" t="inlineStr">
        <is>
          <t>97</t>
        </is>
      </c>
      <c r="DG70" s="249" t="inlineStr">
        <is>
          <t>39,72x</t>
        </is>
      </c>
      <c r="DH70" s="250" t="inlineStr">
        <is>
          <t>96</t>
        </is>
      </c>
      <c r="DI70" s="251" t="inlineStr">
        <is>
          <t>4,91x</t>
        </is>
      </c>
      <c r="DJ70" s="252" t="inlineStr">
        <is>
          <t>75</t>
        </is>
      </c>
      <c r="DK70" s="253" t="inlineStr">
        <is>
          <t/>
        </is>
      </c>
      <c r="DL70" s="254" t="inlineStr">
        <is>
          <t/>
        </is>
      </c>
      <c r="DM70" s="255" t="inlineStr">
        <is>
          <t>126.204</t>
        </is>
      </c>
      <c r="DN70" s="256" t="inlineStr">
        <is>
          <t>-4.824</t>
        </is>
      </c>
      <c r="DO70" s="257" t="inlineStr">
        <is>
          <t>-3,68%</t>
        </is>
      </c>
      <c r="DP70" s="258" t="inlineStr">
        <is>
          <t>3.911</t>
        </is>
      </c>
      <c r="DQ70" s="259" t="inlineStr">
        <is>
          <t>16</t>
        </is>
      </c>
      <c r="DR70" s="260" t="inlineStr">
        <is>
          <t>0,41%</t>
        </is>
      </c>
      <c r="DS70" s="261" t="inlineStr">
        <is>
          <t>1.406</t>
        </is>
      </c>
      <c r="DT70" s="262" t="inlineStr">
        <is>
          <t>49</t>
        </is>
      </c>
      <c r="DU70" s="263" t="inlineStr">
        <is>
          <t>3,61%</t>
        </is>
      </c>
      <c r="DV70" s="264" t="inlineStr">
        <is>
          <t/>
        </is>
      </c>
      <c r="DW70" s="265" t="inlineStr">
        <is>
          <t/>
        </is>
      </c>
      <c r="DX70" s="266" t="inlineStr">
        <is>
          <t/>
        </is>
      </c>
      <c r="DY70" s="267" t="inlineStr">
        <is>
          <t>PitchBook Research</t>
        </is>
      </c>
      <c r="DZ70" s="786">
        <f>HYPERLINK("https://my.pitchbook.com?c=65987-29", "View company online")</f>
      </c>
    </row>
    <row r="71">
      <c r="A71" s="9" t="inlineStr">
        <is>
          <t>66003-22</t>
        </is>
      </c>
      <c r="B71" s="10" t="inlineStr">
        <is>
          <t>Bitmovin</t>
        </is>
      </c>
      <c r="C71" s="11" t="inlineStr">
        <is>
          <t/>
        </is>
      </c>
      <c r="D71" s="12" t="inlineStr">
        <is>
          <t/>
        </is>
      </c>
      <c r="E71" s="13" t="inlineStr">
        <is>
          <t>66003-22</t>
        </is>
      </c>
      <c r="F71" s="14" t="inlineStr">
        <is>
          <t>Provider of an online media streaming platform. The company develops a cloud-based video encoding platform which enables native HTML5 playback without the need for plugins like Flash or Silverlight.</t>
        </is>
      </c>
      <c r="G71" s="15" t="inlineStr">
        <is>
          <t>Information Technology</t>
        </is>
      </c>
      <c r="H71" s="16" t="inlineStr">
        <is>
          <t>Software</t>
        </is>
      </c>
      <c r="I71" s="17" t="inlineStr">
        <is>
          <t>Multimedia and Design Software</t>
        </is>
      </c>
      <c r="J71" s="18" t="inlineStr">
        <is>
          <t>Multimedia and Design Software*; Social/Platform Software</t>
        </is>
      </c>
      <c r="K71" s="19" t="inlineStr">
        <is>
          <t>SaaS</t>
        </is>
      </c>
      <c r="L71" s="20" t="inlineStr">
        <is>
          <t>Venture Capital-Backed</t>
        </is>
      </c>
      <c r="M71" s="21" t="n">
        <v>9.74</v>
      </c>
      <c r="N71" s="22" t="inlineStr">
        <is>
          <t>Startup</t>
        </is>
      </c>
      <c r="O71" s="23" t="inlineStr">
        <is>
          <t>Privately Held (backing)</t>
        </is>
      </c>
      <c r="P71" s="24" t="inlineStr">
        <is>
          <t>Venture Capital</t>
        </is>
      </c>
      <c r="Q71" s="25" t="inlineStr">
        <is>
          <t>www.bitmovin.com</t>
        </is>
      </c>
      <c r="R71" s="26" t="n">
        <v>30.0</v>
      </c>
      <c r="S71" s="27" t="inlineStr">
        <is>
          <t/>
        </is>
      </c>
      <c r="T71" s="28" t="inlineStr">
        <is>
          <t/>
        </is>
      </c>
      <c r="U71" s="29" t="n">
        <v>2012.0</v>
      </c>
      <c r="V71" s="30" t="inlineStr">
        <is>
          <t/>
        </is>
      </c>
      <c r="W71" s="31" t="inlineStr">
        <is>
          <t/>
        </is>
      </c>
      <c r="X71" s="32" t="inlineStr">
        <is>
          <t/>
        </is>
      </c>
      <c r="Y71" s="33" t="inlineStr">
        <is>
          <t/>
        </is>
      </c>
      <c r="Z71" s="34" t="inlineStr">
        <is>
          <t/>
        </is>
      </c>
      <c r="AA71" s="35" t="inlineStr">
        <is>
          <t/>
        </is>
      </c>
      <c r="AB71" s="36" t="inlineStr">
        <is>
          <t/>
        </is>
      </c>
      <c r="AC71" s="37" t="inlineStr">
        <is>
          <t/>
        </is>
      </c>
      <c r="AD71" s="38" t="inlineStr">
        <is>
          <t/>
        </is>
      </c>
      <c r="AE71" s="39" t="inlineStr">
        <is>
          <t>96842-98P</t>
        </is>
      </c>
      <c r="AF71" s="40" t="inlineStr">
        <is>
          <t>Stefan Lederer</t>
        </is>
      </c>
      <c r="AG71" s="41" t="inlineStr">
        <is>
          <t>Co-Founder and Chief Executive Officer</t>
        </is>
      </c>
      <c r="AH71" s="42" t="inlineStr">
        <is>
          <t>stefan.lederer@bitmovin.net</t>
        </is>
      </c>
      <c r="AI71" s="43" t="inlineStr">
        <is>
          <t>+43 (0)463 2030 14</t>
        </is>
      </c>
      <c r="AJ71" s="44" t="inlineStr">
        <is>
          <t>Klagenfurt, Austria</t>
        </is>
      </c>
      <c r="AK71" s="45" t="inlineStr">
        <is>
          <t>Schleppe Platz 7</t>
        </is>
      </c>
      <c r="AL71" s="46" t="inlineStr">
        <is>
          <t/>
        </is>
      </c>
      <c r="AM71" s="47" t="inlineStr">
        <is>
          <t>Klagenfurt</t>
        </is>
      </c>
      <c r="AN71" s="48" t="inlineStr">
        <is>
          <t/>
        </is>
      </c>
      <c r="AO71" s="49" t="inlineStr">
        <is>
          <t>9020</t>
        </is>
      </c>
      <c r="AP71" s="50" t="inlineStr">
        <is>
          <t>Austria</t>
        </is>
      </c>
      <c r="AQ71" s="51" t="inlineStr">
        <is>
          <t>+43 (0)463 2030 14</t>
        </is>
      </c>
      <c r="AR71" s="52" t="inlineStr">
        <is>
          <t/>
        </is>
      </c>
      <c r="AS71" s="53" t="inlineStr">
        <is>
          <t>office@bitmovin.com</t>
        </is>
      </c>
      <c r="AT71" s="54" t="inlineStr">
        <is>
          <t>Europe</t>
        </is>
      </c>
      <c r="AU71" s="55" t="inlineStr">
        <is>
          <t>Western Europe</t>
        </is>
      </c>
      <c r="AV71" s="56" t="inlineStr">
        <is>
          <t>The company raised $10.91 million through a combination of Series A1, A2, and A3 venture funding in a deal led by Atomico on September 18, 2016, putting the pre-money valuation at $24.09 million. Dawn Capital, Speedinvest, SV Tech Ventures, Y Combinator, David Helgason, Chris Kaiser, Edward Kozel and other undisclosed investors also participated. The company will use the funding to accelerate development of video playback technologies for existing and new platforms.</t>
        </is>
      </c>
      <c r="AW71" s="57" t="inlineStr">
        <is>
          <t>7percent Ventures, Atomico, ChinaRock Capital Management, Christian Kaiser, Constantia Industries, David Helgason, Dawn Capital, Edward Kozel, Erik Bovee, Greg Castle, Speedinvest, SV Tech Ventures, Y Combinator, Zillionize</t>
        </is>
      </c>
      <c r="AX71" s="58" t="n">
        <v>14.0</v>
      </c>
      <c r="AY71" s="59" t="inlineStr">
        <is>
          <t/>
        </is>
      </c>
      <c r="AZ71" s="60" t="inlineStr">
        <is>
          <t/>
        </is>
      </c>
      <c r="BA71" s="61" t="inlineStr">
        <is>
          <t/>
        </is>
      </c>
      <c r="BB71" s="62" t="inlineStr">
        <is>
          <t>7percent Ventures (www.7pc.co), Atomico (www.atomico.com), ChinaRock Capital Management (www.crcmvc.com), Constantia Industries (www.ciag.at), Dawn Capital (www.dawncapital.com), Speedinvest (www.speedinvest.com), SV Tech Ventures (www.svtechventures.com), Y Combinator (www.ycombinator.com), Zillionize (www.zillionize.com)</t>
        </is>
      </c>
      <c r="BC71" s="63" t="inlineStr">
        <is>
          <t/>
        </is>
      </c>
      <c r="BD71" s="64" t="inlineStr">
        <is>
          <t/>
        </is>
      </c>
      <c r="BE71" s="65" t="inlineStr">
        <is>
          <t>Cooley (Legal Advisor)</t>
        </is>
      </c>
      <c r="BF71" s="66" t="inlineStr">
        <is>
          <t>Cooley (Legal Advisor)</t>
        </is>
      </c>
      <c r="BG71" s="67" t="n">
        <v>41863.0</v>
      </c>
      <c r="BH71" s="68" t="inlineStr">
        <is>
          <t/>
        </is>
      </c>
      <c r="BI71" s="69" t="inlineStr">
        <is>
          <t/>
        </is>
      </c>
      <c r="BJ71" s="70" t="inlineStr">
        <is>
          <t/>
        </is>
      </c>
      <c r="BK71" s="71" t="inlineStr">
        <is>
          <t/>
        </is>
      </c>
      <c r="BL71" s="72" t="inlineStr">
        <is>
          <t>Seed Round</t>
        </is>
      </c>
      <c r="BM71" s="73" t="inlineStr">
        <is>
          <t>Seed</t>
        </is>
      </c>
      <c r="BN71" s="74" t="inlineStr">
        <is>
          <t/>
        </is>
      </c>
      <c r="BO71" s="75" t="inlineStr">
        <is>
          <t>Venture Capital</t>
        </is>
      </c>
      <c r="BP71" s="76" t="inlineStr">
        <is>
          <t/>
        </is>
      </c>
      <c r="BQ71" s="77" t="inlineStr">
        <is>
          <t/>
        </is>
      </c>
      <c r="BR71" s="78" t="inlineStr">
        <is>
          <t/>
        </is>
      </c>
      <c r="BS71" s="79" t="inlineStr">
        <is>
          <t>Completed</t>
        </is>
      </c>
      <c r="BT71" s="80" t="n">
        <v>42631.0</v>
      </c>
      <c r="BU71" s="81" t="n">
        <v>9.74</v>
      </c>
      <c r="BV71" s="82" t="inlineStr">
        <is>
          <t>Actual</t>
        </is>
      </c>
      <c r="BW71" s="83" t="n">
        <v>31.24</v>
      </c>
      <c r="BX71" s="84" t="inlineStr">
        <is>
          <t>Actual</t>
        </is>
      </c>
      <c r="BY71" s="85" t="inlineStr">
        <is>
          <t>Early Stage VC</t>
        </is>
      </c>
      <c r="BZ71" s="86" t="inlineStr">
        <is>
          <t/>
        </is>
      </c>
      <c r="CA71" s="87" t="inlineStr">
        <is>
          <t/>
        </is>
      </c>
      <c r="CB71" s="88" t="inlineStr">
        <is>
          <t>Venture Capital</t>
        </is>
      </c>
      <c r="CC71" s="89" t="inlineStr">
        <is>
          <t/>
        </is>
      </c>
      <c r="CD71" s="90" t="inlineStr">
        <is>
          <t/>
        </is>
      </c>
      <c r="CE71" s="91" t="inlineStr">
        <is>
          <t/>
        </is>
      </c>
      <c r="CF71" s="92" t="inlineStr">
        <is>
          <t>Completed</t>
        </is>
      </c>
      <c r="CG71" s="93" t="inlineStr">
        <is>
          <t>-1,09%</t>
        </is>
      </c>
      <c r="CH71" s="94" t="inlineStr">
        <is>
          <t>5</t>
        </is>
      </c>
      <c r="CI71" s="95" t="inlineStr">
        <is>
          <t>0,00%</t>
        </is>
      </c>
      <c r="CJ71" s="96" t="inlineStr">
        <is>
          <t>0,02%</t>
        </is>
      </c>
      <c r="CK71" s="97" t="inlineStr">
        <is>
          <t>-2,28%</t>
        </is>
      </c>
      <c r="CL71" s="98" t="inlineStr">
        <is>
          <t>5</t>
        </is>
      </c>
      <c r="CM71" s="99" t="inlineStr">
        <is>
          <t>0,10%</t>
        </is>
      </c>
      <c r="CN71" s="100" t="inlineStr">
        <is>
          <t>60</t>
        </is>
      </c>
      <c r="CO71" s="101" t="inlineStr">
        <is>
          <t>-2,28%</t>
        </is>
      </c>
      <c r="CP71" s="102" t="inlineStr">
        <is>
          <t>14</t>
        </is>
      </c>
      <c r="CQ71" s="103" t="inlineStr">
        <is>
          <t/>
        </is>
      </c>
      <c r="CR71" s="104" t="inlineStr">
        <is>
          <t/>
        </is>
      </c>
      <c r="CS71" s="105" t="inlineStr">
        <is>
          <t>0,11%</t>
        </is>
      </c>
      <c r="CT71" s="106" t="inlineStr">
        <is>
          <t>59</t>
        </is>
      </c>
      <c r="CU71" s="107" t="inlineStr">
        <is>
          <t>0,08%</t>
        </is>
      </c>
      <c r="CV71" s="108" t="inlineStr">
        <is>
          <t>65</t>
        </is>
      </c>
      <c r="CW71" s="109" t="inlineStr">
        <is>
          <t>49,81x</t>
        </is>
      </c>
      <c r="CX71" s="110" t="inlineStr">
        <is>
          <t>96</t>
        </is>
      </c>
      <c r="CY71" s="111" t="inlineStr">
        <is>
          <t>0,09x</t>
        </is>
      </c>
      <c r="CZ71" s="112" t="inlineStr">
        <is>
          <t>0,19%</t>
        </is>
      </c>
      <c r="DA71" s="113" t="inlineStr">
        <is>
          <t>90,37x</t>
        </is>
      </c>
      <c r="DB71" s="114" t="inlineStr">
        <is>
          <t>98</t>
        </is>
      </c>
      <c r="DC71" s="115" t="inlineStr">
        <is>
          <t>9,25x</t>
        </is>
      </c>
      <c r="DD71" s="116" t="inlineStr">
        <is>
          <t>83</t>
        </is>
      </c>
      <c r="DE71" s="117" t="inlineStr">
        <is>
          <t>90,37x</t>
        </is>
      </c>
      <c r="DF71" s="118" t="inlineStr">
        <is>
          <t>95</t>
        </is>
      </c>
      <c r="DG71" s="119" t="inlineStr">
        <is>
          <t/>
        </is>
      </c>
      <c r="DH71" s="120" t="inlineStr">
        <is>
          <t/>
        </is>
      </c>
      <c r="DI71" s="121" t="inlineStr">
        <is>
          <t>2,67x</t>
        </is>
      </c>
      <c r="DJ71" s="122" t="inlineStr">
        <is>
          <t>66</t>
        </is>
      </c>
      <c r="DK71" s="123" t="inlineStr">
        <is>
          <t>15,82x</t>
        </is>
      </c>
      <c r="DL71" s="124" t="inlineStr">
        <is>
          <t>90</t>
        </is>
      </c>
      <c r="DM71" s="125" t="inlineStr">
        <is>
          <t>56.060</t>
        </is>
      </c>
      <c r="DN71" s="126" t="inlineStr">
        <is>
          <t>-1.440</t>
        </is>
      </c>
      <c r="DO71" s="127" t="inlineStr">
        <is>
          <t>-2,50%</t>
        </is>
      </c>
      <c r="DP71" s="128" t="inlineStr">
        <is>
          <t>2.136</t>
        </is>
      </c>
      <c r="DQ71" s="129" t="inlineStr">
        <is>
          <t>1</t>
        </is>
      </c>
      <c r="DR71" s="130" t="inlineStr">
        <is>
          <t>0,05%</t>
        </is>
      </c>
      <c r="DS71" s="131" t="inlineStr">
        <is>
          <t/>
        </is>
      </c>
      <c r="DT71" s="132" t="inlineStr">
        <is>
          <t/>
        </is>
      </c>
      <c r="DU71" s="133" t="inlineStr">
        <is>
          <t/>
        </is>
      </c>
      <c r="DV71" s="134" t="inlineStr">
        <is>
          <t>5.421</t>
        </is>
      </c>
      <c r="DW71" s="135" t="inlineStr">
        <is>
          <t>0</t>
        </is>
      </c>
      <c r="DX71" s="136" t="inlineStr">
        <is>
          <t>0,00%</t>
        </is>
      </c>
      <c r="DY71" s="137" t="inlineStr">
        <is>
          <t>PitchBook Research</t>
        </is>
      </c>
      <c r="DZ71" s="785">
        <f>HYPERLINK("https://my.pitchbook.com?c=66003-22", "View company online")</f>
      </c>
    </row>
    <row r="72">
      <c r="A72" s="139" t="inlineStr">
        <is>
          <t>63116-29</t>
        </is>
      </c>
      <c r="B72" s="140" t="inlineStr">
        <is>
          <t>Bitstamp</t>
        </is>
      </c>
      <c r="C72" s="141" t="inlineStr">
        <is>
          <t/>
        </is>
      </c>
      <c r="D72" s="142" t="inlineStr">
        <is>
          <t/>
        </is>
      </c>
      <c r="E72" s="143" t="inlineStr">
        <is>
          <t>63116-29</t>
        </is>
      </c>
      <c r="F72" s="144" t="inlineStr">
        <is>
          <t>Provider of an online bitcoin marketplace. The company allows users to safely buy and sell bitcoins.</t>
        </is>
      </c>
      <c r="G72" s="145" t="inlineStr">
        <is>
          <t>Financial Services</t>
        </is>
      </c>
      <c r="H72" s="146" t="inlineStr">
        <is>
          <t>Other Financial Services</t>
        </is>
      </c>
      <c r="I72" s="147" t="inlineStr">
        <is>
          <t>Other Financial Services</t>
        </is>
      </c>
      <c r="J72" s="148" t="inlineStr">
        <is>
          <t>Other Financial Services*; Financial Software</t>
        </is>
      </c>
      <c r="K72" s="149" t="inlineStr">
        <is>
          <t>FinTech</t>
        </is>
      </c>
      <c r="L72" s="150" t="inlineStr">
        <is>
          <t>Venture Capital-Backed</t>
        </is>
      </c>
      <c r="M72" s="151" t="n">
        <v>7.3</v>
      </c>
      <c r="N72" s="152" t="inlineStr">
        <is>
          <t>Product Development</t>
        </is>
      </c>
      <c r="O72" s="153" t="inlineStr">
        <is>
          <t>Privately Held (backing)</t>
        </is>
      </c>
      <c r="P72" s="154" t="inlineStr">
        <is>
          <t>Venture Capital</t>
        </is>
      </c>
      <c r="Q72" s="155" t="inlineStr">
        <is>
          <t/>
        </is>
      </c>
      <c r="R72" s="156" t="n">
        <v>20.0</v>
      </c>
      <c r="S72" s="157" t="inlineStr">
        <is>
          <t/>
        </is>
      </c>
      <c r="T72" s="158" t="inlineStr">
        <is>
          <t/>
        </is>
      </c>
      <c r="U72" s="159" t="n">
        <v>2012.0</v>
      </c>
      <c r="V72" s="160" t="inlineStr">
        <is>
          <t/>
        </is>
      </c>
      <c r="W72" s="161" t="inlineStr">
        <is>
          <t/>
        </is>
      </c>
      <c r="X72" s="162" t="inlineStr">
        <is>
          <t/>
        </is>
      </c>
      <c r="Y72" s="163" t="n">
        <v>16.2342</v>
      </c>
      <c r="Z72" s="164" t="inlineStr">
        <is>
          <t/>
        </is>
      </c>
      <c r="AA72" s="165" t="inlineStr">
        <is>
          <t/>
        </is>
      </c>
      <c r="AB72" s="166" t="inlineStr">
        <is>
          <t/>
        </is>
      </c>
      <c r="AC72" s="167" t="inlineStr">
        <is>
          <t/>
        </is>
      </c>
      <c r="AD72" s="168" t="inlineStr">
        <is>
          <t>FY 2014</t>
        </is>
      </c>
      <c r="AE72" s="169" t="inlineStr">
        <is>
          <t>75850-48P</t>
        </is>
      </c>
      <c r="AF72" s="170" t="inlineStr">
        <is>
          <t>Nejc Kodric</t>
        </is>
      </c>
      <c r="AG72" s="171" t="inlineStr">
        <is>
          <t>Co-Founder, Board Member &amp; Chief Executive Officer</t>
        </is>
      </c>
      <c r="AH72" s="172" t="inlineStr">
        <is>
          <t>nejc.kodric@bitstamp.net</t>
        </is>
      </c>
      <c r="AI72" s="173" t="inlineStr">
        <is>
          <t>+44 (0)20 8133 5474</t>
        </is>
      </c>
      <c r="AJ72" s="174" t="inlineStr">
        <is>
          <t>London, United Kingdom</t>
        </is>
      </c>
      <c r="AK72" s="175" t="inlineStr">
        <is>
          <t>5 New Street Square</t>
        </is>
      </c>
      <c r="AL72" s="176" t="inlineStr">
        <is>
          <t/>
        </is>
      </c>
      <c r="AM72" s="177" t="inlineStr">
        <is>
          <t>London</t>
        </is>
      </c>
      <c r="AN72" s="178" t="inlineStr">
        <is>
          <t>England</t>
        </is>
      </c>
      <c r="AO72" s="179" t="inlineStr">
        <is>
          <t>EC4A 3TW</t>
        </is>
      </c>
      <c r="AP72" s="180" t="inlineStr">
        <is>
          <t>United Kingdom</t>
        </is>
      </c>
      <c r="AQ72" s="181" t="inlineStr">
        <is>
          <t>+44 (0)20 8133 5474</t>
        </is>
      </c>
      <c r="AR72" s="182" t="inlineStr">
        <is>
          <t/>
        </is>
      </c>
      <c r="AS72" s="183" t="inlineStr">
        <is>
          <t>info@bitstamp.net</t>
        </is>
      </c>
      <c r="AT72" s="184" t="inlineStr">
        <is>
          <t>Europe</t>
        </is>
      </c>
      <c r="AU72" s="185" t="inlineStr">
        <is>
          <t>Western Europe</t>
        </is>
      </c>
      <c r="AV72" s="186" t="inlineStr">
        <is>
          <t>The company raised $10 million of Series A venture funding from Pantera Capital on December 17, 2013, putting the pre-money valuation $34.14 million.</t>
        </is>
      </c>
      <c r="AW72" s="187" t="inlineStr">
        <is>
          <t>Pantera Capital</t>
        </is>
      </c>
      <c r="AX72" s="188" t="n">
        <v>1.0</v>
      </c>
      <c r="AY72" s="189" t="inlineStr">
        <is>
          <t/>
        </is>
      </c>
      <c r="AZ72" s="190" t="inlineStr">
        <is>
          <t/>
        </is>
      </c>
      <c r="BA72" s="191" t="inlineStr">
        <is>
          <t/>
        </is>
      </c>
      <c r="BB72" s="192" t="inlineStr">
        <is>
          <t>Pantera Capital (www.panteracapital.com)</t>
        </is>
      </c>
      <c r="BC72" s="193" t="inlineStr">
        <is>
          <t/>
        </is>
      </c>
      <c r="BD72" s="194" t="inlineStr">
        <is>
          <t/>
        </is>
      </c>
      <c r="BE72" s="195" t="inlineStr">
        <is>
          <t>Maclay Murray &amp; Spens (Legal Advisor)</t>
        </is>
      </c>
      <c r="BF72" s="196" t="inlineStr">
        <is>
          <t/>
        </is>
      </c>
      <c r="BG72" s="197" t="n">
        <v>41625.0</v>
      </c>
      <c r="BH72" s="198" t="n">
        <v>7.3</v>
      </c>
      <c r="BI72" s="199" t="inlineStr">
        <is>
          <t>Actual</t>
        </is>
      </c>
      <c r="BJ72" s="200" t="n">
        <v>32.23</v>
      </c>
      <c r="BK72" s="201" t="inlineStr">
        <is>
          <t>Actual</t>
        </is>
      </c>
      <c r="BL72" s="202" t="inlineStr">
        <is>
          <t>Early Stage VC</t>
        </is>
      </c>
      <c r="BM72" s="203" t="inlineStr">
        <is>
          <t>Series A</t>
        </is>
      </c>
      <c r="BN72" s="204" t="inlineStr">
        <is>
          <t/>
        </is>
      </c>
      <c r="BO72" s="205" t="inlineStr">
        <is>
          <t>Venture Capital</t>
        </is>
      </c>
      <c r="BP72" s="206" t="inlineStr">
        <is>
          <t/>
        </is>
      </c>
      <c r="BQ72" s="207" t="inlineStr">
        <is>
          <t/>
        </is>
      </c>
      <c r="BR72" s="208" t="inlineStr">
        <is>
          <t/>
        </is>
      </c>
      <c r="BS72" s="209" t="inlineStr">
        <is>
          <t>Completed</t>
        </is>
      </c>
      <c r="BT72" s="210" t="n">
        <v>41625.0</v>
      </c>
      <c r="BU72" s="211" t="n">
        <v>7.3</v>
      </c>
      <c r="BV72" s="212" t="inlineStr">
        <is>
          <t>Actual</t>
        </is>
      </c>
      <c r="BW72" s="213" t="n">
        <v>32.23</v>
      </c>
      <c r="BX72" s="214" t="inlineStr">
        <is>
          <t>Actual</t>
        </is>
      </c>
      <c r="BY72" s="215" t="inlineStr">
        <is>
          <t>Early Stage VC</t>
        </is>
      </c>
      <c r="BZ72" s="216" t="inlineStr">
        <is>
          <t>Series A</t>
        </is>
      </c>
      <c r="CA72" s="217" t="inlineStr">
        <is>
          <t/>
        </is>
      </c>
      <c r="CB72" s="218" t="inlineStr">
        <is>
          <t>Venture Capital</t>
        </is>
      </c>
      <c r="CC72" s="219" t="inlineStr">
        <is>
          <t/>
        </is>
      </c>
      <c r="CD72" s="220" t="inlineStr">
        <is>
          <t/>
        </is>
      </c>
      <c r="CE72" s="221" t="inlineStr">
        <is>
          <t/>
        </is>
      </c>
      <c r="CF72" s="222" t="inlineStr">
        <is>
          <t>Completed</t>
        </is>
      </c>
      <c r="CG72" s="223" t="inlineStr">
        <is>
          <t/>
        </is>
      </c>
      <c r="CH72" s="224" t="inlineStr">
        <is>
          <t/>
        </is>
      </c>
      <c r="CI72" s="225" t="inlineStr">
        <is>
          <t/>
        </is>
      </c>
      <c r="CJ72" s="226" t="inlineStr">
        <is>
          <t/>
        </is>
      </c>
      <c r="CK72" s="227" t="inlineStr">
        <is>
          <t/>
        </is>
      </c>
      <c r="CL72" s="228" t="inlineStr">
        <is>
          <t/>
        </is>
      </c>
      <c r="CM72" s="229" t="inlineStr">
        <is>
          <t/>
        </is>
      </c>
      <c r="CN72" s="230" t="inlineStr">
        <is>
          <t/>
        </is>
      </c>
      <c r="CO72" s="231" t="inlineStr">
        <is>
          <t/>
        </is>
      </c>
      <c r="CP72" s="232" t="inlineStr">
        <is>
          <t/>
        </is>
      </c>
      <c r="CQ72" s="233" t="inlineStr">
        <is>
          <t/>
        </is>
      </c>
      <c r="CR72" s="234" t="inlineStr">
        <is>
          <t/>
        </is>
      </c>
      <c r="CS72" s="235" t="inlineStr">
        <is>
          <t/>
        </is>
      </c>
      <c r="CT72" s="236" t="inlineStr">
        <is>
          <t/>
        </is>
      </c>
      <c r="CU72" s="237" t="inlineStr">
        <is>
          <t/>
        </is>
      </c>
      <c r="CV72" s="238" t="inlineStr">
        <is>
          <t/>
        </is>
      </c>
      <c r="CW72" s="239" t="inlineStr">
        <is>
          <t/>
        </is>
      </c>
      <c r="CX72" s="240" t="inlineStr">
        <is>
          <t/>
        </is>
      </c>
      <c r="CY72" s="241" t="inlineStr">
        <is>
          <t/>
        </is>
      </c>
      <c r="CZ72" s="242" t="inlineStr">
        <is>
          <t/>
        </is>
      </c>
      <c r="DA72" s="243" t="inlineStr">
        <is>
          <t/>
        </is>
      </c>
      <c r="DB72" s="244" t="inlineStr">
        <is>
          <t/>
        </is>
      </c>
      <c r="DC72" s="245" t="inlineStr">
        <is>
          <t/>
        </is>
      </c>
      <c r="DD72" s="246" t="inlineStr">
        <is>
          <t/>
        </is>
      </c>
      <c r="DE72" s="247" t="inlineStr">
        <is>
          <t/>
        </is>
      </c>
      <c r="DF72" s="248" t="inlineStr">
        <is>
          <t/>
        </is>
      </c>
      <c r="DG72" s="249" t="inlineStr">
        <is>
          <t/>
        </is>
      </c>
      <c r="DH72" s="250" t="inlineStr">
        <is>
          <t/>
        </is>
      </c>
      <c r="DI72" s="251" t="inlineStr">
        <is>
          <t/>
        </is>
      </c>
      <c r="DJ72" s="252" t="inlineStr">
        <is>
          <t/>
        </is>
      </c>
      <c r="DK72" s="253" t="inlineStr">
        <is>
          <t/>
        </is>
      </c>
      <c r="DL72" s="254" t="inlineStr">
        <is>
          <t/>
        </is>
      </c>
      <c r="DM72" s="255" t="inlineStr">
        <is>
          <t/>
        </is>
      </c>
      <c r="DN72" s="256" t="inlineStr">
        <is>
          <t/>
        </is>
      </c>
      <c r="DO72" s="257" t="inlineStr">
        <is>
          <t/>
        </is>
      </c>
      <c r="DP72" s="258" t="inlineStr">
        <is>
          <t/>
        </is>
      </c>
      <c r="DQ72" s="259" t="inlineStr">
        <is>
          <t/>
        </is>
      </c>
      <c r="DR72" s="260" t="inlineStr">
        <is>
          <t/>
        </is>
      </c>
      <c r="DS72" s="261" t="inlineStr">
        <is>
          <t/>
        </is>
      </c>
      <c r="DT72" s="262" t="inlineStr">
        <is>
          <t/>
        </is>
      </c>
      <c r="DU72" s="263" t="inlineStr">
        <is>
          <t/>
        </is>
      </c>
      <c r="DV72" s="264" t="inlineStr">
        <is>
          <t/>
        </is>
      </c>
      <c r="DW72" s="265" t="inlineStr">
        <is>
          <t/>
        </is>
      </c>
      <c r="DX72" s="266" t="inlineStr">
        <is>
          <t/>
        </is>
      </c>
      <c r="DY72" s="267" t="inlineStr">
        <is>
          <t>PitchBook Research</t>
        </is>
      </c>
      <c r="DZ72" s="786">
        <f>HYPERLINK("https://my.pitchbook.com?c=63116-29", "View company online")</f>
      </c>
    </row>
    <row r="73">
      <c r="A73" s="9" t="inlineStr">
        <is>
          <t>64408-69</t>
        </is>
      </c>
      <c r="B73" s="10" t="inlineStr">
        <is>
          <t>Blackwood Seven</t>
        </is>
      </c>
      <c r="C73" s="11" t="inlineStr">
        <is>
          <t/>
        </is>
      </c>
      <c r="D73" s="12" t="inlineStr">
        <is>
          <t/>
        </is>
      </c>
      <c r="E73" s="13" t="inlineStr">
        <is>
          <t>64408-69</t>
        </is>
      </c>
      <c r="F73" s="14" t="inlineStr">
        <is>
          <t>Provider of a media analytics and predictive sales modelling platform. The company's platform allows advertisers to predict, execute and evaluate real business outcomes of their media investments. It's software platform uses advanced predictive analytics and artificial intelligence to predict and achieve the optimal effects from all paid media.</t>
        </is>
      </c>
      <c r="G73" s="15" t="inlineStr">
        <is>
          <t>Information Technology</t>
        </is>
      </c>
      <c r="H73" s="16" t="inlineStr">
        <is>
          <t>Software</t>
        </is>
      </c>
      <c r="I73" s="17" t="inlineStr">
        <is>
          <t>Business/Productivity Software</t>
        </is>
      </c>
      <c r="J73" s="18" t="inlineStr">
        <is>
          <t>Business/Productivity Software*; Media and Information Services (B2B); Social/Platform Software</t>
        </is>
      </c>
      <c r="K73" s="19" t="inlineStr">
        <is>
          <t>AdTech, Artificial Intelligence &amp; Machine Learning, SaaS</t>
        </is>
      </c>
      <c r="L73" s="20" t="inlineStr">
        <is>
          <t>Venture Capital-Backed</t>
        </is>
      </c>
      <c r="M73" s="21" t="n">
        <v>20.2</v>
      </c>
      <c r="N73" s="22" t="inlineStr">
        <is>
          <t>Generating Revenue</t>
        </is>
      </c>
      <c r="O73" s="23" t="inlineStr">
        <is>
          <t>Privately Held (backing)</t>
        </is>
      </c>
      <c r="P73" s="24" t="inlineStr">
        <is>
          <t>Venture Capital</t>
        </is>
      </c>
      <c r="Q73" s="25" t="inlineStr">
        <is>
          <t>www.blackwoodseven.com</t>
        </is>
      </c>
      <c r="R73" s="26" t="n">
        <v>175.0</v>
      </c>
      <c r="S73" s="27" t="inlineStr">
        <is>
          <t/>
        </is>
      </c>
      <c r="T73" s="28" t="inlineStr">
        <is>
          <t/>
        </is>
      </c>
      <c r="U73" s="29" t="n">
        <v>2013.0</v>
      </c>
      <c r="V73" s="30" t="inlineStr">
        <is>
          <t/>
        </is>
      </c>
      <c r="W73" s="31" t="inlineStr">
        <is>
          <t/>
        </is>
      </c>
      <c r="X73" s="32" t="inlineStr">
        <is>
          <t/>
        </is>
      </c>
      <c r="Y73" s="33" t="n">
        <v>41.58172</v>
      </c>
      <c r="Z73" s="34" t="n">
        <v>0.79011</v>
      </c>
      <c r="AA73" s="35" t="n">
        <v>-4.16185</v>
      </c>
      <c r="AB73" s="36" t="inlineStr">
        <is>
          <t/>
        </is>
      </c>
      <c r="AC73" s="37" t="n">
        <v>-3.01343</v>
      </c>
      <c r="AD73" s="38" t="inlineStr">
        <is>
          <t>FY 2015</t>
        </is>
      </c>
      <c r="AE73" s="39" t="inlineStr">
        <is>
          <t>101784-07P</t>
        </is>
      </c>
      <c r="AF73" s="40" t="inlineStr">
        <is>
          <t>Nils Mortensen</t>
        </is>
      </c>
      <c r="AG73" s="41" t="inlineStr">
        <is>
          <t>Chief Financial Officer</t>
        </is>
      </c>
      <c r="AH73" s="42" t="inlineStr">
        <is>
          <t>npm@blackwoodseven.com</t>
        </is>
      </c>
      <c r="AI73" s="43" t="inlineStr">
        <is>
          <t>+45 2096 5600</t>
        </is>
      </c>
      <c r="AJ73" s="44" t="inlineStr">
        <is>
          <t>Copenhagen, Denmark</t>
        </is>
      </c>
      <c r="AK73" s="45" t="inlineStr">
        <is>
          <t>Livjagergade 17B</t>
        </is>
      </c>
      <c r="AL73" s="46" t="inlineStr">
        <is>
          <t>2nd Floor</t>
        </is>
      </c>
      <c r="AM73" s="47" t="inlineStr">
        <is>
          <t>Copenhagen</t>
        </is>
      </c>
      <c r="AN73" s="48" t="inlineStr">
        <is>
          <t/>
        </is>
      </c>
      <c r="AO73" s="49" t="inlineStr">
        <is>
          <t>2100</t>
        </is>
      </c>
      <c r="AP73" s="50" t="inlineStr">
        <is>
          <t>Denmark</t>
        </is>
      </c>
      <c r="AQ73" s="51" t="inlineStr">
        <is>
          <t>+45 5366 0777</t>
        </is>
      </c>
      <c r="AR73" s="52" t="inlineStr">
        <is>
          <t/>
        </is>
      </c>
      <c r="AS73" s="53" t="inlineStr">
        <is>
          <t>info@blackwoodseven.com</t>
        </is>
      </c>
      <c r="AT73" s="54" t="inlineStr">
        <is>
          <t>Europe</t>
        </is>
      </c>
      <c r="AU73" s="55" t="inlineStr">
        <is>
          <t>Northern Europe</t>
        </is>
      </c>
      <c r="AV73" s="56" t="inlineStr">
        <is>
          <t>The company raised EUR 13.5 million of venture funding from JOLT Capital, Sunstone Capital and Conor Venture Partners on August 30, 2016. Vækstfonden also participated in the round. The funds will be used to support its entry into the U.S. market.</t>
        </is>
      </c>
      <c r="AW73" s="57" t="inlineStr">
        <is>
          <t>Conor Venture Partners, Jolt Capital, SEED Capital Denmark, Sunstone Capital, Vækstfonden</t>
        </is>
      </c>
      <c r="AX73" s="58" t="n">
        <v>5.0</v>
      </c>
      <c r="AY73" s="59" t="inlineStr">
        <is>
          <t/>
        </is>
      </c>
      <c r="AZ73" s="60" t="inlineStr">
        <is>
          <t/>
        </is>
      </c>
      <c r="BA73" s="61" t="inlineStr">
        <is>
          <t/>
        </is>
      </c>
      <c r="BB73" s="62" t="inlineStr">
        <is>
          <t>Conor Venture Partners (www.conor.vc), Jolt Capital (www.jolt-capital.com), SEED Capital Denmark (www.seedcapital.dk), Sunstone Capital (www.sunstone.eu), Vækstfonden (www.vf.dk)</t>
        </is>
      </c>
      <c r="BC73" s="63" t="inlineStr">
        <is>
          <t/>
        </is>
      </c>
      <c r="BD73" s="64" t="inlineStr">
        <is>
          <t/>
        </is>
      </c>
      <c r="BE73" s="65" t="inlineStr">
        <is>
          <t>Deloitte (Auditor)</t>
        </is>
      </c>
      <c r="BF73" s="66" t="inlineStr">
        <is>
          <t/>
        </is>
      </c>
      <c r="BG73" s="67" t="n">
        <v>41527.0</v>
      </c>
      <c r="BH73" s="68" t="inlineStr">
        <is>
          <t/>
        </is>
      </c>
      <c r="BI73" s="69" t="inlineStr">
        <is>
          <t/>
        </is>
      </c>
      <c r="BJ73" s="70" t="inlineStr">
        <is>
          <t/>
        </is>
      </c>
      <c r="BK73" s="71" t="inlineStr">
        <is>
          <t/>
        </is>
      </c>
      <c r="BL73" s="72" t="inlineStr">
        <is>
          <t>Early Stage VC</t>
        </is>
      </c>
      <c r="BM73" s="73" t="inlineStr">
        <is>
          <t/>
        </is>
      </c>
      <c r="BN73" s="74" t="inlineStr">
        <is>
          <t/>
        </is>
      </c>
      <c r="BO73" s="75" t="inlineStr">
        <is>
          <t>Venture Capital</t>
        </is>
      </c>
      <c r="BP73" s="76" t="inlineStr">
        <is>
          <t/>
        </is>
      </c>
      <c r="BQ73" s="77" t="inlineStr">
        <is>
          <t/>
        </is>
      </c>
      <c r="BR73" s="78" t="inlineStr">
        <is>
          <t/>
        </is>
      </c>
      <c r="BS73" s="79" t="inlineStr">
        <is>
          <t>Completed</t>
        </is>
      </c>
      <c r="BT73" s="80" t="n">
        <v>42612.0</v>
      </c>
      <c r="BU73" s="81" t="n">
        <v>13.5</v>
      </c>
      <c r="BV73" s="82" t="inlineStr">
        <is>
          <t>Actual</t>
        </is>
      </c>
      <c r="BW73" s="83" t="inlineStr">
        <is>
          <t/>
        </is>
      </c>
      <c r="BX73" s="84" t="inlineStr">
        <is>
          <t/>
        </is>
      </c>
      <c r="BY73" s="85" t="inlineStr">
        <is>
          <t>Early Stage VC</t>
        </is>
      </c>
      <c r="BZ73" s="86" t="inlineStr">
        <is>
          <t/>
        </is>
      </c>
      <c r="CA73" s="87" t="inlineStr">
        <is>
          <t/>
        </is>
      </c>
      <c r="CB73" s="88" t="inlineStr">
        <is>
          <t>Venture Capital</t>
        </is>
      </c>
      <c r="CC73" s="89" t="inlineStr">
        <is>
          <t/>
        </is>
      </c>
      <c r="CD73" s="90" t="inlineStr">
        <is>
          <t/>
        </is>
      </c>
      <c r="CE73" s="91" t="inlineStr">
        <is>
          <t/>
        </is>
      </c>
      <c r="CF73" s="92" t="inlineStr">
        <is>
          <t>Completed</t>
        </is>
      </c>
      <c r="CG73" s="93" t="inlineStr">
        <is>
          <t>-1,60%</t>
        </is>
      </c>
      <c r="CH73" s="94" t="inlineStr">
        <is>
          <t>3</t>
        </is>
      </c>
      <c r="CI73" s="95" t="inlineStr">
        <is>
          <t>-0,02%</t>
        </is>
      </c>
      <c r="CJ73" s="96" t="inlineStr">
        <is>
          <t>-1,36%</t>
        </is>
      </c>
      <c r="CK73" s="97" t="inlineStr">
        <is>
          <t>-3,66%</t>
        </is>
      </c>
      <c r="CL73" s="98" t="inlineStr">
        <is>
          <t>2</t>
        </is>
      </c>
      <c r="CM73" s="99" t="inlineStr">
        <is>
          <t>0,46%</t>
        </is>
      </c>
      <c r="CN73" s="100" t="inlineStr">
        <is>
          <t>88</t>
        </is>
      </c>
      <c r="CO73" s="101" t="inlineStr">
        <is>
          <t>-7,32%</t>
        </is>
      </c>
      <c r="CP73" s="102" t="inlineStr">
        <is>
          <t>4</t>
        </is>
      </c>
      <c r="CQ73" s="103" t="inlineStr">
        <is>
          <t>0,00%</t>
        </is>
      </c>
      <c r="CR73" s="104" t="inlineStr">
        <is>
          <t>13</t>
        </is>
      </c>
      <c r="CS73" s="105" t="inlineStr">
        <is>
          <t>0,22%</t>
        </is>
      </c>
      <c r="CT73" s="106" t="inlineStr">
        <is>
          <t>72</t>
        </is>
      </c>
      <c r="CU73" s="107" t="inlineStr">
        <is>
          <t>0,70%</t>
        </is>
      </c>
      <c r="CV73" s="108" t="inlineStr">
        <is>
          <t>95</t>
        </is>
      </c>
      <c r="CW73" s="109" t="inlineStr">
        <is>
          <t>1,50x</t>
        </is>
      </c>
      <c r="CX73" s="110" t="inlineStr">
        <is>
          <t>58</t>
        </is>
      </c>
      <c r="CY73" s="111" t="inlineStr">
        <is>
          <t>0,02x</t>
        </is>
      </c>
      <c r="CZ73" s="112" t="inlineStr">
        <is>
          <t>1,15%</t>
        </is>
      </c>
      <c r="DA73" s="113" t="inlineStr">
        <is>
          <t>2,06x</t>
        </is>
      </c>
      <c r="DB73" s="114" t="inlineStr">
        <is>
          <t>67</t>
        </is>
      </c>
      <c r="DC73" s="115" t="inlineStr">
        <is>
          <t>0,95x</t>
        </is>
      </c>
      <c r="DD73" s="116" t="inlineStr">
        <is>
          <t>47</t>
        </is>
      </c>
      <c r="DE73" s="117" t="inlineStr">
        <is>
          <t>2,43x</t>
        </is>
      </c>
      <c r="DF73" s="118" t="inlineStr">
        <is>
          <t>67</t>
        </is>
      </c>
      <c r="DG73" s="119" t="inlineStr">
        <is>
          <t>1,69x</t>
        </is>
      </c>
      <c r="DH73" s="120" t="inlineStr">
        <is>
          <t>61</t>
        </is>
      </c>
      <c r="DI73" s="121" t="inlineStr">
        <is>
          <t>0,65x</t>
        </is>
      </c>
      <c r="DJ73" s="122" t="inlineStr">
        <is>
          <t>43</t>
        </is>
      </c>
      <c r="DK73" s="123" t="inlineStr">
        <is>
          <t>1,24x</t>
        </is>
      </c>
      <c r="DL73" s="124" t="inlineStr">
        <is>
          <t>54</t>
        </is>
      </c>
      <c r="DM73" s="125" t="inlineStr">
        <is>
          <t>1.561</t>
        </is>
      </c>
      <c r="DN73" s="126" t="inlineStr">
        <is>
          <t>-205</t>
        </is>
      </c>
      <c r="DO73" s="127" t="inlineStr">
        <is>
          <t>-11,61%</t>
        </is>
      </c>
      <c r="DP73" s="128" t="inlineStr">
        <is>
          <t>522</t>
        </is>
      </c>
      <c r="DQ73" s="129" t="inlineStr">
        <is>
          <t>0</t>
        </is>
      </c>
      <c r="DR73" s="130" t="inlineStr">
        <is>
          <t>0,00%</t>
        </is>
      </c>
      <c r="DS73" s="131" t="inlineStr">
        <is>
          <t>61</t>
        </is>
      </c>
      <c r="DT73" s="132" t="inlineStr">
        <is>
          <t>-1</t>
        </is>
      </c>
      <c r="DU73" s="133" t="inlineStr">
        <is>
          <t>-1,61%</t>
        </is>
      </c>
      <c r="DV73" s="134" t="inlineStr">
        <is>
          <t>423</t>
        </is>
      </c>
      <c r="DW73" s="135" t="inlineStr">
        <is>
          <t>3</t>
        </is>
      </c>
      <c r="DX73" s="136" t="inlineStr">
        <is>
          <t>0,71%</t>
        </is>
      </c>
      <c r="DY73" s="137" t="inlineStr">
        <is>
          <t>PitchBook Research</t>
        </is>
      </c>
      <c r="DZ73" s="785">
        <f>HYPERLINK("https://my.pitchbook.com?c=64408-69", "View company online")</f>
      </c>
    </row>
    <row r="74">
      <c r="A74" s="139" t="inlineStr">
        <is>
          <t>82588-51</t>
        </is>
      </c>
      <c r="B74" s="140" t="inlineStr">
        <is>
          <t>Bloom &amp; Wild</t>
        </is>
      </c>
      <c r="C74" s="141" t="inlineStr">
        <is>
          <t/>
        </is>
      </c>
      <c r="D74" s="142" t="inlineStr">
        <is>
          <t/>
        </is>
      </c>
      <c r="E74" s="143" t="inlineStr">
        <is>
          <t>82588-51</t>
        </is>
      </c>
      <c r="F74" s="144" t="inlineStr">
        <is>
          <t>Provider of online flower gifting and delivery services. The company offers a letterbox subscription service that enables a bouquet of fresh flowers to be delivered through a standard UK letterbox by post, without the recipient needing to be in to receive them and provides a mobile application that enables users to select and send beautiful flower bouquets in seconds, for a thoughtful gift.</t>
        </is>
      </c>
      <c r="G74" s="145" t="inlineStr">
        <is>
          <t>Information Technology</t>
        </is>
      </c>
      <c r="H74" s="146" t="inlineStr">
        <is>
          <t>Software</t>
        </is>
      </c>
      <c r="I74" s="147" t="inlineStr">
        <is>
          <t>Social/Platform Software</t>
        </is>
      </c>
      <c r="J74" s="148" t="inlineStr">
        <is>
          <t>Social/Platform Software*; Internet Retail</t>
        </is>
      </c>
      <c r="K74" s="149" t="inlineStr">
        <is>
          <t>E-Commerce, Mobile</t>
        </is>
      </c>
      <c r="L74" s="150" t="inlineStr">
        <is>
          <t>Venture Capital-Backed</t>
        </is>
      </c>
      <c r="M74" s="151" t="n">
        <v>9.17</v>
      </c>
      <c r="N74" s="152" t="inlineStr">
        <is>
          <t>Generating Revenue</t>
        </is>
      </c>
      <c r="O74" s="153" t="inlineStr">
        <is>
          <t>Privately Held (backing)</t>
        </is>
      </c>
      <c r="P74" s="154" t="inlineStr">
        <is>
          <t>Venture Capital</t>
        </is>
      </c>
      <c r="Q74" s="155" t="inlineStr">
        <is>
          <t>www.bloomandwild.com</t>
        </is>
      </c>
      <c r="R74" s="156" t="n">
        <v>25.0</v>
      </c>
      <c r="S74" s="157" t="inlineStr">
        <is>
          <t/>
        </is>
      </c>
      <c r="T74" s="158" t="inlineStr">
        <is>
          <t/>
        </is>
      </c>
      <c r="U74" s="159" t="n">
        <v>2013.0</v>
      </c>
      <c r="V74" s="160" t="inlineStr">
        <is>
          <t/>
        </is>
      </c>
      <c r="W74" s="161" t="inlineStr">
        <is>
          <t/>
        </is>
      </c>
      <c r="X74" s="162" t="inlineStr">
        <is>
          <t/>
        </is>
      </c>
      <c r="Y74" s="163" t="inlineStr">
        <is>
          <t/>
        </is>
      </c>
      <c r="Z74" s="164" t="inlineStr">
        <is>
          <t/>
        </is>
      </c>
      <c r="AA74" s="165" t="inlineStr">
        <is>
          <t/>
        </is>
      </c>
      <c r="AB74" s="166" t="inlineStr">
        <is>
          <t/>
        </is>
      </c>
      <c r="AC74" s="167" t="inlineStr">
        <is>
          <t/>
        </is>
      </c>
      <c r="AD74" s="168" t="inlineStr">
        <is>
          <t/>
        </is>
      </c>
      <c r="AE74" s="169" t="inlineStr">
        <is>
          <t>101268-01P</t>
        </is>
      </c>
      <c r="AF74" s="170" t="inlineStr">
        <is>
          <t>Aron Gelbard</t>
        </is>
      </c>
      <c r="AG74" s="171" t="inlineStr">
        <is>
          <t>Co-Founder, Chief Executive Officer &amp; Board Member</t>
        </is>
      </c>
      <c r="AH74" s="172" t="inlineStr">
        <is>
          <t>aron@bloomandwild.com</t>
        </is>
      </c>
      <c r="AI74" s="173" t="inlineStr">
        <is>
          <t>+44 (0)20 7352 9499</t>
        </is>
      </c>
      <c r="AJ74" s="174" t="inlineStr">
        <is>
          <t>London, United Kingdom</t>
        </is>
      </c>
      <c r="AK74" s="175" t="inlineStr">
        <is>
          <t>Unit 2.21, The Plaza</t>
        </is>
      </c>
      <c r="AL74" s="176" t="inlineStr">
        <is>
          <t>535 Kings Road</t>
        </is>
      </c>
      <c r="AM74" s="177" t="inlineStr">
        <is>
          <t>London</t>
        </is>
      </c>
      <c r="AN74" s="178" t="inlineStr">
        <is>
          <t>England</t>
        </is>
      </c>
      <c r="AO74" s="179" t="inlineStr">
        <is>
          <t>SW10 0SZ</t>
        </is>
      </c>
      <c r="AP74" s="180" t="inlineStr">
        <is>
          <t>United Kingdom</t>
        </is>
      </c>
      <c r="AQ74" s="181" t="inlineStr">
        <is>
          <t>+44 (0)20 7352 9499</t>
        </is>
      </c>
      <c r="AR74" s="182" t="inlineStr">
        <is>
          <t/>
        </is>
      </c>
      <c r="AS74" s="183" t="inlineStr">
        <is>
          <t>hello@bloomandwild.com</t>
        </is>
      </c>
      <c r="AT74" s="184" t="inlineStr">
        <is>
          <t>Europe</t>
        </is>
      </c>
      <c r="AU74" s="185" t="inlineStr">
        <is>
          <t>Western Europe</t>
        </is>
      </c>
      <c r="AV74" s="186" t="inlineStr">
        <is>
          <t>The company raised GBP 3.75 million of Series B venture funding in a deal led by Burda Principal Investments on February 13, 2017. MMC Ventures and other undisclosed angel investors also participated in the round. The funds will be used to further enhance the customer experience, develop new products, expand its corporate gifting business and grow internationally.</t>
        </is>
      </c>
      <c r="AW74" s="187" t="inlineStr">
        <is>
          <t>Burda Principal Investments, Catamaran Ventures, Leila Zegna, MMC Ventures, Samos Investments, Scott Sage</t>
        </is>
      </c>
      <c r="AX74" s="188" t="n">
        <v>6.0</v>
      </c>
      <c r="AY74" s="189" t="inlineStr">
        <is>
          <t/>
        </is>
      </c>
      <c r="AZ74" s="190" t="inlineStr">
        <is>
          <t/>
        </is>
      </c>
      <c r="BA74" s="191" t="inlineStr">
        <is>
          <t/>
        </is>
      </c>
      <c r="BB74" s="192" t="inlineStr">
        <is>
          <t>Burda Principal Investments (www.burdaprincipalinvestments.com), Catamaran Ventures (www.catamaranventures.com), MMC Ventures (www.mmcventures.com), Samos Investments (www.samos.uk.com)</t>
        </is>
      </c>
      <c r="BC74" s="193" t="inlineStr">
        <is>
          <t/>
        </is>
      </c>
      <c r="BD74" s="194" t="inlineStr">
        <is>
          <t/>
        </is>
      </c>
      <c r="BE74" s="195" t="inlineStr">
        <is>
          <t>Future Fifty (Consulting), Upscale UK (Consulting), Tax Agility (Accounting)</t>
        </is>
      </c>
      <c r="BF74" s="196" t="inlineStr">
        <is>
          <t/>
        </is>
      </c>
      <c r="BG74" s="197" t="n">
        <v>41535.0</v>
      </c>
      <c r="BH74" s="198" t="n">
        <v>0.18</v>
      </c>
      <c r="BI74" s="199" t="inlineStr">
        <is>
          <t>Estimated</t>
        </is>
      </c>
      <c r="BJ74" s="200" t="n">
        <v>1.78</v>
      </c>
      <c r="BK74" s="201" t="inlineStr">
        <is>
          <t>Actual</t>
        </is>
      </c>
      <c r="BL74" s="202" t="inlineStr">
        <is>
          <t>Seed Round</t>
        </is>
      </c>
      <c r="BM74" s="203" t="inlineStr">
        <is>
          <t>Seed</t>
        </is>
      </c>
      <c r="BN74" s="204" t="inlineStr">
        <is>
          <t/>
        </is>
      </c>
      <c r="BO74" s="205" t="inlineStr">
        <is>
          <t>Individual</t>
        </is>
      </c>
      <c r="BP74" s="206" t="inlineStr">
        <is>
          <t/>
        </is>
      </c>
      <c r="BQ74" s="207" t="inlineStr">
        <is>
          <t/>
        </is>
      </c>
      <c r="BR74" s="208" t="inlineStr">
        <is>
          <t/>
        </is>
      </c>
      <c r="BS74" s="209" t="inlineStr">
        <is>
          <t>Completed</t>
        </is>
      </c>
      <c r="BT74" s="210" t="n">
        <v>42779.0</v>
      </c>
      <c r="BU74" s="211" t="n">
        <v>4.4</v>
      </c>
      <c r="BV74" s="212" t="inlineStr">
        <is>
          <t>Actual</t>
        </is>
      </c>
      <c r="BW74" s="213" t="inlineStr">
        <is>
          <t/>
        </is>
      </c>
      <c r="BX74" s="214" t="inlineStr">
        <is>
          <t/>
        </is>
      </c>
      <c r="BY74" s="215" t="inlineStr">
        <is>
          <t>Early Stage VC</t>
        </is>
      </c>
      <c r="BZ74" s="216" t="inlineStr">
        <is>
          <t>Series B</t>
        </is>
      </c>
      <c r="CA74" s="217" t="inlineStr">
        <is>
          <t/>
        </is>
      </c>
      <c r="CB74" s="218" t="inlineStr">
        <is>
          <t>Venture Capital</t>
        </is>
      </c>
      <c r="CC74" s="219" t="inlineStr">
        <is>
          <t/>
        </is>
      </c>
      <c r="CD74" s="220" t="inlineStr">
        <is>
          <t/>
        </is>
      </c>
      <c r="CE74" s="221" t="inlineStr">
        <is>
          <t/>
        </is>
      </c>
      <c r="CF74" s="222" t="inlineStr">
        <is>
          <t>Completed</t>
        </is>
      </c>
      <c r="CG74" s="223" t="inlineStr">
        <is>
          <t>-0,10%</t>
        </is>
      </c>
      <c r="CH74" s="224" t="inlineStr">
        <is>
          <t>14</t>
        </is>
      </c>
      <c r="CI74" s="225" t="inlineStr">
        <is>
          <t>-0,08%</t>
        </is>
      </c>
      <c r="CJ74" s="226" t="inlineStr">
        <is>
          <t>-523,83%</t>
        </is>
      </c>
      <c r="CK74" s="227" t="inlineStr">
        <is>
          <t>-0,75%</t>
        </is>
      </c>
      <c r="CL74" s="228" t="inlineStr">
        <is>
          <t>10</t>
        </is>
      </c>
      <c r="CM74" s="229" t="inlineStr">
        <is>
          <t>0,55%</t>
        </is>
      </c>
      <c r="CN74" s="230" t="inlineStr">
        <is>
          <t>91</t>
        </is>
      </c>
      <c r="CO74" s="231" t="inlineStr">
        <is>
          <t>-1,51%</t>
        </is>
      </c>
      <c r="CP74" s="232" t="inlineStr">
        <is>
          <t>18</t>
        </is>
      </c>
      <c r="CQ74" s="233" t="inlineStr">
        <is>
          <t>0,01%</t>
        </is>
      </c>
      <c r="CR74" s="234" t="inlineStr">
        <is>
          <t>82</t>
        </is>
      </c>
      <c r="CS74" s="235" t="inlineStr">
        <is>
          <t>1,01%</t>
        </is>
      </c>
      <c r="CT74" s="236" t="inlineStr">
        <is>
          <t>95</t>
        </is>
      </c>
      <c r="CU74" s="237" t="inlineStr">
        <is>
          <t>0,10%</t>
        </is>
      </c>
      <c r="CV74" s="238" t="inlineStr">
        <is>
          <t>68</t>
        </is>
      </c>
      <c r="CW74" s="239" t="inlineStr">
        <is>
          <t>71,60x</t>
        </is>
      </c>
      <c r="CX74" s="240" t="inlineStr">
        <is>
          <t>97</t>
        </is>
      </c>
      <c r="CY74" s="241" t="inlineStr">
        <is>
          <t>1,52x</t>
        </is>
      </c>
      <c r="CZ74" s="242" t="inlineStr">
        <is>
          <t>2,17%</t>
        </is>
      </c>
      <c r="DA74" s="243" t="inlineStr">
        <is>
          <t>42,38x</t>
        </is>
      </c>
      <c r="DB74" s="244" t="inlineStr">
        <is>
          <t>96</t>
        </is>
      </c>
      <c r="DC74" s="245" t="inlineStr">
        <is>
          <t>100,83x</t>
        </is>
      </c>
      <c r="DD74" s="246" t="inlineStr">
        <is>
          <t>97</t>
        </is>
      </c>
      <c r="DE74" s="247" t="inlineStr">
        <is>
          <t>59,20x</t>
        </is>
      </c>
      <c r="DF74" s="248" t="inlineStr">
        <is>
          <t>94</t>
        </is>
      </c>
      <c r="DG74" s="249" t="inlineStr">
        <is>
          <t>25,56x</t>
        </is>
      </c>
      <c r="DH74" s="250" t="inlineStr">
        <is>
          <t>94</t>
        </is>
      </c>
      <c r="DI74" s="251" t="inlineStr">
        <is>
          <t>159,75x</t>
        </is>
      </c>
      <c r="DJ74" s="252" t="inlineStr">
        <is>
          <t>97</t>
        </is>
      </c>
      <c r="DK74" s="253" t="inlineStr">
        <is>
          <t>41,91x</t>
        </is>
      </c>
      <c r="DL74" s="254" t="inlineStr">
        <is>
          <t>95</t>
        </is>
      </c>
      <c r="DM74" s="255" t="inlineStr">
        <is>
          <t>36.367</t>
        </is>
      </c>
      <c r="DN74" s="256" t="inlineStr">
        <is>
          <t>117</t>
        </is>
      </c>
      <c r="DO74" s="257" t="inlineStr">
        <is>
          <t>0,32%</t>
        </is>
      </c>
      <c r="DP74" s="258" t="inlineStr">
        <is>
          <t>127.131</t>
        </is>
      </c>
      <c r="DQ74" s="259" t="inlineStr">
        <is>
          <t>827</t>
        </is>
      </c>
      <c r="DR74" s="260" t="inlineStr">
        <is>
          <t>0,65%</t>
        </is>
      </c>
      <c r="DS74" s="261" t="inlineStr">
        <is>
          <t>920</t>
        </is>
      </c>
      <c r="DT74" s="262" t="inlineStr">
        <is>
          <t>-1</t>
        </is>
      </c>
      <c r="DU74" s="263" t="inlineStr">
        <is>
          <t>-0,11%</t>
        </is>
      </c>
      <c r="DV74" s="264" t="inlineStr">
        <is>
          <t>14.369</t>
        </is>
      </c>
      <c r="DW74" s="265" t="inlineStr">
        <is>
          <t>9</t>
        </is>
      </c>
      <c r="DX74" s="266" t="inlineStr">
        <is>
          <t>0,06%</t>
        </is>
      </c>
      <c r="DY74" s="267" t="inlineStr">
        <is>
          <t>PitchBook Research</t>
        </is>
      </c>
      <c r="DZ74" s="786">
        <f>HYPERLINK("https://my.pitchbook.com?c=82588-51", "View company online")</f>
      </c>
    </row>
    <row r="75">
      <c r="A75" s="9" t="inlineStr">
        <is>
          <t>112158-55</t>
        </is>
      </c>
      <c r="B75" s="10" t="inlineStr">
        <is>
          <t>Bloomon</t>
        </is>
      </c>
      <c r="C75" s="11" t="inlineStr">
        <is>
          <t/>
        </is>
      </c>
      <c r="D75" s="12" t="inlineStr">
        <is>
          <t/>
        </is>
      </c>
      <c r="E75" s="13" t="inlineStr">
        <is>
          <t>112158-55</t>
        </is>
      </c>
      <c r="F75" s="14" t="inlineStr">
        <is>
          <t>Operator of an online retail platform created to deliver dutch quality flowers to consumers all over Europe. The company's online flower ordering platform provides flowers directly from the growers and leverages a subscription model, where customers can arrange their order online and also can pause, change or cancel their delivery without commitment, enabling them to design a customized packaging with fresh flowers and have a special experience.</t>
        </is>
      </c>
      <c r="G75" s="15" t="inlineStr">
        <is>
          <t>Consumer Products and Services (B2C)</t>
        </is>
      </c>
      <c r="H75" s="16" t="inlineStr">
        <is>
          <t>Retail</t>
        </is>
      </c>
      <c r="I75" s="17" t="inlineStr">
        <is>
          <t>Internet Retail</t>
        </is>
      </c>
      <c r="J75" s="18" t="inlineStr">
        <is>
          <t>Internet Retail*; Specialty Retail</t>
        </is>
      </c>
      <c r="K75" s="19" t="inlineStr">
        <is>
          <t>E-Commerce</t>
        </is>
      </c>
      <c r="L75" s="20" t="inlineStr">
        <is>
          <t>Venture Capital-Backed</t>
        </is>
      </c>
      <c r="M75" s="21" t="n">
        <v>26.09</v>
      </c>
      <c r="N75" s="22" t="inlineStr">
        <is>
          <t>Generating Revenue</t>
        </is>
      </c>
      <c r="O75" s="23" t="inlineStr">
        <is>
          <t>Privately Held (backing)</t>
        </is>
      </c>
      <c r="P75" s="24" t="inlineStr">
        <is>
          <t>Venture Capital</t>
        </is>
      </c>
      <c r="Q75" s="25" t="inlineStr">
        <is>
          <t>www.bloomon.nl</t>
        </is>
      </c>
      <c r="R75" s="26" t="n">
        <v>29.0</v>
      </c>
      <c r="S75" s="27" t="inlineStr">
        <is>
          <t/>
        </is>
      </c>
      <c r="T75" s="28" t="inlineStr">
        <is>
          <t/>
        </is>
      </c>
      <c r="U75" s="29" t="n">
        <v>2014.0</v>
      </c>
      <c r="V75" s="30" t="inlineStr">
        <is>
          <t/>
        </is>
      </c>
      <c r="W75" s="31" t="inlineStr">
        <is>
          <t/>
        </is>
      </c>
      <c r="X75" s="32" t="inlineStr">
        <is>
          <t/>
        </is>
      </c>
      <c r="Y75" s="33" t="inlineStr">
        <is>
          <t/>
        </is>
      </c>
      <c r="Z75" s="34" t="inlineStr">
        <is>
          <t/>
        </is>
      </c>
      <c r="AA75" s="35" t="inlineStr">
        <is>
          <t/>
        </is>
      </c>
      <c r="AB75" s="36" t="inlineStr">
        <is>
          <t/>
        </is>
      </c>
      <c r="AC75" s="37" t="inlineStr">
        <is>
          <t/>
        </is>
      </c>
      <c r="AD75" s="38" t="inlineStr">
        <is>
          <t/>
        </is>
      </c>
      <c r="AE75" s="39" t="inlineStr">
        <is>
          <t>75489-31P</t>
        </is>
      </c>
      <c r="AF75" s="40" t="inlineStr">
        <is>
          <t>Patrick Hurenkamp</t>
        </is>
      </c>
      <c r="AG75" s="41" t="inlineStr">
        <is>
          <t>Co-Founder</t>
        </is>
      </c>
      <c r="AH75" s="42" t="inlineStr">
        <is>
          <t>patrick.hurenkamp@bloomon.nl</t>
        </is>
      </c>
      <c r="AI75" s="43" t="inlineStr">
        <is>
          <t>+31 (0)85 888 4404</t>
        </is>
      </c>
      <c r="AJ75" s="44" t="inlineStr">
        <is>
          <t>Amsterdam, Netherlands</t>
        </is>
      </c>
      <c r="AK75" s="45" t="inlineStr">
        <is>
          <t>Helmholtzstraat 61E</t>
        </is>
      </c>
      <c r="AL75" s="46" t="inlineStr">
        <is>
          <t/>
        </is>
      </c>
      <c r="AM75" s="47" t="inlineStr">
        <is>
          <t>Amsterdam</t>
        </is>
      </c>
      <c r="AN75" s="48" t="inlineStr">
        <is>
          <t/>
        </is>
      </c>
      <c r="AO75" s="49" t="inlineStr">
        <is>
          <t>1098</t>
        </is>
      </c>
      <c r="AP75" s="50" t="inlineStr">
        <is>
          <t>Netherlands</t>
        </is>
      </c>
      <c r="AQ75" s="51" t="inlineStr">
        <is>
          <t>+31 (0)85 888 4404</t>
        </is>
      </c>
      <c r="AR75" s="52" t="inlineStr">
        <is>
          <t/>
        </is>
      </c>
      <c r="AS75" s="53" t="inlineStr">
        <is>
          <t>service@bloomon.nl</t>
        </is>
      </c>
      <c r="AT75" s="54" t="inlineStr">
        <is>
          <t>Europe</t>
        </is>
      </c>
      <c r="AU75" s="55" t="inlineStr">
        <is>
          <t>Western Europe</t>
        </is>
      </c>
      <c r="AV75" s="56" t="inlineStr">
        <is>
          <t>The company raised $23 million of Series B venture funding in a round led by Fortino Capital, INKEF Capital, Partech Ventures and other undisclosed angel investors on February 7, 2017. The company, which has raised $27.4 million in two years, intends to use the funds to invest in growth in countries it is currently active in as well as in its IT platform.</t>
        </is>
      </c>
      <c r="AW75" s="57" t="inlineStr">
        <is>
          <t>Fortino Capital, INKEF Capital, Partech Ventures</t>
        </is>
      </c>
      <c r="AX75" s="58" t="n">
        <v>3.0</v>
      </c>
      <c r="AY75" s="59" t="inlineStr">
        <is>
          <t/>
        </is>
      </c>
      <c r="AZ75" s="60" t="inlineStr">
        <is>
          <t/>
        </is>
      </c>
      <c r="BA75" s="61" t="inlineStr">
        <is>
          <t/>
        </is>
      </c>
      <c r="BB75" s="62" t="inlineStr">
        <is>
          <t>Fortino Capital (www.fortino.be), INKEF Capital (www.inkefcapital.com), Partech Ventures (www.partechventures.com)</t>
        </is>
      </c>
      <c r="BC75" s="63" t="inlineStr">
        <is>
          <t/>
        </is>
      </c>
      <c r="BD75" s="64" t="inlineStr">
        <is>
          <t/>
        </is>
      </c>
      <c r="BE75" s="65" t="inlineStr">
        <is>
          <t/>
        </is>
      </c>
      <c r="BF75" s="66" t="inlineStr">
        <is>
          <t/>
        </is>
      </c>
      <c r="BG75" s="67" t="n">
        <v>41944.0</v>
      </c>
      <c r="BH75" s="68" t="n">
        <v>1.0</v>
      </c>
      <c r="BI75" s="69" t="inlineStr">
        <is>
          <t>Actual</t>
        </is>
      </c>
      <c r="BJ75" s="70" t="inlineStr">
        <is>
          <t/>
        </is>
      </c>
      <c r="BK75" s="71" t="inlineStr">
        <is>
          <t/>
        </is>
      </c>
      <c r="BL75" s="72" t="inlineStr">
        <is>
          <t>Angel (individual)</t>
        </is>
      </c>
      <c r="BM75" s="73" t="inlineStr">
        <is>
          <t>Angel</t>
        </is>
      </c>
      <c r="BN75" s="74" t="inlineStr">
        <is>
          <t/>
        </is>
      </c>
      <c r="BO75" s="75" t="inlineStr">
        <is>
          <t>Individual</t>
        </is>
      </c>
      <c r="BP75" s="76" t="inlineStr">
        <is>
          <t/>
        </is>
      </c>
      <c r="BQ75" s="77" t="inlineStr">
        <is>
          <t/>
        </is>
      </c>
      <c r="BR75" s="78" t="inlineStr">
        <is>
          <t/>
        </is>
      </c>
      <c r="BS75" s="79" t="inlineStr">
        <is>
          <t>Completed</t>
        </is>
      </c>
      <c r="BT75" s="80" t="n">
        <v>42773.0</v>
      </c>
      <c r="BU75" s="81" t="n">
        <v>21.59</v>
      </c>
      <c r="BV75" s="82" t="inlineStr">
        <is>
          <t>Actual</t>
        </is>
      </c>
      <c r="BW75" s="83" t="inlineStr">
        <is>
          <t/>
        </is>
      </c>
      <c r="BX75" s="84" t="inlineStr">
        <is>
          <t/>
        </is>
      </c>
      <c r="BY75" s="85" t="inlineStr">
        <is>
          <t>Early Stage VC</t>
        </is>
      </c>
      <c r="BZ75" s="86" t="inlineStr">
        <is>
          <t>Series B</t>
        </is>
      </c>
      <c r="CA75" s="87" t="inlineStr">
        <is>
          <t/>
        </is>
      </c>
      <c r="CB75" s="88" t="inlineStr">
        <is>
          <t>Venture Capital</t>
        </is>
      </c>
      <c r="CC75" s="89" t="inlineStr">
        <is>
          <t/>
        </is>
      </c>
      <c r="CD75" s="90" t="inlineStr">
        <is>
          <t/>
        </is>
      </c>
      <c r="CE75" s="91" t="inlineStr">
        <is>
          <t/>
        </is>
      </c>
      <c r="CF75" s="92" t="inlineStr">
        <is>
          <t>Completed</t>
        </is>
      </c>
      <c r="CG75" s="93" t="inlineStr">
        <is>
          <t>-0,04%</t>
        </is>
      </c>
      <c r="CH75" s="94" t="inlineStr">
        <is>
          <t>17</t>
        </is>
      </c>
      <c r="CI75" s="95" t="inlineStr">
        <is>
          <t>-0,02%</t>
        </is>
      </c>
      <c r="CJ75" s="96" t="inlineStr">
        <is>
          <t>-91,52%</t>
        </is>
      </c>
      <c r="CK75" s="97" t="inlineStr">
        <is>
          <t>-0,42%</t>
        </is>
      </c>
      <c r="CL75" s="98" t="inlineStr">
        <is>
          <t>13</t>
        </is>
      </c>
      <c r="CM75" s="99" t="inlineStr">
        <is>
          <t>0,33%</t>
        </is>
      </c>
      <c r="CN75" s="100" t="inlineStr">
        <is>
          <t>83</t>
        </is>
      </c>
      <c r="CO75" s="101" t="inlineStr">
        <is>
          <t>-1,42%</t>
        </is>
      </c>
      <c r="CP75" s="102" t="inlineStr">
        <is>
          <t>18</t>
        </is>
      </c>
      <c r="CQ75" s="103" t="inlineStr">
        <is>
          <t>0,59%</t>
        </is>
      </c>
      <c r="CR75" s="104" t="inlineStr">
        <is>
          <t>87</t>
        </is>
      </c>
      <c r="CS75" s="105" t="inlineStr">
        <is>
          <t>0,45%</t>
        </is>
      </c>
      <c r="CT75" s="106" t="inlineStr">
        <is>
          <t>86</t>
        </is>
      </c>
      <c r="CU75" s="107" t="inlineStr">
        <is>
          <t>0,21%</t>
        </is>
      </c>
      <c r="CV75" s="108" t="inlineStr">
        <is>
          <t>79</t>
        </is>
      </c>
      <c r="CW75" s="109" t="inlineStr">
        <is>
          <t>49,04x</t>
        </is>
      </c>
      <c r="CX75" s="110" t="inlineStr">
        <is>
          <t>96</t>
        </is>
      </c>
      <c r="CY75" s="111" t="inlineStr">
        <is>
          <t>1,07x</t>
        </is>
      </c>
      <c r="CZ75" s="112" t="inlineStr">
        <is>
          <t>2,23%</t>
        </is>
      </c>
      <c r="DA75" s="113" t="inlineStr">
        <is>
          <t>19,57x</t>
        </is>
      </c>
      <c r="DB75" s="114" t="inlineStr">
        <is>
          <t>92</t>
        </is>
      </c>
      <c r="DC75" s="115" t="inlineStr">
        <is>
          <t>78,52x</t>
        </is>
      </c>
      <c r="DD75" s="116" t="inlineStr">
        <is>
          <t>96</t>
        </is>
      </c>
      <c r="DE75" s="117" t="inlineStr">
        <is>
          <t>24,56x</t>
        </is>
      </c>
      <c r="DF75" s="118" t="inlineStr">
        <is>
          <t>90</t>
        </is>
      </c>
      <c r="DG75" s="119" t="inlineStr">
        <is>
          <t>14,58x</t>
        </is>
      </c>
      <c r="DH75" s="120" t="inlineStr">
        <is>
          <t>90</t>
        </is>
      </c>
      <c r="DI75" s="121" t="inlineStr">
        <is>
          <t>153,85x</t>
        </is>
      </c>
      <c r="DJ75" s="122" t="inlineStr">
        <is>
          <t>97</t>
        </is>
      </c>
      <c r="DK75" s="123" t="inlineStr">
        <is>
          <t>3,19x</t>
        </is>
      </c>
      <c r="DL75" s="124" t="inlineStr">
        <is>
          <t>71</t>
        </is>
      </c>
      <c r="DM75" s="125" t="inlineStr">
        <is>
          <t>14.934</t>
        </is>
      </c>
      <c r="DN75" s="126" t="inlineStr">
        <is>
          <t>504</t>
        </is>
      </c>
      <c r="DO75" s="127" t="inlineStr">
        <is>
          <t>3,49%</t>
        </is>
      </c>
      <c r="DP75" s="128" t="inlineStr">
        <is>
          <t>122.631</t>
        </is>
      </c>
      <c r="DQ75" s="129" t="inlineStr">
        <is>
          <t>653</t>
        </is>
      </c>
      <c r="DR75" s="130" t="inlineStr">
        <is>
          <t>0,54%</t>
        </is>
      </c>
      <c r="DS75" s="131" t="inlineStr">
        <is>
          <t>527</t>
        </is>
      </c>
      <c r="DT75" s="132" t="inlineStr">
        <is>
          <t>-4</t>
        </is>
      </c>
      <c r="DU75" s="133" t="inlineStr">
        <is>
          <t>-0,75%</t>
        </is>
      </c>
      <c r="DV75" s="134" t="inlineStr">
        <is>
          <t>1.091</t>
        </is>
      </c>
      <c r="DW75" s="135" t="inlineStr">
        <is>
          <t>2</t>
        </is>
      </c>
      <c r="DX75" s="136" t="inlineStr">
        <is>
          <t>0,18%</t>
        </is>
      </c>
      <c r="DY75" s="137" t="inlineStr">
        <is>
          <t>PitchBook Research</t>
        </is>
      </c>
      <c r="DZ75" s="785">
        <f>HYPERLINK("https://my.pitchbook.com?c=112158-55", "View company online")</f>
      </c>
    </row>
    <row r="76">
      <c r="A76" s="139" t="inlineStr">
        <is>
          <t>109769-14</t>
        </is>
      </c>
      <c r="B76" s="140" t="inlineStr">
        <is>
          <t>Blow</t>
        </is>
      </c>
      <c r="C76" s="141" t="inlineStr">
        <is>
          <t/>
        </is>
      </c>
      <c r="D76" s="142" t="inlineStr">
        <is>
          <t/>
        </is>
      </c>
      <c r="E76" s="143" t="inlineStr">
        <is>
          <t>109769-14</t>
        </is>
      </c>
      <c r="F76" s="144" t="inlineStr">
        <is>
          <t>Provider of on-demand beauty products and services. The company's on-demand beauty services allow users to order salon-style services directly to their homes and offices, including blow dries, make-up and nail services. The company also operates two fully featured beauty bars in London.</t>
        </is>
      </c>
      <c r="G76" s="145" t="inlineStr">
        <is>
          <t>Information Technology</t>
        </is>
      </c>
      <c r="H76" s="146" t="inlineStr">
        <is>
          <t>Software</t>
        </is>
      </c>
      <c r="I76" s="147" t="inlineStr">
        <is>
          <t>Social/Platform Software</t>
        </is>
      </c>
      <c r="J76" s="148" t="inlineStr">
        <is>
          <t>Social/Platform Software*; Personal Products; Leisure Facilities</t>
        </is>
      </c>
      <c r="K76" s="149" t="inlineStr">
        <is>
          <t>Mobile</t>
        </is>
      </c>
      <c r="L76" s="150" t="inlineStr">
        <is>
          <t>Venture Capital-Backed</t>
        </is>
      </c>
      <c r="M76" s="151" t="n">
        <v>12.8</v>
      </c>
      <c r="N76" s="152" t="inlineStr">
        <is>
          <t>Generating Revenue</t>
        </is>
      </c>
      <c r="O76" s="153" t="inlineStr">
        <is>
          <t>Privately Held (backing)</t>
        </is>
      </c>
      <c r="P76" s="154" t="inlineStr">
        <is>
          <t>Venture Capital</t>
        </is>
      </c>
      <c r="Q76" s="155" t="inlineStr">
        <is>
          <t>www.blowltd.com</t>
        </is>
      </c>
      <c r="R76" s="156" t="n">
        <v>51.0</v>
      </c>
      <c r="S76" s="157" t="inlineStr">
        <is>
          <t/>
        </is>
      </c>
      <c r="T76" s="158" t="inlineStr">
        <is>
          <t/>
        </is>
      </c>
      <c r="U76" s="159" t="n">
        <v>2013.0</v>
      </c>
      <c r="V76" s="160" t="inlineStr">
        <is>
          <t/>
        </is>
      </c>
      <c r="W76" s="161" t="inlineStr">
        <is>
          <t/>
        </is>
      </c>
      <c r="X76" s="162" t="inlineStr">
        <is>
          <t/>
        </is>
      </c>
      <c r="Y76" s="163" t="inlineStr">
        <is>
          <t/>
        </is>
      </c>
      <c r="Z76" s="164" t="inlineStr">
        <is>
          <t/>
        </is>
      </c>
      <c r="AA76" s="165" t="inlineStr">
        <is>
          <t/>
        </is>
      </c>
      <c r="AB76" s="166" t="inlineStr">
        <is>
          <t/>
        </is>
      </c>
      <c r="AC76" s="167" t="inlineStr">
        <is>
          <t/>
        </is>
      </c>
      <c r="AD76" s="168" t="inlineStr">
        <is>
          <t/>
        </is>
      </c>
      <c r="AE76" s="169" t="inlineStr">
        <is>
          <t>28654-12P</t>
        </is>
      </c>
      <c r="AF76" s="170" t="inlineStr">
        <is>
          <t>Dharmash Mistry</t>
        </is>
      </c>
      <c r="AG76" s="171" t="inlineStr">
        <is>
          <t>Co-Founder &amp; Chairman</t>
        </is>
      </c>
      <c r="AH76" s="172" t="inlineStr">
        <is>
          <t>dharmash@blowltd.com</t>
        </is>
      </c>
      <c r="AI76" s="173" t="inlineStr">
        <is>
          <t>+44 (0)20 7016 6800</t>
        </is>
      </c>
      <c r="AJ76" s="174" t="inlineStr">
        <is>
          <t>London, United Kingdom</t>
        </is>
      </c>
      <c r="AK76" s="175" t="inlineStr">
        <is>
          <t>55-56 Russell Square</t>
        </is>
      </c>
      <c r="AL76" s="176" t="inlineStr">
        <is>
          <t/>
        </is>
      </c>
      <c r="AM76" s="177" t="inlineStr">
        <is>
          <t>London</t>
        </is>
      </c>
      <c r="AN76" s="178" t="inlineStr">
        <is>
          <t>England</t>
        </is>
      </c>
      <c r="AO76" s="179" t="inlineStr">
        <is>
          <t>WC1B 4HP</t>
        </is>
      </c>
      <c r="AP76" s="180" t="inlineStr">
        <is>
          <t>United Kingdom</t>
        </is>
      </c>
      <c r="AQ76" s="181" t="inlineStr">
        <is>
          <t>+44 (0)12 5695 2100</t>
        </is>
      </c>
      <c r="AR76" s="182" t="inlineStr">
        <is>
          <t/>
        </is>
      </c>
      <c r="AS76" s="183" t="inlineStr">
        <is>
          <t/>
        </is>
      </c>
      <c r="AT76" s="184" t="inlineStr">
        <is>
          <t>Europe</t>
        </is>
      </c>
      <c r="AU76" s="185" t="inlineStr">
        <is>
          <t>Western Europe</t>
        </is>
      </c>
      <c r="AV76" s="186" t="inlineStr">
        <is>
          <t>The company raised GBP 3.5 million of venture funding in a deal led by Unilever Ventures on April 21, 2017. The company intends to use the funds to further invest in their technology platform and accelerate roll outs into new markets. Previously, he company raised GBP 1.16 million of venture funding from Unilever Ventures alongside a crowdfunding campaign on Seedrs on June 8, 2016, putting the company's pre-money valuation at GBP 6 million. Nick Robertson also participated in this round.</t>
        </is>
      </c>
      <c r="AW76" s="187" t="inlineStr">
        <is>
          <t>Lyndon Lea, Mark Sebba, Nicholas Robertson, Robert Darwent, Unilever Ventures</t>
        </is>
      </c>
      <c r="AX76" s="188" t="n">
        <v>5.0</v>
      </c>
      <c r="AY76" s="189" t="inlineStr">
        <is>
          <t/>
        </is>
      </c>
      <c r="AZ76" s="190" t="inlineStr">
        <is>
          <t/>
        </is>
      </c>
      <c r="BA76" s="191" t="inlineStr">
        <is>
          <t/>
        </is>
      </c>
      <c r="BB76" s="192" t="inlineStr">
        <is>
          <t>Unilever Ventures (www.unileverventures.com)</t>
        </is>
      </c>
      <c r="BC76" s="193" t="inlineStr">
        <is>
          <t/>
        </is>
      </c>
      <c r="BD76" s="194" t="inlineStr">
        <is>
          <t/>
        </is>
      </c>
      <c r="BE76" s="195" t="inlineStr">
        <is>
          <t/>
        </is>
      </c>
      <c r="BF76" s="196" t="inlineStr">
        <is>
          <t>Seedrs (Lead Manager or Arranger)</t>
        </is>
      </c>
      <c r="BG76" s="197" t="n">
        <v>41890.0</v>
      </c>
      <c r="BH76" s="198" t="n">
        <v>6.97</v>
      </c>
      <c r="BI76" s="199" t="inlineStr">
        <is>
          <t>Actual</t>
        </is>
      </c>
      <c r="BJ76" s="200" t="inlineStr">
        <is>
          <t/>
        </is>
      </c>
      <c r="BK76" s="201" t="inlineStr">
        <is>
          <t/>
        </is>
      </c>
      <c r="BL76" s="202" t="inlineStr">
        <is>
          <t>Angel (individual)</t>
        </is>
      </c>
      <c r="BM76" s="203" t="inlineStr">
        <is>
          <t>Angel</t>
        </is>
      </c>
      <c r="BN76" s="204" t="inlineStr">
        <is>
          <t/>
        </is>
      </c>
      <c r="BO76" s="205" t="inlineStr">
        <is>
          <t>Individual</t>
        </is>
      </c>
      <c r="BP76" s="206" t="inlineStr">
        <is>
          <t/>
        </is>
      </c>
      <c r="BQ76" s="207" t="inlineStr">
        <is>
          <t/>
        </is>
      </c>
      <c r="BR76" s="208" t="inlineStr">
        <is>
          <t/>
        </is>
      </c>
      <c r="BS76" s="209" t="inlineStr">
        <is>
          <t>Completed</t>
        </is>
      </c>
      <c r="BT76" s="210" t="n">
        <v>42846.0</v>
      </c>
      <c r="BU76" s="211" t="n">
        <v>4.13</v>
      </c>
      <c r="BV76" s="212" t="inlineStr">
        <is>
          <t>Actual</t>
        </is>
      </c>
      <c r="BW76" s="213" t="inlineStr">
        <is>
          <t/>
        </is>
      </c>
      <c r="BX76" s="214" t="inlineStr">
        <is>
          <t/>
        </is>
      </c>
      <c r="BY76" s="215" t="inlineStr">
        <is>
          <t>Early Stage VC</t>
        </is>
      </c>
      <c r="BZ76" s="216" t="inlineStr">
        <is>
          <t/>
        </is>
      </c>
      <c r="CA76" s="217" t="inlineStr">
        <is>
          <t/>
        </is>
      </c>
      <c r="CB76" s="218" t="inlineStr">
        <is>
          <t>Venture Capital</t>
        </is>
      </c>
      <c r="CC76" s="219" t="inlineStr">
        <is>
          <t/>
        </is>
      </c>
      <c r="CD76" s="220" t="inlineStr">
        <is>
          <t/>
        </is>
      </c>
      <c r="CE76" s="221" t="inlineStr">
        <is>
          <t/>
        </is>
      </c>
      <c r="CF76" s="222" t="inlineStr">
        <is>
          <t>Completed</t>
        </is>
      </c>
      <c r="CG76" s="223" t="inlineStr">
        <is>
          <t>0,26%</t>
        </is>
      </c>
      <c r="CH76" s="224" t="inlineStr">
        <is>
          <t>80</t>
        </is>
      </c>
      <c r="CI76" s="225" t="inlineStr">
        <is>
          <t>-0,04%</t>
        </is>
      </c>
      <c r="CJ76" s="226" t="inlineStr">
        <is>
          <t>-13,61%</t>
        </is>
      </c>
      <c r="CK76" s="227" t="inlineStr">
        <is>
          <t>0,29%</t>
        </is>
      </c>
      <c r="CL76" s="228" t="inlineStr">
        <is>
          <t>82</t>
        </is>
      </c>
      <c r="CM76" s="229" t="inlineStr">
        <is>
          <t>0,24%</t>
        </is>
      </c>
      <c r="CN76" s="230" t="inlineStr">
        <is>
          <t>77</t>
        </is>
      </c>
      <c r="CO76" s="231" t="inlineStr">
        <is>
          <t>0,46%</t>
        </is>
      </c>
      <c r="CP76" s="232" t="inlineStr">
        <is>
          <t>82</t>
        </is>
      </c>
      <c r="CQ76" s="233" t="inlineStr">
        <is>
          <t>0,12%</t>
        </is>
      </c>
      <c r="CR76" s="234" t="inlineStr">
        <is>
          <t>83</t>
        </is>
      </c>
      <c r="CS76" s="235" t="inlineStr">
        <is>
          <t/>
        </is>
      </c>
      <c r="CT76" s="236" t="inlineStr">
        <is>
          <t/>
        </is>
      </c>
      <c r="CU76" s="237" t="inlineStr">
        <is>
          <t>0,24%</t>
        </is>
      </c>
      <c r="CV76" s="238" t="inlineStr">
        <is>
          <t>81</t>
        </is>
      </c>
      <c r="CW76" s="239" t="inlineStr">
        <is>
          <t>30,76x</t>
        </is>
      </c>
      <c r="CX76" s="240" t="inlineStr">
        <is>
          <t>94</t>
        </is>
      </c>
      <c r="CY76" s="241" t="inlineStr">
        <is>
          <t>0,57x</t>
        </is>
      </c>
      <c r="CZ76" s="242" t="inlineStr">
        <is>
          <t>1,88%</t>
        </is>
      </c>
      <c r="DA76" s="243" t="inlineStr">
        <is>
          <t>22,39x</t>
        </is>
      </c>
      <c r="DB76" s="244" t="inlineStr">
        <is>
          <t>93</t>
        </is>
      </c>
      <c r="DC76" s="245" t="inlineStr">
        <is>
          <t>39,14x</t>
        </is>
      </c>
      <c r="DD76" s="246" t="inlineStr">
        <is>
          <t>93</t>
        </is>
      </c>
      <c r="DE76" s="247" t="inlineStr">
        <is>
          <t>22,22x</t>
        </is>
      </c>
      <c r="DF76" s="248" t="inlineStr">
        <is>
          <t>89</t>
        </is>
      </c>
      <c r="DG76" s="249" t="inlineStr">
        <is>
          <t>22,56x</t>
        </is>
      </c>
      <c r="DH76" s="250" t="inlineStr">
        <is>
          <t>93</t>
        </is>
      </c>
      <c r="DI76" s="251" t="inlineStr">
        <is>
          <t/>
        </is>
      </c>
      <c r="DJ76" s="252" t="inlineStr">
        <is>
          <t/>
        </is>
      </c>
      <c r="DK76" s="253" t="inlineStr">
        <is>
          <t>39,14x</t>
        </is>
      </c>
      <c r="DL76" s="254" t="inlineStr">
        <is>
          <t>95</t>
        </is>
      </c>
      <c r="DM76" s="255" t="inlineStr">
        <is>
          <t>13.917</t>
        </is>
      </c>
      <c r="DN76" s="256" t="inlineStr">
        <is>
          <t>-750</t>
        </is>
      </c>
      <c r="DO76" s="257" t="inlineStr">
        <is>
          <t>-5,11%</t>
        </is>
      </c>
      <c r="DP76" s="258" t="inlineStr">
        <is>
          <t/>
        </is>
      </c>
      <c r="DQ76" s="259" t="inlineStr">
        <is>
          <t/>
        </is>
      </c>
      <c r="DR76" s="260" t="inlineStr">
        <is>
          <t/>
        </is>
      </c>
      <c r="DS76" s="261" t="inlineStr">
        <is>
          <t>813</t>
        </is>
      </c>
      <c r="DT76" s="262" t="inlineStr">
        <is>
          <t>0</t>
        </is>
      </c>
      <c r="DU76" s="263" t="inlineStr">
        <is>
          <t>0,00%</t>
        </is>
      </c>
      <c r="DV76" s="264" t="inlineStr">
        <is>
          <t>13.417</t>
        </is>
      </c>
      <c r="DW76" s="265" t="inlineStr">
        <is>
          <t>8</t>
        </is>
      </c>
      <c r="DX76" s="266" t="inlineStr">
        <is>
          <t>0,06%</t>
        </is>
      </c>
      <c r="DY76" s="267" t="inlineStr">
        <is>
          <t>PitchBook Research</t>
        </is>
      </c>
      <c r="DZ76" s="786">
        <f>HYPERLINK("https://my.pitchbook.com?c=109769-14", "View company online")</f>
      </c>
    </row>
    <row r="77">
      <c r="A77" s="9" t="inlineStr">
        <is>
          <t>106917-67</t>
        </is>
      </c>
      <c r="B77" s="10" t="inlineStr">
        <is>
          <t>Blue Earth Diagnostics</t>
        </is>
      </c>
      <c r="C77" s="11" t="inlineStr">
        <is>
          <t/>
        </is>
      </c>
      <c r="D77" s="12" t="inlineStr">
        <is>
          <t>BED</t>
        </is>
      </c>
      <c r="E77" s="13" t="inlineStr">
        <is>
          <t>106917-67</t>
        </is>
      </c>
      <c r="F77" s="14" t="inlineStr">
        <is>
          <t>Developer of imaging technology for the heatlhcare sector. The company's focus is to transform the clinical management of recurrent prostate cancer through the development of new molecular imaging products.</t>
        </is>
      </c>
      <c r="G77" s="15" t="inlineStr">
        <is>
          <t>Healthcare</t>
        </is>
      </c>
      <c r="H77" s="16" t="inlineStr">
        <is>
          <t>Pharmaceuticals and Biotechnology</t>
        </is>
      </c>
      <c r="I77" s="17" t="inlineStr">
        <is>
          <t>Biotechnology</t>
        </is>
      </c>
      <c r="J77" s="18" t="inlineStr">
        <is>
          <t>Biotechnology*; Diagnostic Equipment; Monitoring Equipment</t>
        </is>
      </c>
      <c r="K77" s="19" t="inlineStr">
        <is>
          <t>Life Sciences, Oncology</t>
        </is>
      </c>
      <c r="L77" s="20" t="inlineStr">
        <is>
          <t>Venture Capital-Backed</t>
        </is>
      </c>
      <c r="M77" s="21" t="n">
        <v>31.38</v>
      </c>
      <c r="N77" s="22" t="inlineStr">
        <is>
          <t>Startup</t>
        </is>
      </c>
      <c r="O77" s="23" t="inlineStr">
        <is>
          <t>Privately Held (backing)</t>
        </is>
      </c>
      <c r="P77" s="24" t="inlineStr">
        <is>
          <t>Venture Capital</t>
        </is>
      </c>
      <c r="Q77" s="25" t="inlineStr">
        <is>
          <t>www.blueearthdiagnostics.com</t>
        </is>
      </c>
      <c r="R77" s="26" t="n">
        <v>8.0</v>
      </c>
      <c r="S77" s="27" t="inlineStr">
        <is>
          <t/>
        </is>
      </c>
      <c r="T77" s="28" t="inlineStr">
        <is>
          <t/>
        </is>
      </c>
      <c r="U77" s="29" t="n">
        <v>2014.0</v>
      </c>
      <c r="V77" s="30" t="inlineStr">
        <is>
          <t/>
        </is>
      </c>
      <c r="W77" s="31" t="inlineStr">
        <is>
          <t/>
        </is>
      </c>
      <c r="X77" s="32" t="inlineStr">
        <is>
          <t/>
        </is>
      </c>
      <c r="Y77" s="33" t="n">
        <v>0.0445</v>
      </c>
      <c r="Z77" s="34" t="inlineStr">
        <is>
          <t/>
        </is>
      </c>
      <c r="AA77" s="35" t="n">
        <v>-10.85763</v>
      </c>
      <c r="AB77" s="36" t="inlineStr">
        <is>
          <t/>
        </is>
      </c>
      <c r="AC77" s="37" t="n">
        <v>-11.09793</v>
      </c>
      <c r="AD77" s="38" t="inlineStr">
        <is>
          <t>FY 2015</t>
        </is>
      </c>
      <c r="AE77" s="39" t="inlineStr">
        <is>
          <t>56175-22P</t>
        </is>
      </c>
      <c r="AF77" s="40" t="inlineStr">
        <is>
          <t>Roger Humm</t>
        </is>
      </c>
      <c r="AG77" s="41" t="inlineStr">
        <is>
          <t>Interim,Chief Financial Officer</t>
        </is>
      </c>
      <c r="AH77" s="42" t="inlineStr">
        <is>
          <t/>
        </is>
      </c>
      <c r="AI77" s="43" t="inlineStr">
        <is>
          <t>+44 (0)18 6530 9663</t>
        </is>
      </c>
      <c r="AJ77" s="44" t="inlineStr">
        <is>
          <t>Oxford, United Kingdom</t>
        </is>
      </c>
      <c r="AK77" s="45" t="inlineStr">
        <is>
          <t>The Oxford Science Park</t>
        </is>
      </c>
      <c r="AL77" s="46" t="inlineStr">
        <is>
          <t>Magdalen Centre, Robert Robinson Avenue</t>
        </is>
      </c>
      <c r="AM77" s="47" t="inlineStr">
        <is>
          <t>Oxford</t>
        </is>
      </c>
      <c r="AN77" s="48" t="inlineStr">
        <is>
          <t>England</t>
        </is>
      </c>
      <c r="AO77" s="49" t="inlineStr">
        <is>
          <t>OX4 4GA</t>
        </is>
      </c>
      <c r="AP77" s="50" t="inlineStr">
        <is>
          <t>United Kingdom</t>
        </is>
      </c>
      <c r="AQ77" s="51" t="inlineStr">
        <is>
          <t>+44 (0)18 6578 4186</t>
        </is>
      </c>
      <c r="AR77" s="52" t="inlineStr">
        <is>
          <t>+44 (0)18 6578 4004</t>
        </is>
      </c>
      <c r="AS77" s="53" t="inlineStr">
        <is>
          <t>contact@blueearthdx.com</t>
        </is>
      </c>
      <c r="AT77" s="54" t="inlineStr">
        <is>
          <t>Europe</t>
        </is>
      </c>
      <c r="AU77" s="55" t="inlineStr">
        <is>
          <t>Western Europe</t>
        </is>
      </c>
      <c r="AV77" s="56" t="inlineStr">
        <is>
          <t>The company raised GBP 10 million of venture funding from undisclosed investors on April 7, 2017 putting the pre-money valuation at GBP 25.36 million.</t>
        </is>
      </c>
      <c r="AW77" s="57" t="inlineStr">
        <is>
          <t>Syncona</t>
        </is>
      </c>
      <c r="AX77" s="58" t="n">
        <v>1.0</v>
      </c>
      <c r="AY77" s="59" t="inlineStr">
        <is>
          <t/>
        </is>
      </c>
      <c r="AZ77" s="60" t="inlineStr">
        <is>
          <t/>
        </is>
      </c>
      <c r="BA77" s="61" t="inlineStr">
        <is>
          <t/>
        </is>
      </c>
      <c r="BB77" s="62" t="inlineStr">
        <is>
          <t>Syncona (www.synconaltd.com)</t>
        </is>
      </c>
      <c r="BC77" s="63" t="inlineStr">
        <is>
          <t/>
        </is>
      </c>
      <c r="BD77" s="64" t="inlineStr">
        <is>
          <t/>
        </is>
      </c>
      <c r="BE77" s="65" t="inlineStr">
        <is>
          <t>Olswang (Legal Advisor), KPMG (Auditor), PwC (Auditor), Barclays Bank (General Business Banking)</t>
        </is>
      </c>
      <c r="BF77" s="66" t="inlineStr">
        <is>
          <t/>
        </is>
      </c>
      <c r="BG77" s="67" t="n">
        <v>41709.0</v>
      </c>
      <c r="BH77" s="68" t="n">
        <v>15.41</v>
      </c>
      <c r="BI77" s="69" t="inlineStr">
        <is>
          <t>Actual</t>
        </is>
      </c>
      <c r="BJ77" s="70" t="inlineStr">
        <is>
          <t/>
        </is>
      </c>
      <c r="BK77" s="71" t="inlineStr">
        <is>
          <t/>
        </is>
      </c>
      <c r="BL77" s="72" t="inlineStr">
        <is>
          <t>Early Stage VC</t>
        </is>
      </c>
      <c r="BM77" s="73" t="inlineStr">
        <is>
          <t/>
        </is>
      </c>
      <c r="BN77" s="74" t="inlineStr">
        <is>
          <t/>
        </is>
      </c>
      <c r="BO77" s="75" t="inlineStr">
        <is>
          <t>Venture Capital</t>
        </is>
      </c>
      <c r="BP77" s="76" t="inlineStr">
        <is>
          <t/>
        </is>
      </c>
      <c r="BQ77" s="77" t="inlineStr">
        <is>
          <t/>
        </is>
      </c>
      <c r="BR77" s="78" t="inlineStr">
        <is>
          <t/>
        </is>
      </c>
      <c r="BS77" s="79" t="inlineStr">
        <is>
          <t>Completed</t>
        </is>
      </c>
      <c r="BT77" s="80" t="n">
        <v>42208.0</v>
      </c>
      <c r="BU77" s="81" t="n">
        <v>15.98</v>
      </c>
      <c r="BV77" s="82" t="inlineStr">
        <is>
          <t>Actual</t>
        </is>
      </c>
      <c r="BW77" s="83" t="n">
        <v>16.01</v>
      </c>
      <c r="BX77" s="84" t="inlineStr">
        <is>
          <t>Actual</t>
        </is>
      </c>
      <c r="BY77" s="85" t="inlineStr">
        <is>
          <t>Early Stage VC</t>
        </is>
      </c>
      <c r="BZ77" s="86" t="inlineStr">
        <is>
          <t>Series B</t>
        </is>
      </c>
      <c r="CA77" s="87" t="inlineStr">
        <is>
          <t/>
        </is>
      </c>
      <c r="CB77" s="88" t="inlineStr">
        <is>
          <t>Venture Capital</t>
        </is>
      </c>
      <c r="CC77" s="89" t="inlineStr">
        <is>
          <t/>
        </is>
      </c>
      <c r="CD77" s="90" t="inlineStr">
        <is>
          <t/>
        </is>
      </c>
      <c r="CE77" s="91" t="inlineStr">
        <is>
          <t/>
        </is>
      </c>
      <c r="CF77" s="92" t="inlineStr">
        <is>
          <t>Completed</t>
        </is>
      </c>
      <c r="CG77" s="93" t="inlineStr">
        <is>
          <t>0,00%</t>
        </is>
      </c>
      <c r="CH77" s="94" t="inlineStr">
        <is>
          <t>23</t>
        </is>
      </c>
      <c r="CI77" s="95" t="inlineStr">
        <is>
          <t>0,00%</t>
        </is>
      </c>
      <c r="CJ77" s="96" t="inlineStr">
        <is>
          <t>0,00%</t>
        </is>
      </c>
      <c r="CK77" s="97" t="inlineStr">
        <is>
          <t>0,00%</t>
        </is>
      </c>
      <c r="CL77" s="98" t="inlineStr">
        <is>
          <t>18</t>
        </is>
      </c>
      <c r="CM77" s="99" t="inlineStr">
        <is>
          <t/>
        </is>
      </c>
      <c r="CN77" s="100" t="inlineStr">
        <is>
          <t/>
        </is>
      </c>
      <c r="CO77" s="101" t="inlineStr">
        <is>
          <t>0,00%</t>
        </is>
      </c>
      <c r="CP77" s="102" t="inlineStr">
        <is>
          <t>26</t>
        </is>
      </c>
      <c r="CQ77" s="103" t="inlineStr">
        <is>
          <t>0,00%</t>
        </is>
      </c>
      <c r="CR77" s="104" t="inlineStr">
        <is>
          <t>13</t>
        </is>
      </c>
      <c r="CS77" s="105" t="inlineStr">
        <is>
          <t/>
        </is>
      </c>
      <c r="CT77" s="106" t="inlineStr">
        <is>
          <t/>
        </is>
      </c>
      <c r="CU77" s="107" t="inlineStr">
        <is>
          <t/>
        </is>
      </c>
      <c r="CV77" s="108" t="inlineStr">
        <is>
          <t/>
        </is>
      </c>
      <c r="CW77" s="109" t="inlineStr">
        <is>
          <t>1,34x</t>
        </is>
      </c>
      <c r="CX77" s="110" t="inlineStr">
        <is>
          <t>56</t>
        </is>
      </c>
      <c r="CY77" s="111" t="inlineStr">
        <is>
          <t>0,01x</t>
        </is>
      </c>
      <c r="CZ77" s="112" t="inlineStr">
        <is>
          <t>0,85%</t>
        </is>
      </c>
      <c r="DA77" s="113" t="inlineStr">
        <is>
          <t>1,34x</t>
        </is>
      </c>
      <c r="DB77" s="114" t="inlineStr">
        <is>
          <t>58</t>
        </is>
      </c>
      <c r="DC77" s="115" t="inlineStr">
        <is>
          <t/>
        </is>
      </c>
      <c r="DD77" s="116" t="inlineStr">
        <is>
          <t/>
        </is>
      </c>
      <c r="DE77" s="117" t="inlineStr">
        <is>
          <t>0,84x</t>
        </is>
      </c>
      <c r="DF77" s="118" t="inlineStr">
        <is>
          <t>47</t>
        </is>
      </c>
      <c r="DG77" s="119" t="inlineStr">
        <is>
          <t>1,83x</t>
        </is>
      </c>
      <c r="DH77" s="120" t="inlineStr">
        <is>
          <t>62</t>
        </is>
      </c>
      <c r="DI77" s="121" t="inlineStr">
        <is>
          <t/>
        </is>
      </c>
      <c r="DJ77" s="122" t="inlineStr">
        <is>
          <t/>
        </is>
      </c>
      <c r="DK77" s="123" t="inlineStr">
        <is>
          <t/>
        </is>
      </c>
      <c r="DL77" s="124" t="inlineStr">
        <is>
          <t/>
        </is>
      </c>
      <c r="DM77" s="125" t="inlineStr">
        <is>
          <t>520</t>
        </is>
      </c>
      <c r="DN77" s="126" t="inlineStr">
        <is>
          <t>-6</t>
        </is>
      </c>
      <c r="DO77" s="127" t="inlineStr">
        <is>
          <t>-1,14%</t>
        </is>
      </c>
      <c r="DP77" s="128" t="inlineStr">
        <is>
          <t/>
        </is>
      </c>
      <c r="DQ77" s="129" t="inlineStr">
        <is>
          <t/>
        </is>
      </c>
      <c r="DR77" s="130" t="inlineStr">
        <is>
          <t/>
        </is>
      </c>
      <c r="DS77" s="131" t="inlineStr">
        <is>
          <t>66</t>
        </is>
      </c>
      <c r="DT77" s="132" t="inlineStr">
        <is>
          <t>0</t>
        </is>
      </c>
      <c r="DU77" s="133" t="inlineStr">
        <is>
          <t>0,00%</t>
        </is>
      </c>
      <c r="DV77" s="134" t="inlineStr">
        <is>
          <t/>
        </is>
      </c>
      <c r="DW77" s="135" t="inlineStr">
        <is>
          <t/>
        </is>
      </c>
      <c r="DX77" s="136" t="inlineStr">
        <is>
          <t/>
        </is>
      </c>
      <c r="DY77" s="137" t="inlineStr">
        <is>
          <t>PitchBook Research</t>
        </is>
      </c>
      <c r="DZ77" s="785">
        <f>HYPERLINK("https://my.pitchbook.com?c=106917-67", "View company online")</f>
      </c>
    </row>
    <row r="78">
      <c r="A78" s="139" t="inlineStr">
        <is>
          <t>168878-62</t>
        </is>
      </c>
      <c r="B78" s="140" t="inlineStr">
        <is>
          <t>Blueground</t>
        </is>
      </c>
      <c r="C78" s="141" t="inlineStr">
        <is>
          <t/>
        </is>
      </c>
      <c r="D78" s="142" t="inlineStr">
        <is>
          <t/>
        </is>
      </c>
      <c r="E78" s="143" t="inlineStr">
        <is>
          <t>168878-62</t>
        </is>
      </c>
      <c r="F78" s="144" t="inlineStr">
        <is>
          <t>Provider of a rental platform designed to offer accommodation to corporate travelers, expats and leisure travelers. The company's rental platform provides technology to automate bookings, pricing and to streamline processes and communication to rent fully furnished and equipped apartments, enabling company managers, embassies and other organizations to get high quality and no hassle accommodation.</t>
        </is>
      </c>
      <c r="G78" s="145" t="inlineStr">
        <is>
          <t>Consumer Products and Services (B2C)</t>
        </is>
      </c>
      <c r="H78" s="146" t="inlineStr">
        <is>
          <t>Retail</t>
        </is>
      </c>
      <c r="I78" s="147" t="inlineStr">
        <is>
          <t>Internet Retail</t>
        </is>
      </c>
      <c r="J78" s="148" t="inlineStr">
        <is>
          <t>Internet Retail*; Hotels and Resorts; Leisure Facilities</t>
        </is>
      </c>
      <c r="K78" s="149" t="inlineStr">
        <is>
          <t/>
        </is>
      </c>
      <c r="L78" s="150" t="inlineStr">
        <is>
          <t>Venture Capital-Backed</t>
        </is>
      </c>
      <c r="M78" s="151" t="n">
        <v>6.7</v>
      </c>
      <c r="N78" s="152" t="inlineStr">
        <is>
          <t>Startup</t>
        </is>
      </c>
      <c r="O78" s="153" t="inlineStr">
        <is>
          <t>Privately Held (backing)</t>
        </is>
      </c>
      <c r="P78" s="154" t="inlineStr">
        <is>
          <t>Venture Capital</t>
        </is>
      </c>
      <c r="Q78" s="155" t="inlineStr">
        <is>
          <t>www.theblueground.com</t>
        </is>
      </c>
      <c r="R78" s="156" t="n">
        <v>60.0</v>
      </c>
      <c r="S78" s="157" t="inlineStr">
        <is>
          <t/>
        </is>
      </c>
      <c r="T78" s="158" t="inlineStr">
        <is>
          <t/>
        </is>
      </c>
      <c r="U78" s="159" t="n">
        <v>2013.0</v>
      </c>
      <c r="V78" s="160" t="inlineStr">
        <is>
          <t/>
        </is>
      </c>
      <c r="W78" s="161" t="inlineStr">
        <is>
          <t/>
        </is>
      </c>
      <c r="X78" s="162" t="inlineStr">
        <is>
          <t/>
        </is>
      </c>
      <c r="Y78" s="163" t="inlineStr">
        <is>
          <t/>
        </is>
      </c>
      <c r="Z78" s="164" t="inlineStr">
        <is>
          <t/>
        </is>
      </c>
      <c r="AA78" s="165" t="inlineStr">
        <is>
          <t/>
        </is>
      </c>
      <c r="AB78" s="166" t="inlineStr">
        <is>
          <t/>
        </is>
      </c>
      <c r="AC78" s="167" t="inlineStr">
        <is>
          <t/>
        </is>
      </c>
      <c r="AD78" s="168" t="inlineStr">
        <is>
          <t/>
        </is>
      </c>
      <c r="AE78" s="169" t="inlineStr">
        <is>
          <t>152116-84P</t>
        </is>
      </c>
      <c r="AF78" s="170" t="inlineStr">
        <is>
          <t>Alexandros Chatzieleftheriou</t>
        </is>
      </c>
      <c r="AG78" s="171" t="inlineStr">
        <is>
          <t>Co-Founder &amp; Chief Executive Officer</t>
        </is>
      </c>
      <c r="AH78" s="172" t="inlineStr">
        <is>
          <t/>
        </is>
      </c>
      <c r="AI78" s="173" t="inlineStr">
        <is>
          <t>+30 210 898 3651</t>
        </is>
      </c>
      <c r="AJ78" s="174" t="inlineStr">
        <is>
          <t>Kifisia, Greece</t>
        </is>
      </c>
      <c r="AK78" s="175" t="inlineStr">
        <is>
          <t>Kalavriton 2</t>
        </is>
      </c>
      <c r="AL78" s="176" t="inlineStr">
        <is>
          <t/>
        </is>
      </c>
      <c r="AM78" s="177" t="inlineStr">
        <is>
          <t>Kifisia</t>
        </is>
      </c>
      <c r="AN78" s="178" t="inlineStr">
        <is>
          <t/>
        </is>
      </c>
      <c r="AO78" s="179" t="inlineStr">
        <is>
          <t>145 64</t>
        </is>
      </c>
      <c r="AP78" s="180" t="inlineStr">
        <is>
          <t>Greece</t>
        </is>
      </c>
      <c r="AQ78" s="181" t="inlineStr">
        <is>
          <t>+30 210 898 3651</t>
        </is>
      </c>
      <c r="AR78" s="182" t="inlineStr">
        <is>
          <t>+30 211 403 7514</t>
        </is>
      </c>
      <c r="AS78" s="183" t="inlineStr">
        <is>
          <t>info@theblueground.com</t>
        </is>
      </c>
      <c r="AT78" s="184" t="inlineStr">
        <is>
          <t>Europe</t>
        </is>
      </c>
      <c r="AU78" s="185" t="inlineStr">
        <is>
          <t>Southern Europe</t>
        </is>
      </c>
      <c r="AV78" s="186" t="inlineStr">
        <is>
          <t>The company raised EUR 5.5 million of Series A venture funding from VentureFriends, Endeavor Global and other undisclosed investors on April 5, 2017. The company will use the funds for growth in existing markets. Previously, the company received an undisclosed amount of prize money from Libra Group as part of its Hellenic Entrepreneurship Award on June 6, 2016.</t>
        </is>
      </c>
      <c r="AW78" s="187" t="inlineStr">
        <is>
          <t>Apostolos Apostolakis, Endeavor Global, Libra Group, National Bank of Greece, VentureFriends</t>
        </is>
      </c>
      <c r="AX78" s="188" t="n">
        <v>5.0</v>
      </c>
      <c r="AY78" s="189" t="inlineStr">
        <is>
          <t/>
        </is>
      </c>
      <c r="AZ78" s="190" t="inlineStr">
        <is>
          <t/>
        </is>
      </c>
      <c r="BA78" s="191" t="inlineStr">
        <is>
          <t/>
        </is>
      </c>
      <c r="BB78" s="192" t="inlineStr">
        <is>
          <t>Endeavor Global (www.endeavor.org), Libra Group (www.libra.com), National Bank of Greece (www.nbg.gr), VentureFriends (www.venturefriends.vc)</t>
        </is>
      </c>
      <c r="BC78" s="193" t="inlineStr">
        <is>
          <t/>
        </is>
      </c>
      <c r="BD78" s="194" t="inlineStr">
        <is>
          <t/>
        </is>
      </c>
      <c r="BE78" s="195" t="inlineStr">
        <is>
          <t/>
        </is>
      </c>
      <c r="BF78" s="196" t="inlineStr">
        <is>
          <t/>
        </is>
      </c>
      <c r="BG78" s="197" t="inlineStr">
        <is>
          <t/>
        </is>
      </c>
      <c r="BH78" s="198" t="inlineStr">
        <is>
          <t/>
        </is>
      </c>
      <c r="BI78" s="199" t="inlineStr">
        <is>
          <t/>
        </is>
      </c>
      <c r="BJ78" s="200" t="inlineStr">
        <is>
          <t/>
        </is>
      </c>
      <c r="BK78" s="201" t="inlineStr">
        <is>
          <t/>
        </is>
      </c>
      <c r="BL78" s="202" t="inlineStr">
        <is>
          <t>Angel (individual)</t>
        </is>
      </c>
      <c r="BM78" s="203" t="inlineStr">
        <is>
          <t>Angel</t>
        </is>
      </c>
      <c r="BN78" s="204" t="inlineStr">
        <is>
          <t/>
        </is>
      </c>
      <c r="BO78" s="205" t="inlineStr">
        <is>
          <t>Individual</t>
        </is>
      </c>
      <c r="BP78" s="206" t="inlineStr">
        <is>
          <t/>
        </is>
      </c>
      <c r="BQ78" s="207" t="inlineStr">
        <is>
          <t/>
        </is>
      </c>
      <c r="BR78" s="208" t="inlineStr">
        <is>
          <t/>
        </is>
      </c>
      <c r="BS78" s="209" t="inlineStr">
        <is>
          <t>Completed</t>
        </is>
      </c>
      <c r="BT78" s="210" t="n">
        <v>42830.0</v>
      </c>
      <c r="BU78" s="211" t="n">
        <v>5.5</v>
      </c>
      <c r="BV78" s="212" t="inlineStr">
        <is>
          <t>Actual</t>
        </is>
      </c>
      <c r="BW78" s="213" t="inlineStr">
        <is>
          <t/>
        </is>
      </c>
      <c r="BX78" s="214" t="inlineStr">
        <is>
          <t/>
        </is>
      </c>
      <c r="BY78" s="215" t="inlineStr">
        <is>
          <t>Early Stage VC</t>
        </is>
      </c>
      <c r="BZ78" s="216" t="inlineStr">
        <is>
          <t>Series A</t>
        </is>
      </c>
      <c r="CA78" s="217" t="inlineStr">
        <is>
          <t/>
        </is>
      </c>
      <c r="CB78" s="218" t="inlineStr">
        <is>
          <t>Venture Capital</t>
        </is>
      </c>
      <c r="CC78" s="219" t="inlineStr">
        <is>
          <t/>
        </is>
      </c>
      <c r="CD78" s="220" t="inlineStr">
        <is>
          <t/>
        </is>
      </c>
      <c r="CE78" s="221" t="inlineStr">
        <is>
          <t/>
        </is>
      </c>
      <c r="CF78" s="222" t="inlineStr">
        <is>
          <t>Completed</t>
        </is>
      </c>
      <c r="CG78" s="223" t="inlineStr">
        <is>
          <t>-2,30%</t>
        </is>
      </c>
      <c r="CH78" s="224" t="inlineStr">
        <is>
          <t>2</t>
        </is>
      </c>
      <c r="CI78" s="225" t="inlineStr">
        <is>
          <t>-0,03%</t>
        </is>
      </c>
      <c r="CJ78" s="226" t="inlineStr">
        <is>
          <t>-1,21%</t>
        </is>
      </c>
      <c r="CK78" s="227" t="inlineStr">
        <is>
          <t>-5,07%</t>
        </is>
      </c>
      <c r="CL78" s="228" t="inlineStr">
        <is>
          <t>1</t>
        </is>
      </c>
      <c r="CM78" s="229" t="inlineStr">
        <is>
          <t>0,47%</t>
        </is>
      </c>
      <c r="CN78" s="230" t="inlineStr">
        <is>
          <t>89</t>
        </is>
      </c>
      <c r="CO78" s="231" t="inlineStr">
        <is>
          <t>-10,14%</t>
        </is>
      </c>
      <c r="CP78" s="232" t="inlineStr">
        <is>
          <t>2</t>
        </is>
      </c>
      <c r="CQ78" s="233" t="inlineStr">
        <is>
          <t>0,00%</t>
        </is>
      </c>
      <c r="CR78" s="234" t="inlineStr">
        <is>
          <t>13</t>
        </is>
      </c>
      <c r="CS78" s="235" t="inlineStr">
        <is>
          <t>0,95%</t>
        </is>
      </c>
      <c r="CT78" s="236" t="inlineStr">
        <is>
          <t>94</t>
        </is>
      </c>
      <c r="CU78" s="237" t="inlineStr">
        <is>
          <t>0,00%</t>
        </is>
      </c>
      <c r="CV78" s="238" t="inlineStr">
        <is>
          <t>20</t>
        </is>
      </c>
      <c r="CW78" s="239" t="inlineStr">
        <is>
          <t>3,08x</t>
        </is>
      </c>
      <c r="CX78" s="240" t="inlineStr">
        <is>
          <t>72</t>
        </is>
      </c>
      <c r="CY78" s="241" t="inlineStr">
        <is>
          <t>0,05x</t>
        </is>
      </c>
      <c r="CZ78" s="242" t="inlineStr">
        <is>
          <t>1,50%</t>
        </is>
      </c>
      <c r="DA78" s="243" t="inlineStr">
        <is>
          <t>3,43x</t>
        </is>
      </c>
      <c r="DB78" s="244" t="inlineStr">
        <is>
          <t>75</t>
        </is>
      </c>
      <c r="DC78" s="245" t="inlineStr">
        <is>
          <t>2,73x</t>
        </is>
      </c>
      <c r="DD78" s="246" t="inlineStr">
        <is>
          <t>67</t>
        </is>
      </c>
      <c r="DE78" s="247" t="inlineStr">
        <is>
          <t>4,62x</t>
        </is>
      </c>
      <c r="DF78" s="248" t="inlineStr">
        <is>
          <t>75</t>
        </is>
      </c>
      <c r="DG78" s="249" t="inlineStr">
        <is>
          <t>2,25x</t>
        </is>
      </c>
      <c r="DH78" s="250" t="inlineStr">
        <is>
          <t>66</t>
        </is>
      </c>
      <c r="DI78" s="251" t="inlineStr">
        <is>
          <t>5,26x</t>
        </is>
      </c>
      <c r="DJ78" s="252" t="inlineStr">
        <is>
          <t>75</t>
        </is>
      </c>
      <c r="DK78" s="253" t="inlineStr">
        <is>
          <t>0,20x</t>
        </is>
      </c>
      <c r="DL78" s="254" t="inlineStr">
        <is>
          <t>25</t>
        </is>
      </c>
      <c r="DM78" s="255" t="inlineStr">
        <is>
          <t>2.927</t>
        </is>
      </c>
      <c r="DN78" s="256" t="inlineStr">
        <is>
          <t>-266</t>
        </is>
      </c>
      <c r="DO78" s="257" t="inlineStr">
        <is>
          <t>-8,33%</t>
        </is>
      </c>
      <c r="DP78" s="258" t="inlineStr">
        <is>
          <t>4.190</t>
        </is>
      </c>
      <c r="DQ78" s="259" t="inlineStr">
        <is>
          <t>21</t>
        </is>
      </c>
      <c r="DR78" s="260" t="inlineStr">
        <is>
          <t>0,50%</t>
        </is>
      </c>
      <c r="DS78" s="261" t="inlineStr">
        <is>
          <t>81</t>
        </is>
      </c>
      <c r="DT78" s="262" t="inlineStr">
        <is>
          <t>-1</t>
        </is>
      </c>
      <c r="DU78" s="263" t="inlineStr">
        <is>
          <t>-1,22%</t>
        </is>
      </c>
      <c r="DV78" s="264" t="inlineStr">
        <is>
          <t>67</t>
        </is>
      </c>
      <c r="DW78" s="265" t="inlineStr">
        <is>
          <t>-1</t>
        </is>
      </c>
      <c r="DX78" s="266" t="inlineStr">
        <is>
          <t>-1,47%</t>
        </is>
      </c>
      <c r="DY78" s="267" t="inlineStr">
        <is>
          <t>PitchBook Research</t>
        </is>
      </c>
      <c r="DZ78" s="786">
        <f>HYPERLINK("https://my.pitchbook.com?c=168878-62", "View company online")</f>
      </c>
    </row>
    <row r="79">
      <c r="A79" s="9" t="inlineStr">
        <is>
          <t>82591-84</t>
        </is>
      </c>
      <c r="B79" s="10" t="inlineStr">
        <is>
          <t>Blueprint Genetics</t>
        </is>
      </c>
      <c r="C79" s="11" t="inlineStr">
        <is>
          <t/>
        </is>
      </c>
      <c r="D79" s="12" t="inlineStr">
        <is>
          <t/>
        </is>
      </c>
      <c r="E79" s="13" t="inlineStr">
        <is>
          <t>82591-84</t>
        </is>
      </c>
      <c r="F79" s="14" t="inlineStr">
        <is>
          <t>Provider of genetic testing and diagnostics services. The company's services offer advanced genetic testing with actionable genetic knowledge to provide the most comprehensive diagnostics for all medical specialties thus supporting health care professionals around the world in finding the best care for patients and families with rare inherited diseases. Its innovative technologies in human rare diseases enable improved tests with higher quality, lower cost and faster lead time.</t>
        </is>
      </c>
      <c r="G79" s="15" t="inlineStr">
        <is>
          <t>Healthcare</t>
        </is>
      </c>
      <c r="H79" s="16" t="inlineStr">
        <is>
          <t>Healthcare Devices and Supplies</t>
        </is>
      </c>
      <c r="I79" s="17" t="inlineStr">
        <is>
          <t>Diagnostic Equipment</t>
        </is>
      </c>
      <c r="J79" s="18" t="inlineStr">
        <is>
          <t>Diagnostic Equipment*; Biotechnology</t>
        </is>
      </c>
      <c r="K79" s="19" t="inlineStr">
        <is>
          <t/>
        </is>
      </c>
      <c r="L79" s="20" t="inlineStr">
        <is>
          <t>Venture Capital-Backed</t>
        </is>
      </c>
      <c r="M79" s="21" t="n">
        <v>17.98</v>
      </c>
      <c r="N79" s="22" t="inlineStr">
        <is>
          <t>Generating Revenue</t>
        </is>
      </c>
      <c r="O79" s="23" t="inlineStr">
        <is>
          <t>Privately Held (backing)</t>
        </is>
      </c>
      <c r="P79" s="24" t="inlineStr">
        <is>
          <t>Venture Capital</t>
        </is>
      </c>
      <c r="Q79" s="25" t="inlineStr">
        <is>
          <t>www.blueprintgenetics.com</t>
        </is>
      </c>
      <c r="R79" s="26" t="n">
        <v>25.0</v>
      </c>
      <c r="S79" s="27" t="inlineStr">
        <is>
          <t/>
        </is>
      </c>
      <c r="T79" s="28" t="inlineStr">
        <is>
          <t/>
        </is>
      </c>
      <c r="U79" s="29" t="n">
        <v>2012.0</v>
      </c>
      <c r="V79" s="30" t="inlineStr">
        <is>
          <t/>
        </is>
      </c>
      <c r="W79" s="31" t="inlineStr">
        <is>
          <t/>
        </is>
      </c>
      <c r="X79" s="32" t="inlineStr">
        <is>
          <t/>
        </is>
      </c>
      <c r="Y79" s="33" t="n">
        <v>2.32405</v>
      </c>
      <c r="Z79" s="34" t="inlineStr">
        <is>
          <t/>
        </is>
      </c>
      <c r="AA79" s="35" t="n">
        <v>-3.32955</v>
      </c>
      <c r="AB79" s="36" t="inlineStr">
        <is>
          <t/>
        </is>
      </c>
      <c r="AC79" s="37" t="n">
        <v>-3.30109</v>
      </c>
      <c r="AD79" s="38" t="inlineStr">
        <is>
          <t>FY 2016</t>
        </is>
      </c>
      <c r="AE79" s="39" t="inlineStr">
        <is>
          <t>53347-96P</t>
        </is>
      </c>
      <c r="AF79" s="40" t="inlineStr">
        <is>
          <t>Tommi Lehtonen</t>
        </is>
      </c>
      <c r="AG79" s="41" t="inlineStr">
        <is>
          <t>Chief Executive Officer &amp; Co-Founder</t>
        </is>
      </c>
      <c r="AH79" s="42" t="inlineStr">
        <is>
          <t>tommi.lehtonen@blueprintgenetics.com</t>
        </is>
      </c>
      <c r="AI79" s="43" t="inlineStr">
        <is>
          <t>+358 (0)40 251 1372</t>
        </is>
      </c>
      <c r="AJ79" s="44" t="inlineStr">
        <is>
          <t>Helsinki, Finland</t>
        </is>
      </c>
      <c r="AK79" s="45" t="inlineStr">
        <is>
          <t>Biomedicum 2U</t>
        </is>
      </c>
      <c r="AL79" s="46" t="inlineStr">
        <is>
          <t>Tukholmankatu 8</t>
        </is>
      </c>
      <c r="AM79" s="47" t="inlineStr">
        <is>
          <t>Helsinki</t>
        </is>
      </c>
      <c r="AN79" s="48" t="inlineStr">
        <is>
          <t/>
        </is>
      </c>
      <c r="AO79" s="49" t="inlineStr">
        <is>
          <t>00290</t>
        </is>
      </c>
      <c r="AP79" s="50" t="inlineStr">
        <is>
          <t>Finland</t>
        </is>
      </c>
      <c r="AQ79" s="51" t="inlineStr">
        <is>
          <t>+358 (0)40 251 1372</t>
        </is>
      </c>
      <c r="AR79" s="52" t="inlineStr">
        <is>
          <t>+358 (0)98 565 7177</t>
        </is>
      </c>
      <c r="AS79" s="53" t="inlineStr">
        <is>
          <t>support@blueprintgenetics.com</t>
        </is>
      </c>
      <c r="AT79" s="54" t="inlineStr">
        <is>
          <t>Europe</t>
        </is>
      </c>
      <c r="AU79" s="55" t="inlineStr">
        <is>
          <t>Northern Europe</t>
        </is>
      </c>
      <c r="AV79" s="56" t="inlineStr">
        <is>
          <t>The company received EUR 14 million of venture funding from Creathor Venture, MedTech Innovation Partners, Pontos Group and Inventure on July, 11, 2017. The proceeds from this financing round to fuel further growth, strengthen sales, expand its geographic footprint and establish programs to further increase the efficiency of its sequencing platform and continue the development of its software component and data pool to make interpretation of genetic data more efficient. The total funding for Blueprint Genetics is EUR 23 million.</t>
        </is>
      </c>
      <c r="AW79" s="57" t="inlineStr">
        <is>
          <t>Avohoidon Tutkimussäätiö, California Institute for Quantitative Biosciences, Creathor Venture, Inventure, MedTech Innovation Partners, Pontos Group, Tekes</t>
        </is>
      </c>
      <c r="AX79" s="58" t="n">
        <v>7.0</v>
      </c>
      <c r="AY79" s="59" t="inlineStr">
        <is>
          <t/>
        </is>
      </c>
      <c r="AZ79" s="60" t="inlineStr">
        <is>
          <t/>
        </is>
      </c>
      <c r="BA79" s="61" t="inlineStr">
        <is>
          <t/>
        </is>
      </c>
      <c r="BB79" s="62" t="inlineStr">
        <is>
          <t>Avohoidon Tutkimussäätiö (www.aurora-tietokanta.fi), California Institute for Quantitative Biosciences (www.qb3.org), Creathor Venture (www.creathor.com), Inventure (www.inventure.fi), MedTech Innovation Partners (www.mtip.ch), Pontos Group (www.pontos.fi), Tekes (www.tekes.fi)</t>
        </is>
      </c>
      <c r="BC79" s="63" t="inlineStr">
        <is>
          <t/>
        </is>
      </c>
      <c r="BD79" s="64" t="inlineStr">
        <is>
          <t/>
        </is>
      </c>
      <c r="BE79" s="65" t="inlineStr">
        <is>
          <t/>
        </is>
      </c>
      <c r="BF79" s="66" t="inlineStr">
        <is>
          <t/>
        </is>
      </c>
      <c r="BG79" s="67" t="inlineStr">
        <is>
          <t/>
        </is>
      </c>
      <c r="BH79" s="68" t="inlineStr">
        <is>
          <t/>
        </is>
      </c>
      <c r="BI79" s="69" t="inlineStr">
        <is>
          <t/>
        </is>
      </c>
      <c r="BJ79" s="70" t="inlineStr">
        <is>
          <t/>
        </is>
      </c>
      <c r="BK79" s="71" t="inlineStr">
        <is>
          <t/>
        </is>
      </c>
      <c r="BL79" s="72" t="inlineStr">
        <is>
          <t>Accelerator/Incubator</t>
        </is>
      </c>
      <c r="BM79" s="73" t="inlineStr">
        <is>
          <t/>
        </is>
      </c>
      <c r="BN79" s="74" t="inlineStr">
        <is>
          <t/>
        </is>
      </c>
      <c r="BO79" s="75" t="inlineStr">
        <is>
          <t>Other</t>
        </is>
      </c>
      <c r="BP79" s="76" t="inlineStr">
        <is>
          <t/>
        </is>
      </c>
      <c r="BQ79" s="77" t="inlineStr">
        <is>
          <t/>
        </is>
      </c>
      <c r="BR79" s="78" t="inlineStr">
        <is>
          <t/>
        </is>
      </c>
      <c r="BS79" s="79" t="inlineStr">
        <is>
          <t>Completed</t>
        </is>
      </c>
      <c r="BT79" s="80" t="n">
        <v>42927.0</v>
      </c>
      <c r="BU79" s="81" t="n">
        <v>14.0</v>
      </c>
      <c r="BV79" s="82" t="inlineStr">
        <is>
          <t>Actual</t>
        </is>
      </c>
      <c r="BW79" s="83" t="inlineStr">
        <is>
          <t/>
        </is>
      </c>
      <c r="BX79" s="84" t="inlineStr">
        <is>
          <t/>
        </is>
      </c>
      <c r="BY79" s="85" t="inlineStr">
        <is>
          <t>Later Stage VC</t>
        </is>
      </c>
      <c r="BZ79" s="86" t="inlineStr">
        <is>
          <t/>
        </is>
      </c>
      <c r="CA79" s="87" t="inlineStr">
        <is>
          <t/>
        </is>
      </c>
      <c r="CB79" s="88" t="inlineStr">
        <is>
          <t>Venture Capital</t>
        </is>
      </c>
      <c r="CC79" s="89" t="inlineStr">
        <is>
          <t/>
        </is>
      </c>
      <c r="CD79" s="90" t="inlineStr">
        <is>
          <t/>
        </is>
      </c>
      <c r="CE79" s="91" t="inlineStr">
        <is>
          <t/>
        </is>
      </c>
      <c r="CF79" s="92" t="inlineStr">
        <is>
          <t>Completed</t>
        </is>
      </c>
      <c r="CG79" s="93" t="inlineStr">
        <is>
          <t>3,14%</t>
        </is>
      </c>
      <c r="CH79" s="94" t="inlineStr">
        <is>
          <t>96</t>
        </is>
      </c>
      <c r="CI79" s="95" t="inlineStr">
        <is>
          <t>0,00%</t>
        </is>
      </c>
      <c r="CJ79" s="96" t="inlineStr">
        <is>
          <t>-0,15%</t>
        </is>
      </c>
      <c r="CK79" s="97" t="inlineStr">
        <is>
          <t>5,88%</t>
        </is>
      </c>
      <c r="CL79" s="98" t="inlineStr">
        <is>
          <t>97</t>
        </is>
      </c>
      <c r="CM79" s="99" t="inlineStr">
        <is>
          <t>0,41%</t>
        </is>
      </c>
      <c r="CN79" s="100" t="inlineStr">
        <is>
          <t>87</t>
        </is>
      </c>
      <c r="CO79" s="101" t="inlineStr">
        <is>
          <t>11,76%</t>
        </is>
      </c>
      <c r="CP79" s="102" t="inlineStr">
        <is>
          <t>100</t>
        </is>
      </c>
      <c r="CQ79" s="103" t="inlineStr">
        <is>
          <t>0,00%</t>
        </is>
      </c>
      <c r="CR79" s="104" t="inlineStr">
        <is>
          <t>13</t>
        </is>
      </c>
      <c r="CS79" s="105" t="inlineStr">
        <is>
          <t>0,33%</t>
        </is>
      </c>
      <c r="CT79" s="106" t="inlineStr">
        <is>
          <t>80</t>
        </is>
      </c>
      <c r="CU79" s="107" t="inlineStr">
        <is>
          <t>0,49%</t>
        </is>
      </c>
      <c r="CV79" s="108" t="inlineStr">
        <is>
          <t>91</t>
        </is>
      </c>
      <c r="CW79" s="109" t="inlineStr">
        <is>
          <t>3,46x</t>
        </is>
      </c>
      <c r="CX79" s="110" t="inlineStr">
        <is>
          <t>74</t>
        </is>
      </c>
      <c r="CY79" s="111" t="inlineStr">
        <is>
          <t>0,05x</t>
        </is>
      </c>
      <c r="CZ79" s="112" t="inlineStr">
        <is>
          <t>1,38%</t>
        </is>
      </c>
      <c r="DA79" s="113" t="inlineStr">
        <is>
          <t>2,70x</t>
        </is>
      </c>
      <c r="DB79" s="114" t="inlineStr">
        <is>
          <t>72</t>
        </is>
      </c>
      <c r="DC79" s="115" t="inlineStr">
        <is>
          <t>4,23x</t>
        </is>
      </c>
      <c r="DD79" s="116" t="inlineStr">
        <is>
          <t>74</t>
        </is>
      </c>
      <c r="DE79" s="117" t="inlineStr">
        <is>
          <t>3,95x</t>
        </is>
      </c>
      <c r="DF79" s="118" t="inlineStr">
        <is>
          <t>74</t>
        </is>
      </c>
      <c r="DG79" s="119" t="inlineStr">
        <is>
          <t>1,44x</t>
        </is>
      </c>
      <c r="DH79" s="120" t="inlineStr">
        <is>
          <t>58</t>
        </is>
      </c>
      <c r="DI79" s="121" t="inlineStr">
        <is>
          <t>0,93x</t>
        </is>
      </c>
      <c r="DJ79" s="122" t="inlineStr">
        <is>
          <t>49</t>
        </is>
      </c>
      <c r="DK79" s="123" t="inlineStr">
        <is>
          <t>7,52x</t>
        </is>
      </c>
      <c r="DL79" s="124" t="inlineStr">
        <is>
          <t>83</t>
        </is>
      </c>
      <c r="DM79" s="125" t="inlineStr">
        <is>
          <t>2.382</t>
        </is>
      </c>
      <c r="DN79" s="126" t="inlineStr">
        <is>
          <t>137</t>
        </is>
      </c>
      <c r="DO79" s="127" t="inlineStr">
        <is>
          <t>6,10%</t>
        </is>
      </c>
      <c r="DP79" s="128" t="inlineStr">
        <is>
          <t>739</t>
        </is>
      </c>
      <c r="DQ79" s="129" t="inlineStr">
        <is>
          <t>2</t>
        </is>
      </c>
      <c r="DR79" s="130" t="inlineStr">
        <is>
          <t>0,27%</t>
        </is>
      </c>
      <c r="DS79" s="131" t="inlineStr">
        <is>
          <t>52</t>
        </is>
      </c>
      <c r="DT79" s="132" t="inlineStr">
        <is>
          <t>-2</t>
        </is>
      </c>
      <c r="DU79" s="133" t="inlineStr">
        <is>
          <t>-3,70%</t>
        </is>
      </c>
      <c r="DV79" s="134" t="inlineStr">
        <is>
          <t>2.575</t>
        </is>
      </c>
      <c r="DW79" s="135" t="inlineStr">
        <is>
          <t>13</t>
        </is>
      </c>
      <c r="DX79" s="136" t="inlineStr">
        <is>
          <t>0,51%</t>
        </is>
      </c>
      <c r="DY79" s="137" t="inlineStr">
        <is>
          <t>PitchBook Research</t>
        </is>
      </c>
      <c r="DZ79" s="785">
        <f>HYPERLINK("https://my.pitchbook.com?c=82591-84", "View company online")</f>
      </c>
    </row>
    <row r="80">
      <c r="A80" s="139" t="inlineStr">
        <is>
          <t>64829-53</t>
        </is>
      </c>
      <c r="B80" s="140" t="inlineStr">
        <is>
          <t>Book a Tiger</t>
        </is>
      </c>
      <c r="C80" s="141" t="inlineStr">
        <is>
          <t/>
        </is>
      </c>
      <c r="D80" s="142" t="inlineStr">
        <is>
          <t/>
        </is>
      </c>
      <c r="E80" s="143" t="inlineStr">
        <is>
          <t>64829-53</t>
        </is>
      </c>
      <c r="F80" s="144" t="inlineStr">
        <is>
          <t>Provider of an online platform designed to find and book personal cleaning experts. The company's online platform offers cleaning services by matching private and business customers with interviewed, background-checked and tested professional cleaners, enabling customers to have access to customized cleaning options.</t>
        </is>
      </c>
      <c r="G80" s="145" t="inlineStr">
        <is>
          <t>Information Technology</t>
        </is>
      </c>
      <c r="H80" s="146" t="inlineStr">
        <is>
          <t>Software</t>
        </is>
      </c>
      <c r="I80" s="147" t="inlineStr">
        <is>
          <t>Application Software</t>
        </is>
      </c>
      <c r="J80" s="148" t="inlineStr">
        <is>
          <t>Application Software*; Other Services (B2C Non-Financial)</t>
        </is>
      </c>
      <c r="K80" s="149" t="inlineStr">
        <is>
          <t/>
        </is>
      </c>
      <c r="L80" s="150" t="inlineStr">
        <is>
          <t>Venture Capital-Backed</t>
        </is>
      </c>
      <c r="M80" s="151" t="n">
        <v>24.06</v>
      </c>
      <c r="N80" s="152" t="inlineStr">
        <is>
          <t>Generating Revenue</t>
        </is>
      </c>
      <c r="O80" s="153" t="inlineStr">
        <is>
          <t>Privately Held (backing)</t>
        </is>
      </c>
      <c r="P80" s="154" t="inlineStr">
        <is>
          <t>Venture Capital</t>
        </is>
      </c>
      <c r="Q80" s="155" t="inlineStr">
        <is>
          <t>www.bookatiger.com</t>
        </is>
      </c>
      <c r="R80" s="156" t="n">
        <v>1000.0</v>
      </c>
      <c r="S80" s="157" t="inlineStr">
        <is>
          <t/>
        </is>
      </c>
      <c r="T80" s="158" t="inlineStr">
        <is>
          <t/>
        </is>
      </c>
      <c r="U80" s="159" t="n">
        <v>2014.0</v>
      </c>
      <c r="V80" s="160" t="inlineStr">
        <is>
          <t/>
        </is>
      </c>
      <c r="W80" s="161" t="inlineStr">
        <is>
          <t/>
        </is>
      </c>
      <c r="X80" s="162" t="inlineStr">
        <is>
          <t/>
        </is>
      </c>
      <c r="Y80" s="163" t="inlineStr">
        <is>
          <t/>
        </is>
      </c>
      <c r="Z80" s="164" t="inlineStr">
        <is>
          <t/>
        </is>
      </c>
      <c r="AA80" s="165" t="inlineStr">
        <is>
          <t/>
        </is>
      </c>
      <c r="AB80" s="166" t="inlineStr">
        <is>
          <t/>
        </is>
      </c>
      <c r="AC80" s="167" t="inlineStr">
        <is>
          <t/>
        </is>
      </c>
      <c r="AD80" s="168" t="inlineStr">
        <is>
          <t/>
        </is>
      </c>
      <c r="AE80" s="169" t="inlineStr">
        <is>
          <t>51056-74P</t>
        </is>
      </c>
      <c r="AF80" s="170" t="inlineStr">
        <is>
          <t>Nikita Fahrenholz</t>
        </is>
      </c>
      <c r="AG80" s="171" t="inlineStr">
        <is>
          <t>Chief Executive Officer &amp; Co-Founder</t>
        </is>
      </c>
      <c r="AH80" s="172" t="inlineStr">
        <is>
          <t>nikita@bookatiger.com</t>
        </is>
      </c>
      <c r="AI80" s="173" t="inlineStr">
        <is>
          <t>+49 (0)30 3080 7263</t>
        </is>
      </c>
      <c r="AJ80" s="174" t="inlineStr">
        <is>
          <t>Berlin, Germany</t>
        </is>
      </c>
      <c r="AK80" s="175" t="inlineStr">
        <is>
          <t>Brückenstraße 5a</t>
        </is>
      </c>
      <c r="AL80" s="176" t="inlineStr">
        <is>
          <t/>
        </is>
      </c>
      <c r="AM80" s="177" t="inlineStr">
        <is>
          <t>Berlin</t>
        </is>
      </c>
      <c r="AN80" s="178" t="inlineStr">
        <is>
          <t/>
        </is>
      </c>
      <c r="AO80" s="179" t="inlineStr">
        <is>
          <t>10179</t>
        </is>
      </c>
      <c r="AP80" s="180" t="inlineStr">
        <is>
          <t>Germany</t>
        </is>
      </c>
      <c r="AQ80" s="181" t="inlineStr">
        <is>
          <t>+49 (0)30 3080 7263</t>
        </is>
      </c>
      <c r="AR80" s="182" t="inlineStr">
        <is>
          <t/>
        </is>
      </c>
      <c r="AS80" s="183" t="inlineStr">
        <is>
          <t>b2b-de@bookatiger.com</t>
        </is>
      </c>
      <c r="AT80" s="184" t="inlineStr">
        <is>
          <t>Europe</t>
        </is>
      </c>
      <c r="AU80" s="185" t="inlineStr">
        <is>
          <t>Western Europe</t>
        </is>
      </c>
      <c r="AV80" s="186" t="inlineStr">
        <is>
          <t>The company raised EUR 20 million of Series A6 venture funding from Coller Capital, DN Capital and Target Global on February 8, 2017. Tamedia and other undisclosed investors also participated in this round. The company intends to use the funds to continue to expand operations, hiring new people, and grow the business, focusing on the B2B sector by offering cleaning personnel to offices. Previously, the company raised an undisclosed amount of Series A5 venture funding through a combination of debt and equity from DN Capital, German Media Pool and German Startups Group on March 16, 2016.</t>
        </is>
      </c>
      <c r="AW80" s="187" t="inlineStr">
        <is>
          <t>Avala Capital, Cavalry Ventures, Claude Ritter, Coller Capital, DN Capital, German Media Pool, German Startups Group, Tamedia, Target Global, WestTech Ventures</t>
        </is>
      </c>
      <c r="AX80" s="188" t="n">
        <v>10.0</v>
      </c>
      <c r="AY80" s="189" t="inlineStr">
        <is>
          <t/>
        </is>
      </c>
      <c r="AZ80" s="190" t="inlineStr">
        <is>
          <t/>
        </is>
      </c>
      <c r="BA80" s="191" t="inlineStr">
        <is>
          <t/>
        </is>
      </c>
      <c r="BB80" s="192" t="inlineStr">
        <is>
          <t>Avala Capital (www.avalacapital.com), Cavalry Ventures (www.cavalry.vc), Claude Ritter (www.pico.vc), Coller Capital (www.collercapital.com), DN Capital (www.dncapital.com), German Media Pool (www.germanmediapool.com), German Startups Group (www.german-startups.com), Tamedia (www.tamedia.ch), Target Global (www.targetglobal.vc), WestTech Ventures (www.westtechventures.de)</t>
        </is>
      </c>
      <c r="BC80" s="193" t="inlineStr">
        <is>
          <t/>
        </is>
      </c>
      <c r="BD80" s="194" t="inlineStr">
        <is>
          <t/>
        </is>
      </c>
      <c r="BE80" s="195" t="inlineStr">
        <is>
          <t/>
        </is>
      </c>
      <c r="BF80" s="196" t="inlineStr">
        <is>
          <t/>
        </is>
      </c>
      <c r="BG80" s="197" t="n">
        <v>41830.0</v>
      </c>
      <c r="BH80" s="198" t="inlineStr">
        <is>
          <t/>
        </is>
      </c>
      <c r="BI80" s="199" t="inlineStr">
        <is>
          <t/>
        </is>
      </c>
      <c r="BJ80" s="200" t="inlineStr">
        <is>
          <t/>
        </is>
      </c>
      <c r="BK80" s="201" t="inlineStr">
        <is>
          <t/>
        </is>
      </c>
      <c r="BL80" s="202" t="inlineStr">
        <is>
          <t>Seed Round</t>
        </is>
      </c>
      <c r="BM80" s="203" t="inlineStr">
        <is>
          <t>Seed</t>
        </is>
      </c>
      <c r="BN80" s="204" t="inlineStr">
        <is>
          <t/>
        </is>
      </c>
      <c r="BO80" s="205" t="inlineStr">
        <is>
          <t>Venture Capital</t>
        </is>
      </c>
      <c r="BP80" s="206" t="inlineStr">
        <is>
          <t/>
        </is>
      </c>
      <c r="BQ80" s="207" t="inlineStr">
        <is>
          <t/>
        </is>
      </c>
      <c r="BR80" s="208" t="inlineStr">
        <is>
          <t/>
        </is>
      </c>
      <c r="BS80" s="209" t="inlineStr">
        <is>
          <t>Completed</t>
        </is>
      </c>
      <c r="BT80" s="210" t="n">
        <v>42774.0</v>
      </c>
      <c r="BU80" s="211" t="n">
        <v>20.0</v>
      </c>
      <c r="BV80" s="212" t="inlineStr">
        <is>
          <t>Actual</t>
        </is>
      </c>
      <c r="BW80" s="213" t="inlineStr">
        <is>
          <t/>
        </is>
      </c>
      <c r="BX80" s="214" t="inlineStr">
        <is>
          <t/>
        </is>
      </c>
      <c r="BY80" s="215" t="inlineStr">
        <is>
          <t>Early Stage VC</t>
        </is>
      </c>
      <c r="BZ80" s="216" t="inlineStr">
        <is>
          <t/>
        </is>
      </c>
      <c r="CA80" s="217" t="inlineStr">
        <is>
          <t/>
        </is>
      </c>
      <c r="CB80" s="218" t="inlineStr">
        <is>
          <t>Venture Capital</t>
        </is>
      </c>
      <c r="CC80" s="219" t="inlineStr">
        <is>
          <t>Convertible Debt</t>
        </is>
      </c>
      <c r="CD80" s="220" t="inlineStr">
        <is>
          <t/>
        </is>
      </c>
      <c r="CE80" s="221" t="inlineStr">
        <is>
          <t/>
        </is>
      </c>
      <c r="CF80" s="222" t="inlineStr">
        <is>
          <t>Completed</t>
        </is>
      </c>
      <c r="CG80" s="223" t="inlineStr">
        <is>
          <t>-0,53%</t>
        </is>
      </c>
      <c r="CH80" s="224" t="inlineStr">
        <is>
          <t>8</t>
        </is>
      </c>
      <c r="CI80" s="225" t="inlineStr">
        <is>
          <t>0,03%</t>
        </is>
      </c>
      <c r="CJ80" s="226" t="inlineStr">
        <is>
          <t>5,84%</t>
        </is>
      </c>
      <c r="CK80" s="227" t="inlineStr">
        <is>
          <t>-1,06%</t>
        </is>
      </c>
      <c r="CL80" s="228" t="inlineStr">
        <is>
          <t>9</t>
        </is>
      </c>
      <c r="CM80" s="229" t="inlineStr">
        <is>
          <t>0,00%</t>
        </is>
      </c>
      <c r="CN80" s="230" t="inlineStr">
        <is>
          <t>19</t>
        </is>
      </c>
      <c r="CO80" s="231" t="inlineStr">
        <is>
          <t>-1,25%</t>
        </is>
      </c>
      <c r="CP80" s="232" t="inlineStr">
        <is>
          <t>19</t>
        </is>
      </c>
      <c r="CQ80" s="233" t="inlineStr">
        <is>
          <t>-0,88%</t>
        </is>
      </c>
      <c r="CR80" s="234" t="inlineStr">
        <is>
          <t>4</t>
        </is>
      </c>
      <c r="CS80" s="235" t="inlineStr">
        <is>
          <t>-0,03%</t>
        </is>
      </c>
      <c r="CT80" s="236" t="inlineStr">
        <is>
          <t>10</t>
        </is>
      </c>
      <c r="CU80" s="237" t="inlineStr">
        <is>
          <t>0,04%</t>
        </is>
      </c>
      <c r="CV80" s="238" t="inlineStr">
        <is>
          <t>60</t>
        </is>
      </c>
      <c r="CW80" s="239" t="inlineStr">
        <is>
          <t>37,40x</t>
        </is>
      </c>
      <c r="CX80" s="240" t="inlineStr">
        <is>
          <t>95</t>
        </is>
      </c>
      <c r="CY80" s="241" t="inlineStr">
        <is>
          <t>0,57x</t>
        </is>
      </c>
      <c r="CZ80" s="242" t="inlineStr">
        <is>
          <t>1,56%</t>
        </is>
      </c>
      <c r="DA80" s="243" t="inlineStr">
        <is>
          <t>25,71x</t>
        </is>
      </c>
      <c r="DB80" s="244" t="inlineStr">
        <is>
          <t>94</t>
        </is>
      </c>
      <c r="DC80" s="245" t="inlineStr">
        <is>
          <t>49,10x</t>
        </is>
      </c>
      <c r="DD80" s="246" t="inlineStr">
        <is>
          <t>94</t>
        </is>
      </c>
      <c r="DE80" s="247" t="inlineStr">
        <is>
          <t>37,14x</t>
        </is>
      </c>
      <c r="DF80" s="248" t="inlineStr">
        <is>
          <t>92</t>
        </is>
      </c>
      <c r="DG80" s="249" t="inlineStr">
        <is>
          <t>14,28x</t>
        </is>
      </c>
      <c r="DH80" s="250" t="inlineStr">
        <is>
          <t>90</t>
        </is>
      </c>
      <c r="DI80" s="251" t="inlineStr">
        <is>
          <t>97,14x</t>
        </is>
      </c>
      <c r="DJ80" s="252" t="inlineStr">
        <is>
          <t>95</t>
        </is>
      </c>
      <c r="DK80" s="253" t="inlineStr">
        <is>
          <t>1,05x</t>
        </is>
      </c>
      <c r="DL80" s="254" t="inlineStr">
        <is>
          <t>51</t>
        </is>
      </c>
      <c r="DM80" s="255" t="inlineStr">
        <is>
          <t>23.099</t>
        </is>
      </c>
      <c r="DN80" s="256" t="inlineStr">
        <is>
          <t>-767</t>
        </is>
      </c>
      <c r="DO80" s="257" t="inlineStr">
        <is>
          <t>-3,21%</t>
        </is>
      </c>
      <c r="DP80" s="258" t="inlineStr">
        <is>
          <t>77.614</t>
        </is>
      </c>
      <c r="DQ80" s="259" t="inlineStr">
        <is>
          <t>-12</t>
        </is>
      </c>
      <c r="DR80" s="260" t="inlineStr">
        <is>
          <t>-0,02%</t>
        </is>
      </c>
      <c r="DS80" s="261" t="inlineStr">
        <is>
          <t>516</t>
        </is>
      </c>
      <c r="DT80" s="262" t="inlineStr">
        <is>
          <t>-3</t>
        </is>
      </c>
      <c r="DU80" s="263" t="inlineStr">
        <is>
          <t>-0,58%</t>
        </is>
      </c>
      <c r="DV80" s="264" t="inlineStr">
        <is>
          <t>358</t>
        </is>
      </c>
      <c r="DW80" s="265" t="inlineStr">
        <is>
          <t>3</t>
        </is>
      </c>
      <c r="DX80" s="266" t="inlineStr">
        <is>
          <t>0,85%</t>
        </is>
      </c>
      <c r="DY80" s="267" t="inlineStr">
        <is>
          <t>PitchBook Research</t>
        </is>
      </c>
      <c r="DZ80" s="786">
        <f>HYPERLINK("https://my.pitchbook.com?c=64829-53", "View company online")</f>
      </c>
    </row>
    <row r="81">
      <c r="A81" s="9" t="inlineStr">
        <is>
          <t>108641-35</t>
        </is>
      </c>
      <c r="B81" s="10" t="inlineStr">
        <is>
          <t>Botify</t>
        </is>
      </c>
      <c r="C81" s="11" t="inlineStr">
        <is>
          <t/>
        </is>
      </c>
      <c r="D81" s="12" t="inlineStr">
        <is>
          <t/>
        </is>
      </c>
      <c r="E81" s="13" t="inlineStr">
        <is>
          <t>108641-35</t>
        </is>
      </c>
      <c r="F81" s="14" t="inlineStr">
        <is>
          <t>Provider of search engine optimization software designed to help companies to optimize their mobile and desktop organic traffic and increase
their online revenue. The company's search engine optimization software offer in-depth training from basic to advanced and expert levels, and in-person customized training to tailor experience, enabling companies to process reports and get complex data quickly and in deep detail.</t>
        </is>
      </c>
      <c r="G81" s="15" t="inlineStr">
        <is>
          <t>Information Technology</t>
        </is>
      </c>
      <c r="H81" s="16" t="inlineStr">
        <is>
          <t>Software</t>
        </is>
      </c>
      <c r="I81" s="17" t="inlineStr">
        <is>
          <t>Application Software</t>
        </is>
      </c>
      <c r="J81" s="18" t="inlineStr">
        <is>
          <t>Application Software*; Internet Software; Business/Productivity Software</t>
        </is>
      </c>
      <c r="K81" s="19" t="inlineStr">
        <is>
          <t>Marketing Tech</t>
        </is>
      </c>
      <c r="L81" s="20" t="inlineStr">
        <is>
          <t>Venture Capital-Backed</t>
        </is>
      </c>
      <c r="M81" s="21" t="n">
        <v>6.63</v>
      </c>
      <c r="N81" s="22" t="inlineStr">
        <is>
          <t>Startup</t>
        </is>
      </c>
      <c r="O81" s="23" t="inlineStr">
        <is>
          <t>Privately Held (backing)</t>
        </is>
      </c>
      <c r="P81" s="24" t="inlineStr">
        <is>
          <t>Venture Capital</t>
        </is>
      </c>
      <c r="Q81" s="25" t="inlineStr">
        <is>
          <t>www.botify.com</t>
        </is>
      </c>
      <c r="R81" s="26" t="n">
        <v>22.0</v>
      </c>
      <c r="S81" s="27" t="inlineStr">
        <is>
          <t/>
        </is>
      </c>
      <c r="T81" s="28" t="inlineStr">
        <is>
          <t/>
        </is>
      </c>
      <c r="U81" s="29" t="n">
        <v>2012.0</v>
      </c>
      <c r="V81" s="30" t="inlineStr">
        <is>
          <t/>
        </is>
      </c>
      <c r="W81" s="31" t="inlineStr">
        <is>
          <t/>
        </is>
      </c>
      <c r="X81" s="32" t="inlineStr">
        <is>
          <t/>
        </is>
      </c>
      <c r="Y81" s="33" t="inlineStr">
        <is>
          <t/>
        </is>
      </c>
      <c r="Z81" s="34" t="inlineStr">
        <is>
          <t/>
        </is>
      </c>
      <c r="AA81" s="35" t="inlineStr">
        <is>
          <t/>
        </is>
      </c>
      <c r="AB81" s="36" t="inlineStr">
        <is>
          <t/>
        </is>
      </c>
      <c r="AC81" s="37" t="inlineStr">
        <is>
          <t/>
        </is>
      </c>
      <c r="AD81" s="38" t="inlineStr">
        <is>
          <t/>
        </is>
      </c>
      <c r="AE81" s="39" t="inlineStr">
        <is>
          <t>125942-59P</t>
        </is>
      </c>
      <c r="AF81" s="40" t="inlineStr">
        <is>
          <t>Adrien Ménard</t>
        </is>
      </c>
      <c r="AG81" s="41" t="inlineStr">
        <is>
          <t>Chief Executive Officer, Partner &amp; Co-Founder</t>
        </is>
      </c>
      <c r="AH81" s="42" t="inlineStr">
        <is>
          <t>adrien@botify.com</t>
        </is>
      </c>
      <c r="AI81" s="43" t="inlineStr">
        <is>
          <t>+33 (0)1 83 62 90 78</t>
        </is>
      </c>
      <c r="AJ81" s="44" t="inlineStr">
        <is>
          <t>Paris, France</t>
        </is>
      </c>
      <c r="AK81" s="45" t="inlineStr">
        <is>
          <t>22 rue Royale</t>
        </is>
      </c>
      <c r="AL81" s="46" t="inlineStr">
        <is>
          <t/>
        </is>
      </c>
      <c r="AM81" s="47" t="inlineStr">
        <is>
          <t>Paris</t>
        </is>
      </c>
      <c r="AN81" s="48" t="inlineStr">
        <is>
          <t/>
        </is>
      </c>
      <c r="AO81" s="49" t="inlineStr">
        <is>
          <t>75008</t>
        </is>
      </c>
      <c r="AP81" s="50" t="inlineStr">
        <is>
          <t>France</t>
        </is>
      </c>
      <c r="AQ81" s="51" t="inlineStr">
        <is>
          <t>+33 (0)1 83 62 90 78</t>
        </is>
      </c>
      <c r="AR81" s="52" t="inlineStr">
        <is>
          <t/>
        </is>
      </c>
      <c r="AS81" s="53" t="inlineStr">
        <is>
          <t>hello@botify.com</t>
        </is>
      </c>
      <c r="AT81" s="54" t="inlineStr">
        <is>
          <t>Europe</t>
        </is>
      </c>
      <c r="AU81" s="55" t="inlineStr">
        <is>
          <t>Western Europe</t>
        </is>
      </c>
      <c r="AV81" s="56" t="inlineStr">
        <is>
          <t>The company raised $7.2 million of Series A venture funding from IdInvest Partners and Ventech on January 20, 2016.</t>
        </is>
      </c>
      <c r="AW81" s="57" t="inlineStr">
        <is>
          <t>IdInvest Partners, Ventech</t>
        </is>
      </c>
      <c r="AX81" s="58" t="n">
        <v>2.0</v>
      </c>
      <c r="AY81" s="59" t="inlineStr">
        <is>
          <t/>
        </is>
      </c>
      <c r="AZ81" s="60" t="inlineStr">
        <is>
          <t/>
        </is>
      </c>
      <c r="BA81" s="61" t="inlineStr">
        <is>
          <t/>
        </is>
      </c>
      <c r="BB81" s="62" t="inlineStr">
        <is>
          <t>IdInvest Partners (www.idinvest.com), Ventech (www.ventechvc.com)</t>
        </is>
      </c>
      <c r="BC81" s="63" t="inlineStr">
        <is>
          <t/>
        </is>
      </c>
      <c r="BD81" s="64" t="inlineStr">
        <is>
          <t/>
        </is>
      </c>
      <c r="BE81" s="65" t="inlineStr">
        <is>
          <t/>
        </is>
      </c>
      <c r="BF81" s="66" t="inlineStr">
        <is>
          <t>Clipperton Finance (Advisor)</t>
        </is>
      </c>
      <c r="BG81" s="67" t="n">
        <v>42389.0</v>
      </c>
      <c r="BH81" s="68" t="n">
        <v>6.63</v>
      </c>
      <c r="BI81" s="69" t="inlineStr">
        <is>
          <t>Actual</t>
        </is>
      </c>
      <c r="BJ81" s="70" t="inlineStr">
        <is>
          <t/>
        </is>
      </c>
      <c r="BK81" s="71" t="inlineStr">
        <is>
          <t/>
        </is>
      </c>
      <c r="BL81" s="72" t="inlineStr">
        <is>
          <t>Early Stage VC</t>
        </is>
      </c>
      <c r="BM81" s="73" t="inlineStr">
        <is>
          <t>Series A</t>
        </is>
      </c>
      <c r="BN81" s="74" t="inlineStr">
        <is>
          <t/>
        </is>
      </c>
      <c r="BO81" s="75" t="inlineStr">
        <is>
          <t>Venture Capital</t>
        </is>
      </c>
      <c r="BP81" s="76" t="inlineStr">
        <is>
          <t/>
        </is>
      </c>
      <c r="BQ81" s="77" t="inlineStr">
        <is>
          <t/>
        </is>
      </c>
      <c r="BR81" s="78" t="inlineStr">
        <is>
          <t/>
        </is>
      </c>
      <c r="BS81" s="79" t="inlineStr">
        <is>
          <t>Completed</t>
        </is>
      </c>
      <c r="BT81" s="80" t="n">
        <v>42389.0</v>
      </c>
      <c r="BU81" s="81" t="n">
        <v>6.63</v>
      </c>
      <c r="BV81" s="82" t="inlineStr">
        <is>
          <t>Actual</t>
        </is>
      </c>
      <c r="BW81" s="83" t="inlineStr">
        <is>
          <t/>
        </is>
      </c>
      <c r="BX81" s="84" t="inlineStr">
        <is>
          <t/>
        </is>
      </c>
      <c r="BY81" s="85" t="inlineStr">
        <is>
          <t>Early Stage VC</t>
        </is>
      </c>
      <c r="BZ81" s="86" t="inlineStr">
        <is>
          <t>Series A</t>
        </is>
      </c>
      <c r="CA81" s="87" t="inlineStr">
        <is>
          <t/>
        </is>
      </c>
      <c r="CB81" s="88" t="inlineStr">
        <is>
          <t>Venture Capital</t>
        </is>
      </c>
      <c r="CC81" s="89" t="inlineStr">
        <is>
          <t/>
        </is>
      </c>
      <c r="CD81" s="90" t="inlineStr">
        <is>
          <t/>
        </is>
      </c>
      <c r="CE81" s="91" t="inlineStr">
        <is>
          <t/>
        </is>
      </c>
      <c r="CF81" s="92" t="inlineStr">
        <is>
          <t>Completed</t>
        </is>
      </c>
      <c r="CG81" s="93" t="inlineStr">
        <is>
          <t>-2,41%</t>
        </is>
      </c>
      <c r="CH81" s="94" t="inlineStr">
        <is>
          <t>2</t>
        </is>
      </c>
      <c r="CI81" s="95" t="inlineStr">
        <is>
          <t>0,03%</t>
        </is>
      </c>
      <c r="CJ81" s="96" t="inlineStr">
        <is>
          <t>1,36%</t>
        </is>
      </c>
      <c r="CK81" s="97" t="inlineStr">
        <is>
          <t>-4,94%</t>
        </is>
      </c>
      <c r="CL81" s="98" t="inlineStr">
        <is>
          <t>1</t>
        </is>
      </c>
      <c r="CM81" s="99" t="inlineStr">
        <is>
          <t>0,12%</t>
        </is>
      </c>
      <c r="CN81" s="100" t="inlineStr">
        <is>
          <t>63</t>
        </is>
      </c>
      <c r="CO81" s="101" t="inlineStr">
        <is>
          <t>-10,34%</t>
        </is>
      </c>
      <c r="CP81" s="102" t="inlineStr">
        <is>
          <t>2</t>
        </is>
      </c>
      <c r="CQ81" s="103" t="inlineStr">
        <is>
          <t>0,46%</t>
        </is>
      </c>
      <c r="CR81" s="104" t="inlineStr">
        <is>
          <t>86</t>
        </is>
      </c>
      <c r="CS81" s="105" t="inlineStr">
        <is>
          <t>0,14%</t>
        </is>
      </c>
      <c r="CT81" s="106" t="inlineStr">
        <is>
          <t>64</t>
        </is>
      </c>
      <c r="CU81" s="107" t="inlineStr">
        <is>
          <t>0,09%</t>
        </is>
      </c>
      <c r="CV81" s="108" t="inlineStr">
        <is>
          <t>66</t>
        </is>
      </c>
      <c r="CW81" s="109" t="inlineStr">
        <is>
          <t>10,51x</t>
        </is>
      </c>
      <c r="CX81" s="110" t="inlineStr">
        <is>
          <t>87</t>
        </is>
      </c>
      <c r="CY81" s="111" t="inlineStr">
        <is>
          <t>0,17x</t>
        </is>
      </c>
      <c r="CZ81" s="112" t="inlineStr">
        <is>
          <t>1,67%</t>
        </is>
      </c>
      <c r="DA81" s="113" t="inlineStr">
        <is>
          <t>15,74x</t>
        </is>
      </c>
      <c r="DB81" s="114" t="inlineStr">
        <is>
          <t>91</t>
        </is>
      </c>
      <c r="DC81" s="115" t="inlineStr">
        <is>
          <t>5,27x</t>
        </is>
      </c>
      <c r="DD81" s="116" t="inlineStr">
        <is>
          <t>77</t>
        </is>
      </c>
      <c r="DE81" s="117" t="inlineStr">
        <is>
          <t>15,43x</t>
        </is>
      </c>
      <c r="DF81" s="118" t="inlineStr">
        <is>
          <t>87</t>
        </is>
      </c>
      <c r="DG81" s="119" t="inlineStr">
        <is>
          <t>16,06x</t>
        </is>
      </c>
      <c r="DH81" s="120" t="inlineStr">
        <is>
          <t>91</t>
        </is>
      </c>
      <c r="DI81" s="121" t="inlineStr">
        <is>
          <t>1,96x</t>
        </is>
      </c>
      <c r="DJ81" s="122" t="inlineStr">
        <is>
          <t>62</t>
        </is>
      </c>
      <c r="DK81" s="123" t="inlineStr">
        <is>
          <t>8,59x</t>
        </is>
      </c>
      <c r="DL81" s="124" t="inlineStr">
        <is>
          <t>85</t>
        </is>
      </c>
      <c r="DM81" s="125" t="inlineStr">
        <is>
          <t>10.022</t>
        </is>
      </c>
      <c r="DN81" s="126" t="inlineStr">
        <is>
          <t>-1.592</t>
        </is>
      </c>
      <c r="DO81" s="127" t="inlineStr">
        <is>
          <t>-13,71%</t>
        </is>
      </c>
      <c r="DP81" s="128" t="inlineStr">
        <is>
          <t>1.566</t>
        </is>
      </c>
      <c r="DQ81" s="129" t="inlineStr">
        <is>
          <t>9</t>
        </is>
      </c>
      <c r="DR81" s="130" t="inlineStr">
        <is>
          <t>0,58%</t>
        </is>
      </c>
      <c r="DS81" s="131" t="inlineStr">
        <is>
          <t>577</t>
        </is>
      </c>
      <c r="DT81" s="132" t="inlineStr">
        <is>
          <t>3</t>
        </is>
      </c>
      <c r="DU81" s="133" t="inlineStr">
        <is>
          <t>0,52%</t>
        </is>
      </c>
      <c r="DV81" s="134" t="inlineStr">
        <is>
          <t>2.943</t>
        </is>
      </c>
      <c r="DW81" s="135" t="inlineStr">
        <is>
          <t>5</t>
        </is>
      </c>
      <c r="DX81" s="136" t="inlineStr">
        <is>
          <t>0,17%</t>
        </is>
      </c>
      <c r="DY81" s="137" t="inlineStr">
        <is>
          <t>PitchBook Research</t>
        </is>
      </c>
      <c r="DZ81" s="785">
        <f>HYPERLINK("https://my.pitchbook.com?c=108641-35", "View company online")</f>
      </c>
    </row>
    <row r="82">
      <c r="A82" s="139" t="inlineStr">
        <is>
          <t>117296-74</t>
        </is>
      </c>
      <c r="B82" s="140" t="inlineStr">
        <is>
          <t>Bought By Many</t>
        </is>
      </c>
      <c r="C82" s="141" t="inlineStr">
        <is>
          <t/>
        </is>
      </c>
      <c r="D82" s="142" t="inlineStr">
        <is>
          <t/>
        </is>
      </c>
      <c r="E82" s="143" t="inlineStr">
        <is>
          <t>117296-74</t>
        </is>
      </c>
      <c r="F82" s="144" t="inlineStr">
        <is>
          <t>Provider of an online consumer insurance platform designed to compare insurance price. The company's platform enables users to subscribe and form a group of individuals with similar insurance needs and buy insurance on more favorable terms than would be available to them as individuals. It uses social media and search data to offer insight-driven insurance to customers through collective buying power.</t>
        </is>
      </c>
      <c r="G82" s="145" t="inlineStr">
        <is>
          <t>Financial Services</t>
        </is>
      </c>
      <c r="H82" s="146" t="inlineStr">
        <is>
          <t>Insurance</t>
        </is>
      </c>
      <c r="I82" s="147" t="inlineStr">
        <is>
          <t>Insurance Brokers</t>
        </is>
      </c>
      <c r="J82" s="148" t="inlineStr">
        <is>
          <t>Insurance Brokers*; Social/Platform Software</t>
        </is>
      </c>
      <c r="K82" s="149" t="inlineStr">
        <is>
          <t>FinTech</t>
        </is>
      </c>
      <c r="L82" s="150" t="inlineStr">
        <is>
          <t>Venture Capital-Backed</t>
        </is>
      </c>
      <c r="M82" s="151" t="n">
        <v>8.71</v>
      </c>
      <c r="N82" s="152" t="inlineStr">
        <is>
          <t>Generating Revenue</t>
        </is>
      </c>
      <c r="O82" s="153" t="inlineStr">
        <is>
          <t>Privately Held (backing)</t>
        </is>
      </c>
      <c r="P82" s="154" t="inlineStr">
        <is>
          <t>Venture Capital, M&amp;A</t>
        </is>
      </c>
      <c r="Q82" s="155" t="inlineStr">
        <is>
          <t>www.boughtbymany.com</t>
        </is>
      </c>
      <c r="R82" s="156" t="n">
        <v>40.0</v>
      </c>
      <c r="S82" s="157" t="inlineStr">
        <is>
          <t/>
        </is>
      </c>
      <c r="T82" s="158" t="inlineStr">
        <is>
          <t/>
        </is>
      </c>
      <c r="U82" s="159" t="n">
        <v>2012.0</v>
      </c>
      <c r="V82" s="160" t="inlineStr">
        <is>
          <t/>
        </is>
      </c>
      <c r="W82" s="161" t="inlineStr">
        <is>
          <t/>
        </is>
      </c>
      <c r="X82" s="162" t="inlineStr">
        <is>
          <t/>
        </is>
      </c>
      <c r="Y82" s="163" t="inlineStr">
        <is>
          <t/>
        </is>
      </c>
      <c r="Z82" s="164" t="inlineStr">
        <is>
          <t/>
        </is>
      </c>
      <c r="AA82" s="165" t="inlineStr">
        <is>
          <t/>
        </is>
      </c>
      <c r="AB82" s="166" t="inlineStr">
        <is>
          <t/>
        </is>
      </c>
      <c r="AC82" s="167" t="inlineStr">
        <is>
          <t/>
        </is>
      </c>
      <c r="AD82" s="168" t="inlineStr">
        <is>
          <t/>
        </is>
      </c>
      <c r="AE82" s="169" t="inlineStr">
        <is>
          <t>105531-40P</t>
        </is>
      </c>
      <c r="AF82" s="170" t="inlineStr">
        <is>
          <t>Steven Mendel</t>
        </is>
      </c>
      <c r="AG82" s="171" t="inlineStr">
        <is>
          <t>Board Member, Chief Executive Officer &amp; Co-Founder</t>
        </is>
      </c>
      <c r="AH82" s="172" t="inlineStr">
        <is>
          <t>steven.mendel@boughtbymany.com</t>
        </is>
      </c>
      <c r="AI82" s="173" t="inlineStr">
        <is>
          <t/>
        </is>
      </c>
      <c r="AJ82" s="174" t="inlineStr">
        <is>
          <t>London, United Kingdom</t>
        </is>
      </c>
      <c r="AK82" s="175" t="inlineStr">
        <is>
          <t>31-35 Kirby Street</t>
        </is>
      </c>
      <c r="AL82" s="176" t="inlineStr">
        <is>
          <t/>
        </is>
      </c>
      <c r="AM82" s="177" t="inlineStr">
        <is>
          <t>London</t>
        </is>
      </c>
      <c r="AN82" s="178" t="inlineStr">
        <is>
          <t>England</t>
        </is>
      </c>
      <c r="AO82" s="179" t="inlineStr">
        <is>
          <t>EC1N 8TE</t>
        </is>
      </c>
      <c r="AP82" s="180" t="inlineStr">
        <is>
          <t>United Kingdom</t>
        </is>
      </c>
      <c r="AQ82" s="181" t="inlineStr">
        <is>
          <t/>
        </is>
      </c>
      <c r="AR82" s="182" t="inlineStr">
        <is>
          <t/>
        </is>
      </c>
      <c r="AS82" s="183" t="inlineStr">
        <is>
          <t/>
        </is>
      </c>
      <c r="AT82" s="184" t="inlineStr">
        <is>
          <t>Europe</t>
        </is>
      </c>
      <c r="AU82" s="185" t="inlineStr">
        <is>
          <t>Western Europe</t>
        </is>
      </c>
      <c r="AV82" s="186" t="inlineStr">
        <is>
          <t>The company raised GBP 7.5 million of Series A venture funding in a deal led by Octopus Investments on January 16, 2017. Munich Re / HSB Ventures and undisclosed existing investors also participated in the round. The company intends to use the funds to launch a new range of branded insurance products co-created using customer feedback and to also develop its distribution relationships with third-party insurers, both in the UK and internationally. Previously, A 8% stake in the company was acquired by The Hartford Steam Boiler and Insurance for an undisclosed amount on October 26, 2016.</t>
        </is>
      </c>
      <c r="AW82" s="187" t="inlineStr">
        <is>
          <t>Munich Re/HSB Ventures, Octopus Ventures, The Hartford Steam Boiler and Insurance</t>
        </is>
      </c>
      <c r="AX82" s="188" t="n">
        <v>3.0</v>
      </c>
      <c r="AY82" s="189" t="inlineStr">
        <is>
          <t/>
        </is>
      </c>
      <c r="AZ82" s="190" t="inlineStr">
        <is>
          <t/>
        </is>
      </c>
      <c r="BA82" s="191" t="inlineStr">
        <is>
          <t/>
        </is>
      </c>
      <c r="BB82" s="192" t="inlineStr">
        <is>
          <t>Octopus Ventures (www.octopusventures.com), The Hartford Steam Boiler and Insurance (www.hsb.com)</t>
        </is>
      </c>
      <c r="BC82" s="193" t="inlineStr">
        <is>
          <t/>
        </is>
      </c>
      <c r="BD82" s="194" t="inlineStr">
        <is>
          <t/>
        </is>
      </c>
      <c r="BE82" s="195" t="inlineStr">
        <is>
          <t/>
        </is>
      </c>
      <c r="BF82" s="196" t="inlineStr">
        <is>
          <t>Taylor Wessing (Legal Advisor)</t>
        </is>
      </c>
      <c r="BG82" s="197" t="n">
        <v>42669.0</v>
      </c>
      <c r="BH82" s="198" t="inlineStr">
        <is>
          <t/>
        </is>
      </c>
      <c r="BI82" s="199" t="inlineStr">
        <is>
          <t/>
        </is>
      </c>
      <c r="BJ82" s="200" t="inlineStr">
        <is>
          <t/>
        </is>
      </c>
      <c r="BK82" s="201" t="inlineStr">
        <is>
          <t/>
        </is>
      </c>
      <c r="BL82" s="202" t="inlineStr">
        <is>
          <t>Secondary Transaction - Private</t>
        </is>
      </c>
      <c r="BM82" s="203" t="inlineStr">
        <is>
          <t/>
        </is>
      </c>
      <c r="BN82" s="204" t="inlineStr">
        <is>
          <t/>
        </is>
      </c>
      <c r="BO82" s="205" t="inlineStr">
        <is>
          <t>Corporate</t>
        </is>
      </c>
      <c r="BP82" s="206" t="inlineStr">
        <is>
          <t/>
        </is>
      </c>
      <c r="BQ82" s="207" t="inlineStr">
        <is>
          <t/>
        </is>
      </c>
      <c r="BR82" s="208" t="inlineStr">
        <is>
          <t/>
        </is>
      </c>
      <c r="BS82" s="209" t="inlineStr">
        <is>
          <t>Completed</t>
        </is>
      </c>
      <c r="BT82" s="210" t="n">
        <v>42751.0</v>
      </c>
      <c r="BU82" s="211" t="n">
        <v>8.71</v>
      </c>
      <c r="BV82" s="212" t="inlineStr">
        <is>
          <t>Actual</t>
        </is>
      </c>
      <c r="BW82" s="213" t="inlineStr">
        <is>
          <t/>
        </is>
      </c>
      <c r="BX82" s="214" t="inlineStr">
        <is>
          <t/>
        </is>
      </c>
      <c r="BY82" s="215" t="inlineStr">
        <is>
          <t>Early Stage VC</t>
        </is>
      </c>
      <c r="BZ82" s="216" t="inlineStr">
        <is>
          <t>Series A</t>
        </is>
      </c>
      <c r="CA82" s="217" t="inlineStr">
        <is>
          <t/>
        </is>
      </c>
      <c r="CB82" s="218" t="inlineStr">
        <is>
          <t>Venture Capital</t>
        </is>
      </c>
      <c r="CC82" s="219" t="inlineStr">
        <is>
          <t/>
        </is>
      </c>
      <c r="CD82" s="220" t="inlineStr">
        <is>
          <t/>
        </is>
      </c>
      <c r="CE82" s="221" t="inlineStr">
        <is>
          <t/>
        </is>
      </c>
      <c r="CF82" s="222" t="inlineStr">
        <is>
          <t>Completed</t>
        </is>
      </c>
      <c r="CG82" s="223" t="inlineStr">
        <is>
          <t>0,63%</t>
        </is>
      </c>
      <c r="CH82" s="224" t="inlineStr">
        <is>
          <t>85</t>
        </is>
      </c>
      <c r="CI82" s="225" t="inlineStr">
        <is>
          <t>0,01%</t>
        </is>
      </c>
      <c r="CJ82" s="226" t="inlineStr">
        <is>
          <t>0,88%</t>
        </is>
      </c>
      <c r="CK82" s="227" t="inlineStr">
        <is>
          <t>1,13%</t>
        </is>
      </c>
      <c r="CL82" s="228" t="inlineStr">
        <is>
          <t>87</t>
        </is>
      </c>
      <c r="CM82" s="229" t="inlineStr">
        <is>
          <t>0,12%</t>
        </is>
      </c>
      <c r="CN82" s="230" t="inlineStr">
        <is>
          <t>63</t>
        </is>
      </c>
      <c r="CO82" s="231" t="inlineStr">
        <is>
          <t>2,27%</t>
        </is>
      </c>
      <c r="CP82" s="232" t="inlineStr">
        <is>
          <t>90</t>
        </is>
      </c>
      <c r="CQ82" s="233" t="inlineStr">
        <is>
          <t>0,00%</t>
        </is>
      </c>
      <c r="CR82" s="234" t="inlineStr">
        <is>
          <t>13</t>
        </is>
      </c>
      <c r="CS82" s="235" t="inlineStr">
        <is>
          <t>0,15%</t>
        </is>
      </c>
      <c r="CT82" s="236" t="inlineStr">
        <is>
          <t>65</t>
        </is>
      </c>
      <c r="CU82" s="237" t="inlineStr">
        <is>
          <t>0,09%</t>
        </is>
      </c>
      <c r="CV82" s="238" t="inlineStr">
        <is>
          <t>66</t>
        </is>
      </c>
      <c r="CW82" s="239" t="inlineStr">
        <is>
          <t>70,98x</t>
        </is>
      </c>
      <c r="CX82" s="240" t="inlineStr">
        <is>
          <t>97</t>
        </is>
      </c>
      <c r="CY82" s="241" t="inlineStr">
        <is>
          <t>0,83x</t>
        </is>
      </c>
      <c r="CZ82" s="242" t="inlineStr">
        <is>
          <t>1,18%</t>
        </is>
      </c>
      <c r="DA82" s="243" t="inlineStr">
        <is>
          <t>68,49x</t>
        </is>
      </c>
      <c r="DB82" s="244" t="inlineStr">
        <is>
          <t>97</t>
        </is>
      </c>
      <c r="DC82" s="245" t="inlineStr">
        <is>
          <t>73,46x</t>
        </is>
      </c>
      <c r="DD82" s="246" t="inlineStr">
        <is>
          <t>96</t>
        </is>
      </c>
      <c r="DE82" s="247" t="inlineStr">
        <is>
          <t>136,01x</t>
        </is>
      </c>
      <c r="DF82" s="248" t="inlineStr">
        <is>
          <t>97</t>
        </is>
      </c>
      <c r="DG82" s="249" t="inlineStr">
        <is>
          <t>0,97x</t>
        </is>
      </c>
      <c r="DH82" s="250" t="inlineStr">
        <is>
          <t>49</t>
        </is>
      </c>
      <c r="DI82" s="251" t="inlineStr">
        <is>
          <t>133,58x</t>
        </is>
      </c>
      <c r="DJ82" s="252" t="inlineStr">
        <is>
          <t>96</t>
        </is>
      </c>
      <c r="DK82" s="253" t="inlineStr">
        <is>
          <t>13,35x</t>
        </is>
      </c>
      <c r="DL82" s="254" t="inlineStr">
        <is>
          <t>89</t>
        </is>
      </c>
      <c r="DM82" s="255" t="inlineStr">
        <is>
          <t>83.482</t>
        </is>
      </c>
      <c r="DN82" s="256" t="inlineStr">
        <is>
          <t>491</t>
        </is>
      </c>
      <c r="DO82" s="257" t="inlineStr">
        <is>
          <t>0,59%</t>
        </is>
      </c>
      <c r="DP82" s="258" t="inlineStr">
        <is>
          <t>106.637</t>
        </is>
      </c>
      <c r="DQ82" s="259" t="inlineStr">
        <is>
          <t>195</t>
        </is>
      </c>
      <c r="DR82" s="260" t="inlineStr">
        <is>
          <t>0,18%</t>
        </is>
      </c>
      <c r="DS82" s="261" t="inlineStr">
        <is>
          <t>35</t>
        </is>
      </c>
      <c r="DT82" s="262" t="inlineStr">
        <is>
          <t>0</t>
        </is>
      </c>
      <c r="DU82" s="263" t="inlineStr">
        <is>
          <t>0,00%</t>
        </is>
      </c>
      <c r="DV82" s="264" t="inlineStr">
        <is>
          <t>4.579</t>
        </is>
      </c>
      <c r="DW82" s="265" t="inlineStr">
        <is>
          <t>4</t>
        </is>
      </c>
      <c r="DX82" s="266" t="inlineStr">
        <is>
          <t>0,09%</t>
        </is>
      </c>
      <c r="DY82" s="267" t="inlineStr">
        <is>
          <t>PitchBook Research</t>
        </is>
      </c>
      <c r="DZ82" s="786">
        <f>HYPERLINK("https://my.pitchbook.com?c=117296-74", "View company online")</f>
      </c>
    </row>
    <row r="83">
      <c r="A83" s="9" t="inlineStr">
        <is>
          <t>117174-70</t>
        </is>
      </c>
      <c r="B83" s="10" t="inlineStr">
        <is>
          <t>BrickVest</t>
        </is>
      </c>
      <c r="C83" s="11" t="inlineStr">
        <is>
          <t/>
        </is>
      </c>
      <c r="D83" s="12" t="inlineStr">
        <is>
          <t/>
        </is>
      </c>
      <c r="E83" s="13" t="inlineStr">
        <is>
          <t>117174-70</t>
        </is>
      </c>
      <c r="F83" s="14" t="inlineStr">
        <is>
          <t>Provider of a real estate investment platform designed to redefine the investor-deal sponsor relationship. The company's platform directly connects investors with a range of investment opportunities in a transparent way and provides investors online access to opportunities based on the preferred asset class, geography and return profile, enabling users to invest directly in real estate and actively manage these investments.</t>
        </is>
      </c>
      <c r="G83" s="15" t="inlineStr">
        <is>
          <t>Financial Services</t>
        </is>
      </c>
      <c r="H83" s="16" t="inlineStr">
        <is>
          <t>Other Financial Services</t>
        </is>
      </c>
      <c r="I83" s="17" t="inlineStr">
        <is>
          <t>Real Estate Investment Trusts (REITs)</t>
        </is>
      </c>
      <c r="J83" s="18" t="inlineStr">
        <is>
          <t>Real Estate Investment Trusts (REITs)*; Other Financial Services; Financial Software</t>
        </is>
      </c>
      <c r="K83" s="19" t="inlineStr">
        <is>
          <t>FinTech</t>
        </is>
      </c>
      <c r="L83" s="20" t="inlineStr">
        <is>
          <t>Venture Capital-Backed</t>
        </is>
      </c>
      <c r="M83" s="21" t="n">
        <v>6.74</v>
      </c>
      <c r="N83" s="22" t="inlineStr">
        <is>
          <t>Generating Revenue</t>
        </is>
      </c>
      <c r="O83" s="23" t="inlineStr">
        <is>
          <t>Privately Held (backing)</t>
        </is>
      </c>
      <c r="P83" s="24" t="inlineStr">
        <is>
          <t>Venture Capital</t>
        </is>
      </c>
      <c r="Q83" s="25" t="inlineStr">
        <is>
          <t>www.brickvest.com</t>
        </is>
      </c>
      <c r="R83" s="26" t="n">
        <v>15.0</v>
      </c>
      <c r="S83" s="27" t="inlineStr">
        <is>
          <t/>
        </is>
      </c>
      <c r="T83" s="28" t="inlineStr">
        <is>
          <t/>
        </is>
      </c>
      <c r="U83" s="29" t="n">
        <v>2014.0</v>
      </c>
      <c r="V83" s="30" t="inlineStr">
        <is>
          <t/>
        </is>
      </c>
      <c r="W83" s="31" t="inlineStr">
        <is>
          <t/>
        </is>
      </c>
      <c r="X83" s="32" t="inlineStr">
        <is>
          <t/>
        </is>
      </c>
      <c r="Y83" s="33" t="inlineStr">
        <is>
          <t/>
        </is>
      </c>
      <c r="Z83" s="34" t="inlineStr">
        <is>
          <t/>
        </is>
      </c>
      <c r="AA83" s="35" t="inlineStr">
        <is>
          <t/>
        </is>
      </c>
      <c r="AB83" s="36" t="inlineStr">
        <is>
          <t/>
        </is>
      </c>
      <c r="AC83" s="37" t="inlineStr">
        <is>
          <t/>
        </is>
      </c>
      <c r="AD83" s="38" t="inlineStr">
        <is>
          <t/>
        </is>
      </c>
      <c r="AE83" s="39" t="inlineStr">
        <is>
          <t>105573-61P</t>
        </is>
      </c>
      <c r="AF83" s="40" t="inlineStr">
        <is>
          <t>Emmanuel Lumineau</t>
        </is>
      </c>
      <c r="AG83" s="41" t="inlineStr">
        <is>
          <t>Co-Founder, Board Member, Chief Executive Officer</t>
        </is>
      </c>
      <c r="AH83" s="42" t="inlineStr">
        <is>
          <t>emmanuel@brickvest.com</t>
        </is>
      </c>
      <c r="AI83" s="43" t="inlineStr">
        <is>
          <t>+44 (0)20 3859 7317</t>
        </is>
      </c>
      <c r="AJ83" s="44" t="inlineStr">
        <is>
          <t>London, United Kingdom</t>
        </is>
      </c>
      <c r="AK83" s="45" t="inlineStr">
        <is>
          <t>81 Rivington Street</t>
        </is>
      </c>
      <c r="AL83" s="46" t="inlineStr">
        <is>
          <t/>
        </is>
      </c>
      <c r="AM83" s="47" t="inlineStr">
        <is>
          <t>London</t>
        </is>
      </c>
      <c r="AN83" s="48" t="inlineStr">
        <is>
          <t>England</t>
        </is>
      </c>
      <c r="AO83" s="49" t="inlineStr">
        <is>
          <t>EC2A 3AY</t>
        </is>
      </c>
      <c r="AP83" s="50" t="inlineStr">
        <is>
          <t>United Kingdom</t>
        </is>
      </c>
      <c r="AQ83" s="51" t="inlineStr">
        <is>
          <t>+44 (0)20 3859 7317</t>
        </is>
      </c>
      <c r="AR83" s="52" t="inlineStr">
        <is>
          <t/>
        </is>
      </c>
      <c r="AS83" s="53" t="inlineStr">
        <is>
          <t/>
        </is>
      </c>
      <c r="AT83" s="54" t="inlineStr">
        <is>
          <t>Europe</t>
        </is>
      </c>
      <c r="AU83" s="55" t="inlineStr">
        <is>
          <t>Western Europe</t>
        </is>
      </c>
      <c r="AV83" s="56" t="inlineStr">
        <is>
          <t>The company is reportedly in the process of raising GBP 2 million of venture funding from undisclosed investors in June 2017. Previously, the company raised GBP 2 million of Series A venture funding from Jean Romain Lhomme and other undisclosed investors on March 1, 2017. The funding will be used to invest in technology and data analytics, as well on developing a new VIP sister platform on the same website. The company is being actively tracked by PitchBook.</t>
        </is>
      </c>
      <c r="AW83" s="57" t="inlineStr">
        <is>
          <t>Global Founders Capital, Jean-Romain Lhomme, Richard Peiser</t>
        </is>
      </c>
      <c r="AX83" s="58" t="n">
        <v>3.0</v>
      </c>
      <c r="AY83" s="59" t="inlineStr">
        <is>
          <t/>
        </is>
      </c>
      <c r="AZ83" s="60" t="inlineStr">
        <is>
          <t/>
        </is>
      </c>
      <c r="BA83" s="61" t="inlineStr">
        <is>
          <t/>
        </is>
      </c>
      <c r="BB83" s="62" t="inlineStr">
        <is>
          <t>Global Founders Capital (www.globalfounders.vc)</t>
        </is>
      </c>
      <c r="BC83" s="63" t="inlineStr">
        <is>
          <t/>
        </is>
      </c>
      <c r="BD83" s="64" t="inlineStr">
        <is>
          <t/>
        </is>
      </c>
      <c r="BE83" s="65" t="inlineStr">
        <is>
          <t>BDO UK (Auditor), Lawson Conner (Consulting), MJ Hudson (Legal Advisor), Nabarro (Legal Advisor)</t>
        </is>
      </c>
      <c r="BF83" s="66" t="inlineStr">
        <is>
          <t>BDO UK (Auditor), MJ Hudson (Legal Advisor), Nabarro (Legal Advisor)</t>
        </is>
      </c>
      <c r="BG83" s="67" t="n">
        <v>42167.0</v>
      </c>
      <c r="BH83" s="68" t="n">
        <v>0.89</v>
      </c>
      <c r="BI83" s="69" t="inlineStr">
        <is>
          <t>Actual</t>
        </is>
      </c>
      <c r="BJ83" s="70" t="inlineStr">
        <is>
          <t/>
        </is>
      </c>
      <c r="BK83" s="71" t="inlineStr">
        <is>
          <t/>
        </is>
      </c>
      <c r="BL83" s="72" t="inlineStr">
        <is>
          <t>Seed Round</t>
        </is>
      </c>
      <c r="BM83" s="73" t="inlineStr">
        <is>
          <t>Seed</t>
        </is>
      </c>
      <c r="BN83" s="74" t="inlineStr">
        <is>
          <t/>
        </is>
      </c>
      <c r="BO83" s="75" t="inlineStr">
        <is>
          <t>Venture Capital</t>
        </is>
      </c>
      <c r="BP83" s="76" t="inlineStr">
        <is>
          <t/>
        </is>
      </c>
      <c r="BQ83" s="77" t="inlineStr">
        <is>
          <t/>
        </is>
      </c>
      <c r="BR83" s="78" t="inlineStr">
        <is>
          <t/>
        </is>
      </c>
      <c r="BS83" s="79" t="inlineStr">
        <is>
          <t>Completed</t>
        </is>
      </c>
      <c r="BT83" s="80" t="n">
        <v>42887.0</v>
      </c>
      <c r="BU83" s="81" t="n">
        <v>2.28</v>
      </c>
      <c r="BV83" s="82" t="inlineStr">
        <is>
          <t>Actual</t>
        </is>
      </c>
      <c r="BW83" s="83" t="inlineStr">
        <is>
          <t/>
        </is>
      </c>
      <c r="BX83" s="84" t="inlineStr">
        <is>
          <t/>
        </is>
      </c>
      <c r="BY83" s="85" t="inlineStr">
        <is>
          <t>Early Stage VC</t>
        </is>
      </c>
      <c r="BZ83" s="86" t="inlineStr">
        <is>
          <t/>
        </is>
      </c>
      <c r="CA83" s="87" t="inlineStr">
        <is>
          <t/>
        </is>
      </c>
      <c r="CB83" s="88" t="inlineStr">
        <is>
          <t>Venture Capital</t>
        </is>
      </c>
      <c r="CC83" s="89" t="inlineStr">
        <is>
          <t/>
        </is>
      </c>
      <c r="CD83" s="90" t="inlineStr">
        <is>
          <t/>
        </is>
      </c>
      <c r="CE83" s="91" t="inlineStr">
        <is>
          <t/>
        </is>
      </c>
      <c r="CF83" s="92" t="inlineStr">
        <is>
          <t>Announced/In Progress</t>
        </is>
      </c>
      <c r="CG83" s="93" t="inlineStr">
        <is>
          <t>0,17%</t>
        </is>
      </c>
      <c r="CH83" s="94" t="inlineStr">
        <is>
          <t>77</t>
        </is>
      </c>
      <c r="CI83" s="95" t="inlineStr">
        <is>
          <t>0,02%</t>
        </is>
      </c>
      <c r="CJ83" s="96" t="inlineStr">
        <is>
          <t>16,64%</t>
        </is>
      </c>
      <c r="CK83" s="97" t="inlineStr">
        <is>
          <t>-0,30%</t>
        </is>
      </c>
      <c r="CL83" s="98" t="inlineStr">
        <is>
          <t>14</t>
        </is>
      </c>
      <c r="CM83" s="99" t="inlineStr">
        <is>
          <t>0,64%</t>
        </is>
      </c>
      <c r="CN83" s="100" t="inlineStr">
        <is>
          <t>92</t>
        </is>
      </c>
      <c r="CO83" s="101" t="inlineStr">
        <is>
          <t>-0,61%</t>
        </is>
      </c>
      <c r="CP83" s="102" t="inlineStr">
        <is>
          <t>22</t>
        </is>
      </c>
      <c r="CQ83" s="103" t="inlineStr">
        <is>
          <t>0,00%</t>
        </is>
      </c>
      <c r="CR83" s="104" t="inlineStr">
        <is>
          <t>13</t>
        </is>
      </c>
      <c r="CS83" s="105" t="inlineStr">
        <is>
          <t>-0,04%</t>
        </is>
      </c>
      <c r="CT83" s="106" t="inlineStr">
        <is>
          <t>8</t>
        </is>
      </c>
      <c r="CU83" s="107" t="inlineStr">
        <is>
          <t>1,31%</t>
        </is>
      </c>
      <c r="CV83" s="108" t="inlineStr">
        <is>
          <t>98</t>
        </is>
      </c>
      <c r="CW83" s="109" t="inlineStr">
        <is>
          <t>2,37x</t>
        </is>
      </c>
      <c r="CX83" s="110" t="inlineStr">
        <is>
          <t>67</t>
        </is>
      </c>
      <c r="CY83" s="111" t="inlineStr">
        <is>
          <t>0,03x</t>
        </is>
      </c>
      <c r="CZ83" s="112" t="inlineStr">
        <is>
          <t>1,44%</t>
        </is>
      </c>
      <c r="DA83" s="113" t="inlineStr">
        <is>
          <t>2,13x</t>
        </is>
      </c>
      <c r="DB83" s="114" t="inlineStr">
        <is>
          <t>67</t>
        </is>
      </c>
      <c r="DC83" s="115" t="inlineStr">
        <is>
          <t>2,62x</t>
        </is>
      </c>
      <c r="DD83" s="116" t="inlineStr">
        <is>
          <t>66</t>
        </is>
      </c>
      <c r="DE83" s="117" t="inlineStr">
        <is>
          <t>3,59x</t>
        </is>
      </c>
      <c r="DF83" s="118" t="inlineStr">
        <is>
          <t>72</t>
        </is>
      </c>
      <c r="DG83" s="119" t="inlineStr">
        <is>
          <t>0,67x</t>
        </is>
      </c>
      <c r="DH83" s="120" t="inlineStr">
        <is>
          <t>42</t>
        </is>
      </c>
      <c r="DI83" s="121" t="inlineStr">
        <is>
          <t>3,09x</t>
        </is>
      </c>
      <c r="DJ83" s="122" t="inlineStr">
        <is>
          <t>68</t>
        </is>
      </c>
      <c r="DK83" s="123" t="inlineStr">
        <is>
          <t>2,14x</t>
        </is>
      </c>
      <c r="DL83" s="124" t="inlineStr">
        <is>
          <t>64</t>
        </is>
      </c>
      <c r="DM83" s="125" t="inlineStr">
        <is>
          <t>2.187</t>
        </is>
      </c>
      <c r="DN83" s="126" t="inlineStr">
        <is>
          <t>60</t>
        </is>
      </c>
      <c r="DO83" s="127" t="inlineStr">
        <is>
          <t>2,82%</t>
        </is>
      </c>
      <c r="DP83" s="128" t="inlineStr">
        <is>
          <t>2.469</t>
        </is>
      </c>
      <c r="DQ83" s="129" t="inlineStr">
        <is>
          <t>2</t>
        </is>
      </c>
      <c r="DR83" s="130" t="inlineStr">
        <is>
          <t>0,08%</t>
        </is>
      </c>
      <c r="DS83" s="131" t="inlineStr">
        <is>
          <t>24</t>
        </is>
      </c>
      <c r="DT83" s="132" t="inlineStr">
        <is>
          <t>0</t>
        </is>
      </c>
      <c r="DU83" s="133" t="inlineStr">
        <is>
          <t>0,00%</t>
        </is>
      </c>
      <c r="DV83" s="134" t="inlineStr">
        <is>
          <t>730</t>
        </is>
      </c>
      <c r="DW83" s="135" t="inlineStr">
        <is>
          <t>3</t>
        </is>
      </c>
      <c r="DX83" s="136" t="inlineStr">
        <is>
          <t>0,41%</t>
        </is>
      </c>
      <c r="DY83" s="137" t="inlineStr">
        <is>
          <t>PitchBook Research</t>
        </is>
      </c>
      <c r="DZ83" s="785">
        <f>HYPERLINK("https://my.pitchbook.com?c=117174-70", "View company online")</f>
      </c>
    </row>
    <row r="84">
      <c r="A84" s="139" t="inlineStr">
        <is>
          <t>95814-28</t>
        </is>
      </c>
      <c r="B84" s="140" t="inlineStr">
        <is>
          <t>BUX</t>
        </is>
      </c>
      <c r="C84" s="141" t="inlineStr">
        <is>
          <t/>
        </is>
      </c>
      <c r="D84" s="142" t="inlineStr">
        <is>
          <t/>
        </is>
      </c>
      <c r="E84" s="143" t="inlineStr">
        <is>
          <t>95814-28</t>
        </is>
      </c>
      <c r="F84" s="144" t="inlineStr">
        <is>
          <t>Developer of a mobile stock-trading application designed to make trading and investing in the financial markets accessible to everybody. The company's mobile application offers two levels of service: an entry-level platform that uses virtual currency, as an educational tool to show how the stock exchange works and an upgraded level that uses actual money, enabling users to learn, practice and master trading.</t>
        </is>
      </c>
      <c r="G84" s="145" t="inlineStr">
        <is>
          <t>Information Technology</t>
        </is>
      </c>
      <c r="H84" s="146" t="inlineStr">
        <is>
          <t>Software</t>
        </is>
      </c>
      <c r="I84" s="147" t="inlineStr">
        <is>
          <t>Financial Software</t>
        </is>
      </c>
      <c r="J84" s="148" t="inlineStr">
        <is>
          <t>Financial Software*; Application Software</t>
        </is>
      </c>
      <c r="K84" s="149" t="inlineStr">
        <is>
          <t>FinTech, Mobile</t>
        </is>
      </c>
      <c r="L84" s="150" t="inlineStr">
        <is>
          <t>Venture Capital-Backed</t>
        </is>
      </c>
      <c r="M84" s="151" t="n">
        <v>8.05</v>
      </c>
      <c r="N84" s="152" t="inlineStr">
        <is>
          <t>Generating Revenue</t>
        </is>
      </c>
      <c r="O84" s="153" t="inlineStr">
        <is>
          <t>Privately Held (backing)</t>
        </is>
      </c>
      <c r="P84" s="154" t="inlineStr">
        <is>
          <t>Venture Capital</t>
        </is>
      </c>
      <c r="Q84" s="155" t="inlineStr">
        <is>
          <t>www.getbux.com</t>
        </is>
      </c>
      <c r="R84" s="156" t="n">
        <v>35.0</v>
      </c>
      <c r="S84" s="157" t="inlineStr">
        <is>
          <t/>
        </is>
      </c>
      <c r="T84" s="158" t="inlineStr">
        <is>
          <t/>
        </is>
      </c>
      <c r="U84" s="159" t="n">
        <v>2013.0</v>
      </c>
      <c r="V84" s="160" t="inlineStr">
        <is>
          <t/>
        </is>
      </c>
      <c r="W84" s="161" t="inlineStr">
        <is>
          <t/>
        </is>
      </c>
      <c r="X84" s="162" t="inlineStr">
        <is>
          <t/>
        </is>
      </c>
      <c r="Y84" s="163" t="n">
        <v>4.33453</v>
      </c>
      <c r="Z84" s="164" t="n">
        <v>1.57472</v>
      </c>
      <c r="AA84" s="165" t="n">
        <v>-1.31497</v>
      </c>
      <c r="AB84" s="166" t="inlineStr">
        <is>
          <t/>
        </is>
      </c>
      <c r="AC84" s="167" t="n">
        <v>-1.19321</v>
      </c>
      <c r="AD84" s="168" t="inlineStr">
        <is>
          <t>FY 2014</t>
        </is>
      </c>
      <c r="AE84" s="169" t="inlineStr">
        <is>
          <t>112760-38P</t>
        </is>
      </c>
      <c r="AF84" s="170" t="inlineStr">
        <is>
          <t>Egbert Pronk</t>
        </is>
      </c>
      <c r="AG84" s="171" t="inlineStr">
        <is>
          <t>Co-Founder &amp; Chief Financial Officer</t>
        </is>
      </c>
      <c r="AH84" s="172" t="inlineStr">
        <is>
          <t>egbert.pronk@getbux.com</t>
        </is>
      </c>
      <c r="AI84" s="173" t="inlineStr">
        <is>
          <t>+31 (0)62 606 8870</t>
        </is>
      </c>
      <c r="AJ84" s="174" t="inlineStr">
        <is>
          <t>Amsterdam, Netherlands</t>
        </is>
      </c>
      <c r="AK84" s="175" t="inlineStr">
        <is>
          <t>Spuistraat 114-b</t>
        </is>
      </c>
      <c r="AL84" s="176" t="inlineStr">
        <is>
          <t/>
        </is>
      </c>
      <c r="AM84" s="177" t="inlineStr">
        <is>
          <t>Amsterdam</t>
        </is>
      </c>
      <c r="AN84" s="178" t="inlineStr">
        <is>
          <t/>
        </is>
      </c>
      <c r="AO84" s="179" t="inlineStr">
        <is>
          <t>1012 VA</t>
        </is>
      </c>
      <c r="AP84" s="180" t="inlineStr">
        <is>
          <t>Netherlands</t>
        </is>
      </c>
      <c r="AQ84" s="181" t="inlineStr">
        <is>
          <t>+31 (0)85 888 5505</t>
        </is>
      </c>
      <c r="AR84" s="182" t="inlineStr">
        <is>
          <t/>
        </is>
      </c>
      <c r="AS84" s="183" t="inlineStr">
        <is>
          <t>info@getbux.com</t>
        </is>
      </c>
      <c r="AT84" s="184" t="inlineStr">
        <is>
          <t>Europe</t>
        </is>
      </c>
      <c r="AU84" s="185" t="inlineStr">
        <is>
          <t>Western Europe</t>
        </is>
      </c>
      <c r="AV84" s="186" t="inlineStr">
        <is>
          <t>5square sold its stake in the company on an undisclosed date.</t>
        </is>
      </c>
      <c r="AW84" s="187" t="inlineStr">
        <is>
          <t>btov Partners, Holtzbrinck Ventures, Initial Capital, Orange Growth Capital, Velocity Capital Private Equity</t>
        </is>
      </c>
      <c r="AX84" s="188" t="n">
        <v>5.0</v>
      </c>
      <c r="AY84" s="189" t="inlineStr">
        <is>
          <t/>
        </is>
      </c>
      <c r="AZ84" s="190" t="inlineStr">
        <is>
          <t>5square</t>
        </is>
      </c>
      <c r="BA84" s="191" t="inlineStr">
        <is>
          <t/>
        </is>
      </c>
      <c r="BB84" s="192" t="inlineStr">
        <is>
          <t>btov Partners (www.btov.vc), Holtzbrinck Ventures (www.holtzbrinck-ventures.com), Initial Capital (www.initialcapital.com), Orange Growth Capital (www.ogc-partners.com), Velocity Capital Private Equity (www.velocitycapital-pe.com)</t>
        </is>
      </c>
      <c r="BC84" s="193" t="inlineStr">
        <is>
          <t>5square (www.5square.nl)</t>
        </is>
      </c>
      <c r="BD84" s="194" t="inlineStr">
        <is>
          <t/>
        </is>
      </c>
      <c r="BE84" s="195" t="inlineStr">
        <is>
          <t>Greenback Alan (Auditor), Shelley Stock Hutter (Auditor)</t>
        </is>
      </c>
      <c r="BF84" s="196" t="inlineStr">
        <is>
          <t/>
        </is>
      </c>
      <c r="BG84" s="197" t="n">
        <v>41640.0</v>
      </c>
      <c r="BH84" s="198" t="inlineStr">
        <is>
          <t/>
        </is>
      </c>
      <c r="BI84" s="199" t="inlineStr">
        <is>
          <t/>
        </is>
      </c>
      <c r="BJ84" s="200" t="inlineStr">
        <is>
          <t/>
        </is>
      </c>
      <c r="BK84" s="201" t="inlineStr">
        <is>
          <t/>
        </is>
      </c>
      <c r="BL84" s="202" t="inlineStr">
        <is>
          <t>Seed Round</t>
        </is>
      </c>
      <c r="BM84" s="203" t="inlineStr">
        <is>
          <t>Seed</t>
        </is>
      </c>
      <c r="BN84" s="204" t="inlineStr">
        <is>
          <t/>
        </is>
      </c>
      <c r="BO84" s="205" t="inlineStr">
        <is>
          <t>Venture Capital</t>
        </is>
      </c>
      <c r="BP84" s="206" t="inlineStr">
        <is>
          <t/>
        </is>
      </c>
      <c r="BQ84" s="207" t="inlineStr">
        <is>
          <t/>
        </is>
      </c>
      <c r="BR84" s="208" t="inlineStr">
        <is>
          <t/>
        </is>
      </c>
      <c r="BS84" s="209" t="inlineStr">
        <is>
          <t>Completed</t>
        </is>
      </c>
      <c r="BT84" s="210" t="inlineStr">
        <is>
          <t/>
        </is>
      </c>
      <c r="BU84" s="211" t="inlineStr">
        <is>
          <t/>
        </is>
      </c>
      <c r="BV84" s="212" t="inlineStr">
        <is>
          <t/>
        </is>
      </c>
      <c r="BW84" s="213" t="inlineStr">
        <is>
          <t/>
        </is>
      </c>
      <c r="BX84" s="214" t="inlineStr">
        <is>
          <t/>
        </is>
      </c>
      <c r="BY84" s="215" t="inlineStr">
        <is>
          <t>Secondary Transaction - Private</t>
        </is>
      </c>
      <c r="BZ84" s="216" t="inlineStr">
        <is>
          <t/>
        </is>
      </c>
      <c r="CA84" s="217" t="inlineStr">
        <is>
          <t/>
        </is>
      </c>
      <c r="CB84" s="218" t="inlineStr">
        <is>
          <t>Venture Capital</t>
        </is>
      </c>
      <c r="CC84" s="219" t="inlineStr">
        <is>
          <t/>
        </is>
      </c>
      <c r="CD84" s="220" t="inlineStr">
        <is>
          <t/>
        </is>
      </c>
      <c r="CE84" s="221" t="inlineStr">
        <is>
          <t/>
        </is>
      </c>
      <c r="CF84" s="222" t="inlineStr">
        <is>
          <t>Completed</t>
        </is>
      </c>
      <c r="CG84" s="223" t="inlineStr">
        <is>
          <t>1,58%</t>
        </is>
      </c>
      <c r="CH84" s="224" t="inlineStr">
        <is>
          <t>92</t>
        </is>
      </c>
      <c r="CI84" s="225" t="inlineStr">
        <is>
          <t>0,00%</t>
        </is>
      </c>
      <c r="CJ84" s="226" t="inlineStr">
        <is>
          <t>0,16%</t>
        </is>
      </c>
      <c r="CK84" s="227" t="inlineStr">
        <is>
          <t>0,24%</t>
        </is>
      </c>
      <c r="CL84" s="228" t="inlineStr">
        <is>
          <t>82</t>
        </is>
      </c>
      <c r="CM84" s="229" t="inlineStr">
        <is>
          <t>2,92%</t>
        </is>
      </c>
      <c r="CN84" s="230" t="inlineStr">
        <is>
          <t>99</t>
        </is>
      </c>
      <c r="CO84" s="231" t="inlineStr">
        <is>
          <t>0,47%</t>
        </is>
      </c>
      <c r="CP84" s="232" t="inlineStr">
        <is>
          <t>82</t>
        </is>
      </c>
      <c r="CQ84" s="233" t="inlineStr">
        <is>
          <t>0,00%</t>
        </is>
      </c>
      <c r="CR84" s="234" t="inlineStr">
        <is>
          <t>13</t>
        </is>
      </c>
      <c r="CS84" s="235" t="inlineStr">
        <is>
          <t>4,94%</t>
        </is>
      </c>
      <c r="CT84" s="236" t="inlineStr">
        <is>
          <t>100</t>
        </is>
      </c>
      <c r="CU84" s="237" t="inlineStr">
        <is>
          <t>0,89%</t>
        </is>
      </c>
      <c r="CV84" s="238" t="inlineStr">
        <is>
          <t>96</t>
        </is>
      </c>
      <c r="CW84" s="239" t="inlineStr">
        <is>
          <t>12,84x</t>
        </is>
      </c>
      <c r="CX84" s="240" t="inlineStr">
        <is>
          <t>89</t>
        </is>
      </c>
      <c r="CY84" s="241" t="inlineStr">
        <is>
          <t>0,57x</t>
        </is>
      </c>
      <c r="CZ84" s="242" t="inlineStr">
        <is>
          <t>4,63%</t>
        </is>
      </c>
      <c r="DA84" s="243" t="inlineStr">
        <is>
          <t>1,77x</t>
        </is>
      </c>
      <c r="DB84" s="244" t="inlineStr">
        <is>
          <t>64</t>
        </is>
      </c>
      <c r="DC84" s="245" t="inlineStr">
        <is>
          <t>23,91x</t>
        </is>
      </c>
      <c r="DD84" s="246" t="inlineStr">
        <is>
          <t>91</t>
        </is>
      </c>
      <c r="DE84" s="247" t="inlineStr">
        <is>
          <t>2,64x</t>
        </is>
      </c>
      <c r="DF84" s="248" t="inlineStr">
        <is>
          <t>68</t>
        </is>
      </c>
      <c r="DG84" s="249" t="inlineStr">
        <is>
          <t>0,89x</t>
        </is>
      </c>
      <c r="DH84" s="250" t="inlineStr">
        <is>
          <t>48</t>
        </is>
      </c>
      <c r="DI84" s="251" t="inlineStr">
        <is>
          <t>30,81x</t>
        </is>
      </c>
      <c r="DJ84" s="252" t="inlineStr">
        <is>
          <t>90</t>
        </is>
      </c>
      <c r="DK84" s="253" t="inlineStr">
        <is>
          <t>17,01x</t>
        </is>
      </c>
      <c r="DL84" s="254" t="inlineStr">
        <is>
          <t>91</t>
        </is>
      </c>
      <c r="DM84" s="255" t="inlineStr">
        <is>
          <t>1.659</t>
        </is>
      </c>
      <c r="DN84" s="256" t="inlineStr">
        <is>
          <t>-105</t>
        </is>
      </c>
      <c r="DO84" s="257" t="inlineStr">
        <is>
          <t>-5,95%</t>
        </is>
      </c>
      <c r="DP84" s="258" t="inlineStr">
        <is>
          <t>24.248</t>
        </is>
      </c>
      <c r="DQ84" s="259" t="inlineStr">
        <is>
          <t>1.108</t>
        </is>
      </c>
      <c r="DR84" s="260" t="inlineStr">
        <is>
          <t>4,79%</t>
        </is>
      </c>
      <c r="DS84" s="261" t="inlineStr">
        <is>
          <t>32</t>
        </is>
      </c>
      <c r="DT84" s="262" t="inlineStr">
        <is>
          <t>-1</t>
        </is>
      </c>
      <c r="DU84" s="263" t="inlineStr">
        <is>
          <t>-3,03%</t>
        </is>
      </c>
      <c r="DV84" s="264" t="inlineStr">
        <is>
          <t>5.825</t>
        </is>
      </c>
      <c r="DW84" s="265" t="inlineStr">
        <is>
          <t>34</t>
        </is>
      </c>
      <c r="DX84" s="266" t="inlineStr">
        <is>
          <t>0,59%</t>
        </is>
      </c>
      <c r="DY84" s="267" t="inlineStr">
        <is>
          <t>PitchBook Research</t>
        </is>
      </c>
      <c r="DZ84" s="786">
        <f>HYPERLINK("https://my.pitchbook.com?c=95814-28", "View company online")</f>
      </c>
    </row>
    <row r="85">
      <c r="A85" s="9" t="inlineStr">
        <is>
          <t>61783-84</t>
        </is>
      </c>
      <c r="B85" s="10" t="inlineStr">
        <is>
          <t>Buzzmove</t>
        </is>
      </c>
      <c r="C85" s="11" t="inlineStr">
        <is>
          <t/>
        </is>
      </c>
      <c r="D85" s="12" t="inlineStr">
        <is>
          <t/>
        </is>
      </c>
      <c r="E85" s="13" t="inlineStr">
        <is>
          <t>61783-84</t>
        </is>
      </c>
      <c r="F85" s="14" t="inlineStr">
        <is>
          <t>Provider of an online booking platform for residential moving services. The company provides a price-comparison marketplace where customers can see price quotes for their moves and can book certified mover.</t>
        </is>
      </c>
      <c r="G85" s="15" t="inlineStr">
        <is>
          <t>Information Technology</t>
        </is>
      </c>
      <c r="H85" s="16" t="inlineStr">
        <is>
          <t>Software</t>
        </is>
      </c>
      <c r="I85" s="17" t="inlineStr">
        <is>
          <t>Social/Platform Software</t>
        </is>
      </c>
      <c r="J85" s="18" t="inlineStr">
        <is>
          <t>Social/Platform Software*; Information Services (B2C)</t>
        </is>
      </c>
      <c r="K85" s="19" t="inlineStr">
        <is>
          <t/>
        </is>
      </c>
      <c r="L85" s="20" t="inlineStr">
        <is>
          <t>Venture Capital-Backed</t>
        </is>
      </c>
      <c r="M85" s="21" t="n">
        <v>8.24</v>
      </c>
      <c r="N85" s="22" t="inlineStr">
        <is>
          <t>Startup</t>
        </is>
      </c>
      <c r="O85" s="23" t="inlineStr">
        <is>
          <t>Privately Held (backing)</t>
        </is>
      </c>
      <c r="P85" s="24" t="inlineStr">
        <is>
          <t>Venture Capital</t>
        </is>
      </c>
      <c r="Q85" s="25" t="inlineStr">
        <is>
          <t>www.buzzmove.com</t>
        </is>
      </c>
      <c r="R85" s="26" t="n">
        <v>14.0</v>
      </c>
      <c r="S85" s="27" t="inlineStr">
        <is>
          <t/>
        </is>
      </c>
      <c r="T85" s="28" t="inlineStr">
        <is>
          <t/>
        </is>
      </c>
      <c r="U85" s="29" t="n">
        <v>2013.0</v>
      </c>
      <c r="V85" s="30" t="inlineStr">
        <is>
          <t/>
        </is>
      </c>
      <c r="W85" s="31" t="inlineStr">
        <is>
          <t/>
        </is>
      </c>
      <c r="X85" s="32" t="inlineStr">
        <is>
          <t/>
        </is>
      </c>
      <c r="Y85" s="33" t="inlineStr">
        <is>
          <t/>
        </is>
      </c>
      <c r="Z85" s="34" t="inlineStr">
        <is>
          <t/>
        </is>
      </c>
      <c r="AA85" s="35" t="inlineStr">
        <is>
          <t/>
        </is>
      </c>
      <c r="AB85" s="36" t="inlineStr">
        <is>
          <t/>
        </is>
      </c>
      <c r="AC85" s="37" t="inlineStr">
        <is>
          <t/>
        </is>
      </c>
      <c r="AD85" s="38" t="inlineStr">
        <is>
          <t/>
        </is>
      </c>
      <c r="AE85" s="39" t="inlineStr">
        <is>
          <t>98102-17P</t>
        </is>
      </c>
      <c r="AF85" s="40" t="inlineStr">
        <is>
          <t>Rebecca Downing</t>
        </is>
      </c>
      <c r="AG85" s="41" t="inlineStr">
        <is>
          <t>Board Member, Co-Founder &amp; Chief Executive Officer</t>
        </is>
      </c>
      <c r="AH85" s="42" t="inlineStr">
        <is>
          <t>becky@buzzmove.com</t>
        </is>
      </c>
      <c r="AI85" s="43" t="inlineStr">
        <is>
          <t>+44 (0)80 0133 7105</t>
        </is>
      </c>
      <c r="AJ85" s="44" t="inlineStr">
        <is>
          <t>London, United Kingdom</t>
        </is>
      </c>
      <c r="AK85" s="45" t="inlineStr">
        <is>
          <t>3Space</t>
        </is>
      </c>
      <c r="AL85" s="46" t="inlineStr">
        <is>
          <t>Keetons Road</t>
        </is>
      </c>
      <c r="AM85" s="47" t="inlineStr">
        <is>
          <t>London</t>
        </is>
      </c>
      <c r="AN85" s="48" t="inlineStr">
        <is>
          <t>England</t>
        </is>
      </c>
      <c r="AO85" s="49" t="inlineStr">
        <is>
          <t>SE16 4EE</t>
        </is>
      </c>
      <c r="AP85" s="50" t="inlineStr">
        <is>
          <t>United Kingdom</t>
        </is>
      </c>
      <c r="AQ85" s="51" t="inlineStr">
        <is>
          <t>+44 (0)80 0133 7105</t>
        </is>
      </c>
      <c r="AR85" s="52" t="inlineStr">
        <is>
          <t/>
        </is>
      </c>
      <c r="AS85" s="53" t="inlineStr">
        <is>
          <t>hello@buzzmove.com</t>
        </is>
      </c>
      <c r="AT85" s="54" t="inlineStr">
        <is>
          <t>Europe</t>
        </is>
      </c>
      <c r="AU85" s="55" t="inlineStr">
        <is>
          <t>Western Europe</t>
        </is>
      </c>
      <c r="AV85" s="56" t="inlineStr">
        <is>
          <t>The company raised GBP 6 million of seed funding in a deal led by White Mountains Insurance Group (NYS:WTM) on August 15, 2016. Other undisclosed investors also participated in this round. The company will use the funds to continue developing its platform. Earlier on December 5, 2015, the company joined Startupbootcamp as part of the InsurTech - London 2016 Class and received EUR 15,000 in funding.</t>
        </is>
      </c>
      <c r="AW85" s="57" t="inlineStr">
        <is>
          <t>Adam Knight, ARC InterCapital, Daniel McPherson, Justin Peters, Launcha.com, Startupbootcamp, Vijay Bajaj, Walking Ventures, Wayra, White Mountains Insurance Group</t>
        </is>
      </c>
      <c r="AX85" s="58" t="n">
        <v>10.0</v>
      </c>
      <c r="AY85" s="59" t="inlineStr">
        <is>
          <t/>
        </is>
      </c>
      <c r="AZ85" s="60" t="inlineStr">
        <is>
          <t>Avonmore Developments</t>
        </is>
      </c>
      <c r="BA85" s="61" t="inlineStr">
        <is>
          <t/>
        </is>
      </c>
      <c r="BB85" s="62" t="inlineStr">
        <is>
          <t>ARC InterCapital (www.arcintercapital.com), Launcha.com (launcha.com), Startupbootcamp (www.startupbootcamp.org), Walking Ventures (www.walking.vc), Wayra (wayra.co/en), White Mountains Insurance Group (www.whitemountains.com)</t>
        </is>
      </c>
      <c r="BC85" s="63" t="inlineStr">
        <is>
          <t>Avonmore Developments (www.avonmoredevelopments.com)</t>
        </is>
      </c>
      <c r="BD85" s="64" t="inlineStr">
        <is>
          <t/>
        </is>
      </c>
      <c r="BE85" s="65" t="inlineStr">
        <is>
          <t/>
        </is>
      </c>
      <c r="BF85" s="66" t="inlineStr">
        <is>
          <t>Angels Den (Lead Manager or Arranger)</t>
        </is>
      </c>
      <c r="BG85" s="67" t="n">
        <v>41395.0</v>
      </c>
      <c r="BH85" s="68" t="n">
        <v>0.06</v>
      </c>
      <c r="BI85" s="69" t="inlineStr">
        <is>
          <t>Actual</t>
        </is>
      </c>
      <c r="BJ85" s="70" t="n">
        <v>0.56</v>
      </c>
      <c r="BK85" s="71" t="inlineStr">
        <is>
          <t>Actual</t>
        </is>
      </c>
      <c r="BL85" s="72" t="inlineStr">
        <is>
          <t>Accelerator/Incubator</t>
        </is>
      </c>
      <c r="BM85" s="73" t="inlineStr">
        <is>
          <t/>
        </is>
      </c>
      <c r="BN85" s="74" t="inlineStr">
        <is>
          <t/>
        </is>
      </c>
      <c r="BO85" s="75" t="inlineStr">
        <is>
          <t>Venture Capital</t>
        </is>
      </c>
      <c r="BP85" s="76" t="inlineStr">
        <is>
          <t/>
        </is>
      </c>
      <c r="BQ85" s="77" t="inlineStr">
        <is>
          <t/>
        </is>
      </c>
      <c r="BR85" s="78" t="inlineStr">
        <is>
          <t/>
        </is>
      </c>
      <c r="BS85" s="79" t="inlineStr">
        <is>
          <t>Completed</t>
        </is>
      </c>
      <c r="BT85" s="80" t="n">
        <v>42597.0</v>
      </c>
      <c r="BU85" s="81" t="n">
        <v>7.01</v>
      </c>
      <c r="BV85" s="82" t="inlineStr">
        <is>
          <t>Actual</t>
        </is>
      </c>
      <c r="BW85" s="83" t="inlineStr">
        <is>
          <t/>
        </is>
      </c>
      <c r="BX85" s="84" t="inlineStr">
        <is>
          <t/>
        </is>
      </c>
      <c r="BY85" s="85" t="inlineStr">
        <is>
          <t>Seed Round</t>
        </is>
      </c>
      <c r="BZ85" s="86" t="inlineStr">
        <is>
          <t>Seed</t>
        </is>
      </c>
      <c r="CA85" s="87" t="inlineStr">
        <is>
          <t/>
        </is>
      </c>
      <c r="CB85" s="88" t="inlineStr">
        <is>
          <t>Venture Capital</t>
        </is>
      </c>
      <c r="CC85" s="89" t="inlineStr">
        <is>
          <t/>
        </is>
      </c>
      <c r="CD85" s="90" t="inlineStr">
        <is>
          <t/>
        </is>
      </c>
      <c r="CE85" s="91" t="inlineStr">
        <is>
          <t/>
        </is>
      </c>
      <c r="CF85" s="92" t="inlineStr">
        <is>
          <t>Completed</t>
        </is>
      </c>
      <c r="CG85" s="93" t="inlineStr">
        <is>
          <t>-1,58%</t>
        </is>
      </c>
      <c r="CH85" s="94" t="inlineStr">
        <is>
          <t>3</t>
        </is>
      </c>
      <c r="CI85" s="95" t="inlineStr">
        <is>
          <t>0,05%</t>
        </is>
      </c>
      <c r="CJ85" s="96" t="inlineStr">
        <is>
          <t>2,86%</t>
        </is>
      </c>
      <c r="CK85" s="97" t="inlineStr">
        <is>
          <t>-3,61%</t>
        </is>
      </c>
      <c r="CL85" s="98" t="inlineStr">
        <is>
          <t>2</t>
        </is>
      </c>
      <c r="CM85" s="99" t="inlineStr">
        <is>
          <t>0,44%</t>
        </is>
      </c>
      <c r="CN85" s="100" t="inlineStr">
        <is>
          <t>88</t>
        </is>
      </c>
      <c r="CO85" s="101" t="inlineStr">
        <is>
          <t>-5,32%</t>
        </is>
      </c>
      <c r="CP85" s="102" t="inlineStr">
        <is>
          <t>6</t>
        </is>
      </c>
      <c r="CQ85" s="103" t="inlineStr">
        <is>
          <t>-1,90%</t>
        </is>
      </c>
      <c r="CR85" s="104" t="inlineStr">
        <is>
          <t>1</t>
        </is>
      </c>
      <c r="CS85" s="105" t="inlineStr">
        <is>
          <t>0,92%</t>
        </is>
      </c>
      <c r="CT85" s="106" t="inlineStr">
        <is>
          <t>94</t>
        </is>
      </c>
      <c r="CU85" s="107" t="inlineStr">
        <is>
          <t>-0,04%</t>
        </is>
      </c>
      <c r="CV85" s="108" t="inlineStr">
        <is>
          <t>14</t>
        </is>
      </c>
      <c r="CW85" s="109" t="inlineStr">
        <is>
          <t>12,93x</t>
        </is>
      </c>
      <c r="CX85" s="110" t="inlineStr">
        <is>
          <t>89</t>
        </is>
      </c>
      <c r="CY85" s="111" t="inlineStr">
        <is>
          <t>0,23x</t>
        </is>
      </c>
      <c r="CZ85" s="112" t="inlineStr">
        <is>
          <t>1,79%</t>
        </is>
      </c>
      <c r="DA85" s="113" t="inlineStr">
        <is>
          <t>6,26x</t>
        </is>
      </c>
      <c r="DB85" s="114" t="inlineStr">
        <is>
          <t>83</t>
        </is>
      </c>
      <c r="DC85" s="115" t="inlineStr">
        <is>
          <t>19,60x</t>
        </is>
      </c>
      <c r="DD85" s="116" t="inlineStr">
        <is>
          <t>90</t>
        </is>
      </c>
      <c r="DE85" s="117" t="inlineStr">
        <is>
          <t>4,35x</t>
        </is>
      </c>
      <c r="DF85" s="118" t="inlineStr">
        <is>
          <t>75</t>
        </is>
      </c>
      <c r="DG85" s="119" t="inlineStr">
        <is>
          <t>8,17x</t>
        </is>
      </c>
      <c r="DH85" s="120" t="inlineStr">
        <is>
          <t>84</t>
        </is>
      </c>
      <c r="DI85" s="121" t="inlineStr">
        <is>
          <t>0,36x</t>
        </is>
      </c>
      <c r="DJ85" s="122" t="inlineStr">
        <is>
          <t>33</t>
        </is>
      </c>
      <c r="DK85" s="123" t="inlineStr">
        <is>
          <t>38,85x</t>
        </is>
      </c>
      <c r="DL85" s="124" t="inlineStr">
        <is>
          <t>95</t>
        </is>
      </c>
      <c r="DM85" s="125" t="inlineStr">
        <is>
          <t>2.710</t>
        </is>
      </c>
      <c r="DN85" s="126" t="inlineStr">
        <is>
          <t>-100</t>
        </is>
      </c>
      <c r="DO85" s="127" t="inlineStr">
        <is>
          <t>-3,56%</t>
        </is>
      </c>
      <c r="DP85" s="128" t="inlineStr">
        <is>
          <t>286</t>
        </is>
      </c>
      <c r="DQ85" s="129" t="inlineStr">
        <is>
          <t>0</t>
        </is>
      </c>
      <c r="DR85" s="130" t="inlineStr">
        <is>
          <t>0,00%</t>
        </is>
      </c>
      <c r="DS85" s="131" t="inlineStr">
        <is>
          <t>295</t>
        </is>
      </c>
      <c r="DT85" s="132" t="inlineStr">
        <is>
          <t>-3</t>
        </is>
      </c>
      <c r="DU85" s="133" t="inlineStr">
        <is>
          <t>-1,01%</t>
        </is>
      </c>
      <c r="DV85" s="134" t="inlineStr">
        <is>
          <t>13.328</t>
        </is>
      </c>
      <c r="DW85" s="135" t="inlineStr">
        <is>
          <t>-6</t>
        </is>
      </c>
      <c r="DX85" s="136" t="inlineStr">
        <is>
          <t>-0,04%</t>
        </is>
      </c>
      <c r="DY85" s="137" t="inlineStr">
        <is>
          <t>PitchBook Research</t>
        </is>
      </c>
      <c r="DZ85" s="785">
        <f>HYPERLINK("https://my.pitchbook.com?c=61783-84", "View company online")</f>
      </c>
    </row>
    <row r="86">
      <c r="A86" s="139" t="inlineStr">
        <is>
          <t>66257-38</t>
        </is>
      </c>
      <c r="B86" s="140" t="inlineStr">
        <is>
          <t>Bynder</t>
        </is>
      </c>
      <c r="C86" s="141" t="inlineStr">
        <is>
          <t/>
        </is>
      </c>
      <c r="D86" s="142" t="inlineStr">
        <is>
          <t/>
        </is>
      </c>
      <c r="E86" s="143" t="inlineStr">
        <is>
          <t>66257-38</t>
        </is>
      </c>
      <c r="F86" s="144" t="inlineStr">
        <is>
          <t>Provider of a digital asset management (DAM) platform designed to offer marketers a way to find and share creative files such as graphics, videos and documents. The company offers he platform to brand managers, marketers and creatives who use Bynder to organize company files, edit and approve projects in real time, auto-format and resize files, and make the right content available to others at the click of a button.</t>
        </is>
      </c>
      <c r="G86" s="145" t="inlineStr">
        <is>
          <t>Business Products and Services (B2B)</t>
        </is>
      </c>
      <c r="H86" s="146" t="inlineStr">
        <is>
          <t>Commercial Services</t>
        </is>
      </c>
      <c r="I86" s="147" t="inlineStr">
        <is>
          <t>Media and Information Services (B2B)</t>
        </is>
      </c>
      <c r="J86" s="148" t="inlineStr">
        <is>
          <t>Media and Information Services (B2B)*; Business/Productivity Software; Social/Platform Software</t>
        </is>
      </c>
      <c r="K86" s="149" t="inlineStr">
        <is>
          <t>Marketing Tech</t>
        </is>
      </c>
      <c r="L86" s="150" t="inlineStr">
        <is>
          <t>Venture Capital-Backed</t>
        </is>
      </c>
      <c r="M86" s="151" t="n">
        <v>20.0</v>
      </c>
      <c r="N86" s="152" t="inlineStr">
        <is>
          <t>Startup</t>
        </is>
      </c>
      <c r="O86" s="153" t="inlineStr">
        <is>
          <t>Privately Held (backing)</t>
        </is>
      </c>
      <c r="P86" s="154" t="inlineStr">
        <is>
          <t>Venture Capital</t>
        </is>
      </c>
      <c r="Q86" s="155" t="inlineStr">
        <is>
          <t>www.bynder.com</t>
        </is>
      </c>
      <c r="R86" s="156" t="n">
        <v>201.0</v>
      </c>
      <c r="S86" s="157" t="inlineStr">
        <is>
          <t/>
        </is>
      </c>
      <c r="T86" s="158" t="inlineStr">
        <is>
          <t/>
        </is>
      </c>
      <c r="U86" s="159" t="n">
        <v>2013.0</v>
      </c>
      <c r="V86" s="160" t="inlineStr">
        <is>
          <t/>
        </is>
      </c>
      <c r="W86" s="161" t="inlineStr">
        <is>
          <t/>
        </is>
      </c>
      <c r="X86" s="162" t="inlineStr">
        <is>
          <t/>
        </is>
      </c>
      <c r="Y86" s="163" t="n">
        <v>19.99628</v>
      </c>
      <c r="Z86" s="164" t="inlineStr">
        <is>
          <t/>
        </is>
      </c>
      <c r="AA86" s="165" t="inlineStr">
        <is>
          <t/>
        </is>
      </c>
      <c r="AB86" s="166" t="inlineStr">
        <is>
          <t/>
        </is>
      </c>
      <c r="AC86" s="167" t="inlineStr">
        <is>
          <t/>
        </is>
      </c>
      <c r="AD86" s="168" t="inlineStr">
        <is>
          <t>FY 2016</t>
        </is>
      </c>
      <c r="AE86" s="169" t="inlineStr">
        <is>
          <t>76593-79P</t>
        </is>
      </c>
      <c r="AF86" s="170" t="inlineStr">
        <is>
          <t>Chris Hall</t>
        </is>
      </c>
      <c r="AG86" s="171" t="inlineStr">
        <is>
          <t>Co-Founder &amp; Group Chief Executive Officer</t>
        </is>
      </c>
      <c r="AH86" s="172" t="inlineStr">
        <is>
          <t>chris@bynder.com</t>
        </is>
      </c>
      <c r="AI86" s="173" t="inlineStr">
        <is>
          <t>+44 (0)20 7043 2555</t>
        </is>
      </c>
      <c r="AJ86" s="174" t="inlineStr">
        <is>
          <t>Amsterdam, Netherlands</t>
        </is>
      </c>
      <c r="AK86" s="175" t="inlineStr">
        <is>
          <t>Max Euweplein 46</t>
        </is>
      </c>
      <c r="AL86" s="176" t="inlineStr">
        <is>
          <t/>
        </is>
      </c>
      <c r="AM86" s="177" t="inlineStr">
        <is>
          <t>Amsterdam</t>
        </is>
      </c>
      <c r="AN86" s="178" t="inlineStr">
        <is>
          <t/>
        </is>
      </c>
      <c r="AO86" s="179" t="inlineStr">
        <is>
          <t>1017 MB</t>
        </is>
      </c>
      <c r="AP86" s="180" t="inlineStr">
        <is>
          <t>Netherlands</t>
        </is>
      </c>
      <c r="AQ86" s="181" t="inlineStr">
        <is>
          <t>+31 (0)20 820 3740</t>
        </is>
      </c>
      <c r="AR86" s="182" t="inlineStr">
        <is>
          <t/>
        </is>
      </c>
      <c r="AS86" s="183" t="inlineStr">
        <is>
          <t/>
        </is>
      </c>
      <c r="AT86" s="184" t="inlineStr">
        <is>
          <t>Europe</t>
        </is>
      </c>
      <c r="AU86" s="185" t="inlineStr">
        <is>
          <t>Western Europe</t>
        </is>
      </c>
      <c r="AV86" s="186" t="inlineStr">
        <is>
          <t>The company raised EUR 20 million of Series A venture funding from Insight Venture Partners on August 11, 2016. The company intends to use the funds to continue international growth and to support further product development.</t>
        </is>
      </c>
      <c r="AW86" s="187" t="inlineStr">
        <is>
          <t>CNBB Venture, Insight Venture Partners</t>
        </is>
      </c>
      <c r="AX86" s="188" t="n">
        <v>2.0</v>
      </c>
      <c r="AY86" s="189" t="inlineStr">
        <is>
          <t/>
        </is>
      </c>
      <c r="AZ86" s="190" t="inlineStr">
        <is>
          <t/>
        </is>
      </c>
      <c r="BA86" s="191" t="inlineStr">
        <is>
          <t/>
        </is>
      </c>
      <c r="BB86" s="192" t="inlineStr">
        <is>
          <t>CNBB Venture (www.cnbb.nl), Insight Venture Partners (www.insightpartners.com)</t>
        </is>
      </c>
      <c r="BC86" s="193" t="inlineStr">
        <is>
          <t/>
        </is>
      </c>
      <c r="BD86" s="194" t="inlineStr">
        <is>
          <t/>
        </is>
      </c>
      <c r="BE86" s="195" t="inlineStr">
        <is>
          <t/>
        </is>
      </c>
      <c r="BF86" s="196" t="inlineStr">
        <is>
          <t/>
        </is>
      </c>
      <c r="BG86" s="197" t="inlineStr">
        <is>
          <t/>
        </is>
      </c>
      <c r="BH86" s="198" t="inlineStr">
        <is>
          <t/>
        </is>
      </c>
      <c r="BI86" s="199" t="inlineStr">
        <is>
          <t/>
        </is>
      </c>
      <c r="BJ86" s="200" t="inlineStr">
        <is>
          <t/>
        </is>
      </c>
      <c r="BK86" s="201" t="inlineStr">
        <is>
          <t/>
        </is>
      </c>
      <c r="BL86" s="202" t="inlineStr">
        <is>
          <t>Early Stage VC</t>
        </is>
      </c>
      <c r="BM86" s="203" t="inlineStr">
        <is>
          <t/>
        </is>
      </c>
      <c r="BN86" s="204" t="inlineStr">
        <is>
          <t/>
        </is>
      </c>
      <c r="BO86" s="205" t="inlineStr">
        <is>
          <t>Venture Capital</t>
        </is>
      </c>
      <c r="BP86" s="206" t="inlineStr">
        <is>
          <t/>
        </is>
      </c>
      <c r="BQ86" s="207" t="inlineStr">
        <is>
          <t/>
        </is>
      </c>
      <c r="BR86" s="208" t="inlineStr">
        <is>
          <t/>
        </is>
      </c>
      <c r="BS86" s="209" t="inlineStr">
        <is>
          <t>Completed</t>
        </is>
      </c>
      <c r="BT86" s="210" t="n">
        <v>42593.0</v>
      </c>
      <c r="BU86" s="211" t="n">
        <v>20.0</v>
      </c>
      <c r="BV86" s="212" t="inlineStr">
        <is>
          <t>Actual</t>
        </is>
      </c>
      <c r="BW86" s="213" t="inlineStr">
        <is>
          <t/>
        </is>
      </c>
      <c r="BX86" s="214" t="inlineStr">
        <is>
          <t/>
        </is>
      </c>
      <c r="BY86" s="215" t="inlineStr">
        <is>
          <t>Early Stage VC</t>
        </is>
      </c>
      <c r="BZ86" s="216" t="inlineStr">
        <is>
          <t>Series A</t>
        </is>
      </c>
      <c r="CA86" s="217" t="inlineStr">
        <is>
          <t/>
        </is>
      </c>
      <c r="CB86" s="218" t="inlineStr">
        <is>
          <t>Venture Capital</t>
        </is>
      </c>
      <c r="CC86" s="219" t="inlineStr">
        <is>
          <t/>
        </is>
      </c>
      <c r="CD86" s="220" t="inlineStr">
        <is>
          <t/>
        </is>
      </c>
      <c r="CE86" s="221" t="inlineStr">
        <is>
          <t/>
        </is>
      </c>
      <c r="CF86" s="222" t="inlineStr">
        <is>
          <t>Completed</t>
        </is>
      </c>
      <c r="CG86" s="223" t="inlineStr">
        <is>
          <t>0,75%</t>
        </is>
      </c>
      <c r="CH86" s="224" t="inlineStr">
        <is>
          <t>87</t>
        </is>
      </c>
      <c r="CI86" s="225" t="inlineStr">
        <is>
          <t>-0,01%</t>
        </is>
      </c>
      <c r="CJ86" s="226" t="inlineStr">
        <is>
          <t>-1,33%</t>
        </is>
      </c>
      <c r="CK86" s="227" t="inlineStr">
        <is>
          <t>0,87%</t>
        </is>
      </c>
      <c r="CL86" s="228" t="inlineStr">
        <is>
          <t>86</t>
        </is>
      </c>
      <c r="CM86" s="229" t="inlineStr">
        <is>
          <t>0,63%</t>
        </is>
      </c>
      <c r="CN86" s="230" t="inlineStr">
        <is>
          <t>92</t>
        </is>
      </c>
      <c r="CO86" s="231" t="inlineStr">
        <is>
          <t>0,87%</t>
        </is>
      </c>
      <c r="CP86" s="232" t="inlineStr">
        <is>
          <t>84</t>
        </is>
      </c>
      <c r="CQ86" s="233" t="inlineStr">
        <is>
          <t/>
        </is>
      </c>
      <c r="CR86" s="234" t="inlineStr">
        <is>
          <t/>
        </is>
      </c>
      <c r="CS86" s="235" t="inlineStr">
        <is>
          <t>0,63%</t>
        </is>
      </c>
      <c r="CT86" s="236" t="inlineStr">
        <is>
          <t>90</t>
        </is>
      </c>
      <c r="CU86" s="237" t="inlineStr">
        <is>
          <t/>
        </is>
      </c>
      <c r="CV86" s="238" t="inlineStr">
        <is>
          <t/>
        </is>
      </c>
      <c r="CW86" s="239" t="inlineStr">
        <is>
          <t>16,91x</t>
        </is>
      </c>
      <c r="CX86" s="240" t="inlineStr">
        <is>
          <t>91</t>
        </is>
      </c>
      <c r="CY86" s="241" t="inlineStr">
        <is>
          <t>0,08x</t>
        </is>
      </c>
      <c r="CZ86" s="242" t="inlineStr">
        <is>
          <t>0,48%</t>
        </is>
      </c>
      <c r="DA86" s="243" t="inlineStr">
        <is>
          <t>27,36x</t>
        </is>
      </c>
      <c r="DB86" s="244" t="inlineStr">
        <is>
          <t>94</t>
        </is>
      </c>
      <c r="DC86" s="245" t="inlineStr">
        <is>
          <t>6,47x</t>
        </is>
      </c>
      <c r="DD86" s="246" t="inlineStr">
        <is>
          <t>79</t>
        </is>
      </c>
      <c r="DE86" s="247" t="inlineStr">
        <is>
          <t>27,36x</t>
        </is>
      </c>
      <c r="DF86" s="248" t="inlineStr">
        <is>
          <t>90</t>
        </is>
      </c>
      <c r="DG86" s="249" t="inlineStr">
        <is>
          <t/>
        </is>
      </c>
      <c r="DH86" s="250" t="inlineStr">
        <is>
          <t/>
        </is>
      </c>
      <c r="DI86" s="251" t="inlineStr">
        <is>
          <t>6,47x</t>
        </is>
      </c>
      <c r="DJ86" s="252" t="inlineStr">
        <is>
          <t>78</t>
        </is>
      </c>
      <c r="DK86" s="253" t="inlineStr">
        <is>
          <t/>
        </is>
      </c>
      <c r="DL86" s="254" t="inlineStr">
        <is>
          <t/>
        </is>
      </c>
      <c r="DM86" s="255" t="inlineStr">
        <is>
          <t>18.168</t>
        </is>
      </c>
      <c r="DN86" s="256" t="inlineStr">
        <is>
          <t>-4.029</t>
        </is>
      </c>
      <c r="DO86" s="257" t="inlineStr">
        <is>
          <t>-18,15%</t>
        </is>
      </c>
      <c r="DP86" s="258" t="inlineStr">
        <is>
          <t>5.157</t>
        </is>
      </c>
      <c r="DQ86" s="259" t="inlineStr">
        <is>
          <t>18</t>
        </is>
      </c>
      <c r="DR86" s="260" t="inlineStr">
        <is>
          <t>0,35%</t>
        </is>
      </c>
      <c r="DS86" s="261" t="inlineStr">
        <is>
          <t/>
        </is>
      </c>
      <c r="DT86" s="262" t="inlineStr">
        <is>
          <t/>
        </is>
      </c>
      <c r="DU86" s="263" t="inlineStr">
        <is>
          <t/>
        </is>
      </c>
      <c r="DV86" s="264" t="inlineStr">
        <is>
          <t/>
        </is>
      </c>
      <c r="DW86" s="265" t="inlineStr">
        <is>
          <t/>
        </is>
      </c>
      <c r="DX86" s="266" t="inlineStr">
        <is>
          <t/>
        </is>
      </c>
      <c r="DY86" s="267" t="inlineStr">
        <is>
          <t>PitchBook Research</t>
        </is>
      </c>
      <c r="DZ86" s="786">
        <f>HYPERLINK("https://my.pitchbook.com?c=66257-38", "View company online")</f>
      </c>
    </row>
    <row r="87">
      <c r="A87" s="9" t="inlineStr">
        <is>
          <t>99221-95</t>
        </is>
      </c>
      <c r="B87" s="10" t="inlineStr">
        <is>
          <t>Calcico Therapeutics</t>
        </is>
      </c>
      <c r="C87" s="11" t="inlineStr">
        <is>
          <t/>
        </is>
      </c>
      <c r="D87" s="12" t="inlineStr">
        <is>
          <t>Calcico</t>
        </is>
      </c>
      <c r="E87" s="13" t="inlineStr">
        <is>
          <t>99221-95</t>
        </is>
      </c>
      <c r="F87" s="14" t="inlineStr">
        <is>
          <t>Developer of small molecule therapeutics. The company specializes in developing calcium-release activated channel inhibitors to treat a range of inflammatory and autoimmune conditions.</t>
        </is>
      </c>
      <c r="G87" s="15" t="inlineStr">
        <is>
          <t>Healthcare</t>
        </is>
      </c>
      <c r="H87" s="16" t="inlineStr">
        <is>
          <t>Pharmaceuticals and Biotechnology</t>
        </is>
      </c>
      <c r="I87" s="17" t="inlineStr">
        <is>
          <t>Biotechnology</t>
        </is>
      </c>
      <c r="J87" s="18" t="inlineStr">
        <is>
          <t>Biotechnology*; Other Pharmaceuticals and Biotechnology</t>
        </is>
      </c>
      <c r="K87" s="19" t="inlineStr">
        <is>
          <t/>
        </is>
      </c>
      <c r="L87" s="20" t="inlineStr">
        <is>
          <t>Venture Capital-Backed</t>
        </is>
      </c>
      <c r="M87" s="21" t="n">
        <v>6.97</v>
      </c>
      <c r="N87" s="22" t="inlineStr">
        <is>
          <t>Startup</t>
        </is>
      </c>
      <c r="O87" s="23" t="inlineStr">
        <is>
          <t>Privately Held (backing)</t>
        </is>
      </c>
      <c r="P87" s="24" t="inlineStr">
        <is>
          <t>Venture Capital</t>
        </is>
      </c>
      <c r="Q87" s="25" t="inlineStr">
        <is>
          <t>www.calcico.com</t>
        </is>
      </c>
      <c r="R87" s="26" t="n">
        <v>50.0</v>
      </c>
      <c r="S87" s="27" t="inlineStr">
        <is>
          <t/>
        </is>
      </c>
      <c r="T87" s="28" t="inlineStr">
        <is>
          <t/>
        </is>
      </c>
      <c r="U87" s="29" t="n">
        <v>2012.0</v>
      </c>
      <c r="V87" s="30" t="inlineStr">
        <is>
          <t/>
        </is>
      </c>
      <c r="W87" s="31" t="inlineStr">
        <is>
          <t/>
        </is>
      </c>
      <c r="X87" s="32" t="inlineStr">
        <is>
          <t/>
        </is>
      </c>
      <c r="Y87" s="33" t="inlineStr">
        <is>
          <t/>
        </is>
      </c>
      <c r="Z87" s="34" t="inlineStr">
        <is>
          <t/>
        </is>
      </c>
      <c r="AA87" s="35" t="inlineStr">
        <is>
          <t/>
        </is>
      </c>
      <c r="AB87" s="36" t="inlineStr">
        <is>
          <t/>
        </is>
      </c>
      <c r="AC87" s="37" t="inlineStr">
        <is>
          <t/>
        </is>
      </c>
      <c r="AD87" s="38" t="inlineStr">
        <is>
          <t>FY 2014</t>
        </is>
      </c>
      <c r="AE87" s="39" t="inlineStr">
        <is>
          <t>84539-35P</t>
        </is>
      </c>
      <c r="AF87" s="40" t="inlineStr">
        <is>
          <t>Anant Parekh</t>
        </is>
      </c>
      <c r="AG87" s="41" t="inlineStr">
        <is>
          <t>Founder and Board Member</t>
        </is>
      </c>
      <c r="AH87" s="42" t="inlineStr">
        <is>
          <t>anant.parekh@calcico.com</t>
        </is>
      </c>
      <c r="AI87" s="43" t="inlineStr">
        <is>
          <t>+44 (0)18 6578 4794</t>
        </is>
      </c>
      <c r="AJ87" s="44" t="inlineStr">
        <is>
          <t>Oxford, United Kingdom</t>
        </is>
      </c>
      <c r="AK87" s="45" t="inlineStr">
        <is>
          <t>Oxford Science Park, Magdalen Centre</t>
        </is>
      </c>
      <c r="AL87" s="46" t="inlineStr">
        <is>
          <t>Robert Robinson Avenue</t>
        </is>
      </c>
      <c r="AM87" s="47" t="inlineStr">
        <is>
          <t>Oxford</t>
        </is>
      </c>
      <c r="AN87" s="48" t="inlineStr">
        <is>
          <t>England</t>
        </is>
      </c>
      <c r="AO87" s="49" t="inlineStr">
        <is>
          <t>OX4 4GA</t>
        </is>
      </c>
      <c r="AP87" s="50" t="inlineStr">
        <is>
          <t>United Kingdom</t>
        </is>
      </c>
      <c r="AQ87" s="51" t="inlineStr">
        <is>
          <t>+44 (0)18 6578 4794</t>
        </is>
      </c>
      <c r="AR87" s="52" t="inlineStr">
        <is>
          <t/>
        </is>
      </c>
      <c r="AS87" s="53" t="inlineStr">
        <is>
          <t/>
        </is>
      </c>
      <c r="AT87" s="54" t="inlineStr">
        <is>
          <t>Europe</t>
        </is>
      </c>
      <c r="AU87" s="55" t="inlineStr">
        <is>
          <t>Western Europe</t>
        </is>
      </c>
      <c r="AV87" s="56" t="inlineStr">
        <is>
          <t>The company raised $4 million of Series A venture funding from Advent Life Sciences and Imperial Innovations on October 1, 2015.</t>
        </is>
      </c>
      <c r="AW87" s="57" t="inlineStr">
        <is>
          <t>Advent Life Sciences, Touchstone Innovations</t>
        </is>
      </c>
      <c r="AX87" s="58" t="n">
        <v>2.0</v>
      </c>
      <c r="AY87" s="59" t="inlineStr">
        <is>
          <t/>
        </is>
      </c>
      <c r="AZ87" s="60" t="inlineStr">
        <is>
          <t/>
        </is>
      </c>
      <c r="BA87" s="61" t="inlineStr">
        <is>
          <t/>
        </is>
      </c>
      <c r="BB87" s="62" t="inlineStr">
        <is>
          <t>Advent Life Sciences (www.adventls.com), Touchstone Innovations (www.touchstoneinnovations.com)</t>
        </is>
      </c>
      <c r="BC87" s="63" t="inlineStr">
        <is>
          <t/>
        </is>
      </c>
      <c r="BD87" s="64" t="inlineStr">
        <is>
          <t/>
        </is>
      </c>
      <c r="BE87" s="65" t="inlineStr">
        <is>
          <t>Justin Starling (Advisor)</t>
        </is>
      </c>
      <c r="BF87" s="66" t="inlineStr">
        <is>
          <t>Penningtons Manches (Legal Advisor), Justin Starling (Advisor)</t>
        </is>
      </c>
      <c r="BG87" s="67" t="n">
        <v>41456.0</v>
      </c>
      <c r="BH87" s="68" t="n">
        <v>1.51</v>
      </c>
      <c r="BI87" s="69" t="inlineStr">
        <is>
          <t>Actual</t>
        </is>
      </c>
      <c r="BJ87" s="70" t="n">
        <v>1.02</v>
      </c>
      <c r="BK87" s="71" t="inlineStr">
        <is>
          <t>Actual</t>
        </is>
      </c>
      <c r="BL87" s="72" t="inlineStr">
        <is>
          <t>Seed Round</t>
        </is>
      </c>
      <c r="BM87" s="73" t="inlineStr">
        <is>
          <t>Seed</t>
        </is>
      </c>
      <c r="BN87" s="74" t="inlineStr">
        <is>
          <t/>
        </is>
      </c>
      <c r="BO87" s="75" t="inlineStr">
        <is>
          <t>Venture Capital</t>
        </is>
      </c>
      <c r="BP87" s="76" t="inlineStr">
        <is>
          <t>Other</t>
        </is>
      </c>
      <c r="BQ87" s="77" t="inlineStr">
        <is>
          <t/>
        </is>
      </c>
      <c r="BR87" s="78" t="inlineStr">
        <is>
          <t/>
        </is>
      </c>
      <c r="BS87" s="79" t="inlineStr">
        <is>
          <t>Completed</t>
        </is>
      </c>
      <c r="BT87" s="80" t="n">
        <v>42278.0</v>
      </c>
      <c r="BU87" s="81" t="n">
        <v>5.46</v>
      </c>
      <c r="BV87" s="82" t="inlineStr">
        <is>
          <t>Estimated</t>
        </is>
      </c>
      <c r="BW87" s="83" t="inlineStr">
        <is>
          <t/>
        </is>
      </c>
      <c r="BX87" s="84" t="inlineStr">
        <is>
          <t/>
        </is>
      </c>
      <c r="BY87" s="85" t="inlineStr">
        <is>
          <t>Early Stage VC</t>
        </is>
      </c>
      <c r="BZ87" s="86" t="inlineStr">
        <is>
          <t>Series A</t>
        </is>
      </c>
      <c r="CA87" s="87" t="inlineStr">
        <is>
          <t/>
        </is>
      </c>
      <c r="CB87" s="88" t="inlineStr">
        <is>
          <t>Venture Capital</t>
        </is>
      </c>
      <c r="CC87" s="89" t="inlineStr">
        <is>
          <t/>
        </is>
      </c>
      <c r="CD87" s="90" t="inlineStr">
        <is>
          <t/>
        </is>
      </c>
      <c r="CE87" s="91" t="inlineStr">
        <is>
          <t/>
        </is>
      </c>
      <c r="CF87" s="92" t="inlineStr">
        <is>
          <t>Completed</t>
        </is>
      </c>
      <c r="CG87" s="93" t="inlineStr">
        <is>
          <t>0,00%</t>
        </is>
      </c>
      <c r="CH87" s="94" t="inlineStr">
        <is>
          <t>23</t>
        </is>
      </c>
      <c r="CI87" s="95" t="inlineStr">
        <is>
          <t>0,00%</t>
        </is>
      </c>
      <c r="CJ87" s="96" t="inlineStr">
        <is>
          <t>0,00%</t>
        </is>
      </c>
      <c r="CK87" s="97" t="inlineStr">
        <is>
          <t>0,00%</t>
        </is>
      </c>
      <c r="CL87" s="98" t="inlineStr">
        <is>
          <t>18</t>
        </is>
      </c>
      <c r="CM87" s="99" t="inlineStr">
        <is>
          <t/>
        </is>
      </c>
      <c r="CN87" s="100" t="inlineStr">
        <is>
          <t/>
        </is>
      </c>
      <c r="CO87" s="101" t="inlineStr">
        <is>
          <t/>
        </is>
      </c>
      <c r="CP87" s="102" t="inlineStr">
        <is>
          <t/>
        </is>
      </c>
      <c r="CQ87" s="103" t="inlineStr">
        <is>
          <t>0,00%</t>
        </is>
      </c>
      <c r="CR87" s="104" t="inlineStr">
        <is>
          <t>13</t>
        </is>
      </c>
      <c r="CS87" s="105" t="inlineStr">
        <is>
          <t/>
        </is>
      </c>
      <c r="CT87" s="106" t="inlineStr">
        <is>
          <t/>
        </is>
      </c>
      <c r="CU87" s="107" t="inlineStr">
        <is>
          <t/>
        </is>
      </c>
      <c r="CV87" s="108" t="inlineStr">
        <is>
          <t/>
        </is>
      </c>
      <c r="CW87" s="109" t="inlineStr">
        <is>
          <t>0,11x</t>
        </is>
      </c>
      <c r="CX87" s="110" t="inlineStr">
        <is>
          <t>10</t>
        </is>
      </c>
      <c r="CY87" s="111" t="inlineStr">
        <is>
          <t>0,00x</t>
        </is>
      </c>
      <c r="CZ87" s="112" t="inlineStr">
        <is>
          <t>2,78%</t>
        </is>
      </c>
      <c r="DA87" s="113" t="inlineStr">
        <is>
          <t>0,11x</t>
        </is>
      </c>
      <c r="DB87" s="114" t="inlineStr">
        <is>
          <t>11</t>
        </is>
      </c>
      <c r="DC87" s="115" t="inlineStr">
        <is>
          <t/>
        </is>
      </c>
      <c r="DD87" s="116" t="inlineStr">
        <is>
          <t/>
        </is>
      </c>
      <c r="DE87" s="117" t="inlineStr">
        <is>
          <t/>
        </is>
      </c>
      <c r="DF87" s="118" t="inlineStr">
        <is>
          <t/>
        </is>
      </c>
      <c r="DG87" s="119" t="inlineStr">
        <is>
          <t>0,11x</t>
        </is>
      </c>
      <c r="DH87" s="120" t="inlineStr">
        <is>
          <t>12</t>
        </is>
      </c>
      <c r="DI87" s="121" t="inlineStr">
        <is>
          <t/>
        </is>
      </c>
      <c r="DJ87" s="122" t="inlineStr">
        <is>
          <t/>
        </is>
      </c>
      <c r="DK87" s="123" t="inlineStr">
        <is>
          <t/>
        </is>
      </c>
      <c r="DL87" s="124" t="inlineStr">
        <is>
          <t/>
        </is>
      </c>
      <c r="DM87" s="125" t="inlineStr">
        <is>
          <t/>
        </is>
      </c>
      <c r="DN87" s="126" t="inlineStr">
        <is>
          <t/>
        </is>
      </c>
      <c r="DO87" s="127" t="inlineStr">
        <is>
          <t/>
        </is>
      </c>
      <c r="DP87" s="128" t="inlineStr">
        <is>
          <t/>
        </is>
      </c>
      <c r="DQ87" s="129" t="inlineStr">
        <is>
          <t/>
        </is>
      </c>
      <c r="DR87" s="130" t="inlineStr">
        <is>
          <t/>
        </is>
      </c>
      <c r="DS87" s="131" t="inlineStr">
        <is>
          <t>4</t>
        </is>
      </c>
      <c r="DT87" s="132" t="inlineStr">
        <is>
          <t>0</t>
        </is>
      </c>
      <c r="DU87" s="133" t="inlineStr">
        <is>
          <t>0,00%</t>
        </is>
      </c>
      <c r="DV87" s="134" t="inlineStr">
        <is>
          <t/>
        </is>
      </c>
      <c r="DW87" s="135" t="inlineStr">
        <is>
          <t/>
        </is>
      </c>
      <c r="DX87" s="136" t="inlineStr">
        <is>
          <t/>
        </is>
      </c>
      <c r="DY87" s="137" t="inlineStr">
        <is>
          <t>PitchBook Research</t>
        </is>
      </c>
      <c r="DZ87" s="785">
        <f>HYPERLINK("https://my.pitchbook.com?c=99221-95", "View company online")</f>
      </c>
    </row>
    <row r="88">
      <c r="A88" s="139" t="inlineStr">
        <is>
          <t>127260-19</t>
        </is>
      </c>
      <c r="B88" s="140" t="inlineStr">
        <is>
          <t>Caldan Therapeutics</t>
        </is>
      </c>
      <c r="C88" s="141" t="inlineStr">
        <is>
          <t/>
        </is>
      </c>
      <c r="D88" s="142" t="inlineStr">
        <is>
          <t>Caldan</t>
        </is>
      </c>
      <c r="E88" s="143" t="inlineStr">
        <is>
          <t>127260-19</t>
        </is>
      </c>
      <c r="F88" s="144" t="inlineStr">
        <is>
          <t>Developer of novel therapeutics designed to treat T2 diabetes and other inflammatory diseases. The company's novel therapeutics targets free fatty acid receptors for Type 2 Diabetes (T2D) and other potential indications, enabling markets to address the market need for T2D treatments that address all aspects of the disease, including insulin resistance, pancreatic islet cell failure, inappropriate insulin secretion, and inflammation in muscle, liver and adipose tissue.</t>
        </is>
      </c>
      <c r="G88" s="145" t="inlineStr">
        <is>
          <t>Healthcare</t>
        </is>
      </c>
      <c r="H88" s="146" t="inlineStr">
        <is>
          <t>Pharmaceuticals and Biotechnology</t>
        </is>
      </c>
      <c r="I88" s="147" t="inlineStr">
        <is>
          <t>Drug Discovery</t>
        </is>
      </c>
      <c r="J88" s="148" t="inlineStr">
        <is>
          <t>Drug Discovery*; Pharmaceuticals</t>
        </is>
      </c>
      <c r="K88" s="149" t="inlineStr">
        <is>
          <t>HealthTech</t>
        </is>
      </c>
      <c r="L88" s="150" t="inlineStr">
        <is>
          <t>Venture Capital-Backed</t>
        </is>
      </c>
      <c r="M88" s="151" t="n">
        <v>6.3</v>
      </c>
      <c r="N88" s="152" t="inlineStr">
        <is>
          <t>Startup</t>
        </is>
      </c>
      <c r="O88" s="153" t="inlineStr">
        <is>
          <t>Privately Held (backing)</t>
        </is>
      </c>
      <c r="P88" s="154" t="inlineStr">
        <is>
          <t>Venture Capital</t>
        </is>
      </c>
      <c r="Q88" s="155" t="inlineStr">
        <is>
          <t>www.caldantherapeutics.com</t>
        </is>
      </c>
      <c r="R88" s="156" t="inlineStr">
        <is>
          <t/>
        </is>
      </c>
      <c r="S88" s="157" t="inlineStr">
        <is>
          <t/>
        </is>
      </c>
      <c r="T88" s="158" t="inlineStr">
        <is>
          <t/>
        </is>
      </c>
      <c r="U88" s="159" t="n">
        <v>2015.0</v>
      </c>
      <c r="V88" s="160" t="inlineStr">
        <is>
          <t/>
        </is>
      </c>
      <c r="W88" s="161" t="inlineStr">
        <is>
          <t/>
        </is>
      </c>
      <c r="X88" s="162" t="inlineStr">
        <is>
          <t/>
        </is>
      </c>
      <c r="Y88" s="163" t="inlineStr">
        <is>
          <t/>
        </is>
      </c>
      <c r="Z88" s="164" t="inlineStr">
        <is>
          <t/>
        </is>
      </c>
      <c r="AA88" s="165" t="inlineStr">
        <is>
          <t/>
        </is>
      </c>
      <c r="AB88" s="166" t="inlineStr">
        <is>
          <t/>
        </is>
      </c>
      <c r="AC88" s="167" t="inlineStr">
        <is>
          <t/>
        </is>
      </c>
      <c r="AD88" s="168" t="inlineStr">
        <is>
          <t/>
        </is>
      </c>
      <c r="AE88" s="169" t="inlineStr">
        <is>
          <t>40960-45P</t>
        </is>
      </c>
      <c r="AF88" s="170" t="inlineStr">
        <is>
          <t>Mark Payton</t>
        </is>
      </c>
      <c r="AG88" s="171" t="inlineStr">
        <is>
          <t>Chief Executive Officer</t>
        </is>
      </c>
      <c r="AH88" s="172" t="inlineStr">
        <is>
          <t>mark@caldantherapeutics.co.uk</t>
        </is>
      </c>
      <c r="AI88" s="173" t="inlineStr">
        <is>
          <t>+44 (0)77 0106 7727</t>
        </is>
      </c>
      <c r="AJ88" s="174" t="inlineStr">
        <is>
          <t>Edinburgh, United Kingdom</t>
        </is>
      </c>
      <c r="AK88" s="175" t="inlineStr">
        <is>
          <t>7-11 Melville Street</t>
        </is>
      </c>
      <c r="AL88" s="176" t="inlineStr">
        <is>
          <t/>
        </is>
      </c>
      <c r="AM88" s="177" t="inlineStr">
        <is>
          <t>Edinburgh</t>
        </is>
      </c>
      <c r="AN88" s="178" t="inlineStr">
        <is>
          <t>Scotland</t>
        </is>
      </c>
      <c r="AO88" s="179" t="inlineStr">
        <is>
          <t>EH3 7PE</t>
        </is>
      </c>
      <c r="AP88" s="180" t="inlineStr">
        <is>
          <t>United Kingdom</t>
        </is>
      </c>
      <c r="AQ88" s="181" t="inlineStr">
        <is>
          <t>+44 (0)77 0106 7727</t>
        </is>
      </c>
      <c r="AR88" s="182" t="inlineStr">
        <is>
          <t/>
        </is>
      </c>
      <c r="AS88" s="183" t="inlineStr">
        <is>
          <t>info@caldantherapeutics.co.uk</t>
        </is>
      </c>
      <c r="AT88" s="184" t="inlineStr">
        <is>
          <t>Europe</t>
        </is>
      </c>
      <c r="AU88" s="185" t="inlineStr">
        <is>
          <t>Western Europe</t>
        </is>
      </c>
      <c r="AV88" s="186" t="inlineStr">
        <is>
          <t>The company raised GBP 4.45 million of Series A venture funding in a deal led by Epidarex Capital on November 3, 2015, putting the company's pre-money valuation at GBP 750,400. Eli Lilly, Science Ventures Denmark and Scottish Enterprise also participated in the round. Out of the total funding GBP 2.45 million was raised in the form of debt.</t>
        </is>
      </c>
      <c r="AW88" s="187" t="inlineStr">
        <is>
          <t>Epidarex Capital, Lilly, Science Ventures, Scottish Enterprise</t>
        </is>
      </c>
      <c r="AX88" s="188" t="n">
        <v>4.0</v>
      </c>
      <c r="AY88" s="189" t="inlineStr">
        <is>
          <t/>
        </is>
      </c>
      <c r="AZ88" s="190" t="inlineStr">
        <is>
          <t/>
        </is>
      </c>
      <c r="BA88" s="191" t="inlineStr">
        <is>
          <t/>
        </is>
      </c>
      <c r="BB88" s="192" t="inlineStr">
        <is>
          <t>Epidarex Capital (www.epidarex.com), Lilly (www.lilly.com), Science Ventures (www.scienceventures.dk), Scottish Enterprise (www.scottish-enterprise.com)</t>
        </is>
      </c>
      <c r="BC88" s="193" t="inlineStr">
        <is>
          <t/>
        </is>
      </c>
      <c r="BD88" s="194" t="inlineStr">
        <is>
          <t/>
        </is>
      </c>
      <c r="BE88" s="195" t="inlineStr">
        <is>
          <t>CMS Cameron McKenna (Legal Advisor)</t>
        </is>
      </c>
      <c r="BF88" s="196" t="inlineStr">
        <is>
          <t/>
        </is>
      </c>
      <c r="BG88" s="197" t="n">
        <v>42311.0</v>
      </c>
      <c r="BH88" s="198" t="n">
        <v>6.3</v>
      </c>
      <c r="BI88" s="199" t="inlineStr">
        <is>
          <t>Actual</t>
        </is>
      </c>
      <c r="BJ88" s="200" t="n">
        <v>3.89</v>
      </c>
      <c r="BK88" s="201" t="inlineStr">
        <is>
          <t>Actual</t>
        </is>
      </c>
      <c r="BL88" s="202" t="inlineStr">
        <is>
          <t>Early Stage VC</t>
        </is>
      </c>
      <c r="BM88" s="203" t="inlineStr">
        <is>
          <t>Series A</t>
        </is>
      </c>
      <c r="BN88" s="204" t="inlineStr">
        <is>
          <t/>
        </is>
      </c>
      <c r="BO88" s="205" t="inlineStr">
        <is>
          <t>Venture Capital</t>
        </is>
      </c>
      <c r="BP88" s="206" t="inlineStr">
        <is>
          <t>Other Debt</t>
        </is>
      </c>
      <c r="BQ88" s="207" t="inlineStr">
        <is>
          <t/>
        </is>
      </c>
      <c r="BR88" s="208" t="inlineStr">
        <is>
          <t/>
        </is>
      </c>
      <c r="BS88" s="209" t="inlineStr">
        <is>
          <t>Completed</t>
        </is>
      </c>
      <c r="BT88" s="210" t="n">
        <v>42311.0</v>
      </c>
      <c r="BU88" s="211" t="n">
        <v>6.3</v>
      </c>
      <c r="BV88" s="212" t="inlineStr">
        <is>
          <t>Actual</t>
        </is>
      </c>
      <c r="BW88" s="213" t="n">
        <v>3.89</v>
      </c>
      <c r="BX88" s="214" t="inlineStr">
        <is>
          <t>Actual</t>
        </is>
      </c>
      <c r="BY88" s="215" t="inlineStr">
        <is>
          <t>Early Stage VC</t>
        </is>
      </c>
      <c r="BZ88" s="216" t="inlineStr">
        <is>
          <t>Series A</t>
        </is>
      </c>
      <c r="CA88" s="217" t="inlineStr">
        <is>
          <t/>
        </is>
      </c>
      <c r="CB88" s="218" t="inlineStr">
        <is>
          <t>Venture Capital</t>
        </is>
      </c>
      <c r="CC88" s="219" t="inlineStr">
        <is>
          <t>Other Debt</t>
        </is>
      </c>
      <c r="CD88" s="220" t="inlineStr">
        <is>
          <t/>
        </is>
      </c>
      <c r="CE88" s="221" t="inlineStr">
        <is>
          <t/>
        </is>
      </c>
      <c r="CF88" s="222" t="inlineStr">
        <is>
          <t>Completed</t>
        </is>
      </c>
      <c r="CG88" s="223" t="inlineStr">
        <is>
          <t>0,00%</t>
        </is>
      </c>
      <c r="CH88" s="224" t="inlineStr">
        <is>
          <t>23</t>
        </is>
      </c>
      <c r="CI88" s="225" t="inlineStr">
        <is>
          <t>0,00%</t>
        </is>
      </c>
      <c r="CJ88" s="226" t="inlineStr">
        <is>
          <t>0,00%</t>
        </is>
      </c>
      <c r="CK88" s="227" t="inlineStr">
        <is>
          <t>0,00%</t>
        </is>
      </c>
      <c r="CL88" s="228" t="inlineStr">
        <is>
          <t>18</t>
        </is>
      </c>
      <c r="CM88" s="229" t="inlineStr">
        <is>
          <t>0,00%</t>
        </is>
      </c>
      <c r="CN88" s="230" t="inlineStr">
        <is>
          <t>19</t>
        </is>
      </c>
      <c r="CO88" s="231" t="inlineStr">
        <is>
          <t>0,00%</t>
        </is>
      </c>
      <c r="CP88" s="232" t="inlineStr">
        <is>
          <t>26</t>
        </is>
      </c>
      <c r="CQ88" s="233" t="inlineStr">
        <is>
          <t>0,00%</t>
        </is>
      </c>
      <c r="CR88" s="234" t="inlineStr">
        <is>
          <t>13</t>
        </is>
      </c>
      <c r="CS88" s="235" t="inlineStr">
        <is>
          <t/>
        </is>
      </c>
      <c r="CT88" s="236" t="inlineStr">
        <is>
          <t/>
        </is>
      </c>
      <c r="CU88" s="237" t="inlineStr">
        <is>
          <t>0,00%</t>
        </is>
      </c>
      <c r="CV88" s="238" t="inlineStr">
        <is>
          <t>20</t>
        </is>
      </c>
      <c r="CW88" s="239" t="inlineStr">
        <is>
          <t>0,24x</t>
        </is>
      </c>
      <c r="CX88" s="240" t="inlineStr">
        <is>
          <t>20</t>
        </is>
      </c>
      <c r="CY88" s="241" t="inlineStr">
        <is>
          <t>-0,10x</t>
        </is>
      </c>
      <c r="CZ88" s="242" t="inlineStr">
        <is>
          <t>-29,83%</t>
        </is>
      </c>
      <c r="DA88" s="243" t="inlineStr">
        <is>
          <t>0,38x</t>
        </is>
      </c>
      <c r="DB88" s="244" t="inlineStr">
        <is>
          <t>31</t>
        </is>
      </c>
      <c r="DC88" s="245" t="inlineStr">
        <is>
          <t>0,10x</t>
        </is>
      </c>
      <c r="DD88" s="246" t="inlineStr">
        <is>
          <t>14</t>
        </is>
      </c>
      <c r="DE88" s="247" t="inlineStr">
        <is>
          <t>0,26x</t>
        </is>
      </c>
      <c r="DF88" s="248" t="inlineStr">
        <is>
          <t>23</t>
        </is>
      </c>
      <c r="DG88" s="249" t="inlineStr">
        <is>
          <t>0,50x</t>
        </is>
      </c>
      <c r="DH88" s="250" t="inlineStr">
        <is>
          <t>36</t>
        </is>
      </c>
      <c r="DI88" s="251" t="inlineStr">
        <is>
          <t/>
        </is>
      </c>
      <c r="DJ88" s="252" t="inlineStr">
        <is>
          <t/>
        </is>
      </c>
      <c r="DK88" s="253" t="inlineStr">
        <is>
          <t>0,10x</t>
        </is>
      </c>
      <c r="DL88" s="254" t="inlineStr">
        <is>
          <t>18</t>
        </is>
      </c>
      <c r="DM88" s="255" t="inlineStr">
        <is>
          <t>155</t>
        </is>
      </c>
      <c r="DN88" s="256" t="inlineStr">
        <is>
          <t>4</t>
        </is>
      </c>
      <c r="DO88" s="257" t="inlineStr">
        <is>
          <t>2,65%</t>
        </is>
      </c>
      <c r="DP88" s="258" t="inlineStr">
        <is>
          <t/>
        </is>
      </c>
      <c r="DQ88" s="259" t="inlineStr">
        <is>
          <t/>
        </is>
      </c>
      <c r="DR88" s="260" t="inlineStr">
        <is>
          <t/>
        </is>
      </c>
      <c r="DS88" s="261" t="inlineStr">
        <is>
          <t>17</t>
        </is>
      </c>
      <c r="DT88" s="262" t="inlineStr">
        <is>
          <t>1</t>
        </is>
      </c>
      <c r="DU88" s="263" t="inlineStr">
        <is>
          <t>6,25%</t>
        </is>
      </c>
      <c r="DV88" s="264" t="inlineStr">
        <is>
          <t>35</t>
        </is>
      </c>
      <c r="DW88" s="265" t="inlineStr">
        <is>
          <t>1</t>
        </is>
      </c>
      <c r="DX88" s="266" t="inlineStr">
        <is>
          <t>2,94%</t>
        </is>
      </c>
      <c r="DY88" s="267" t="inlineStr">
        <is>
          <t>PitchBook Research</t>
        </is>
      </c>
      <c r="DZ88" s="786">
        <f>HYPERLINK("https://my.pitchbook.com?c=127260-19", "View company online")</f>
      </c>
    </row>
    <row r="89">
      <c r="A89" s="9" t="inlineStr">
        <is>
          <t>98734-24</t>
        </is>
      </c>
      <c r="B89" s="10" t="inlineStr">
        <is>
          <t>Callsign</t>
        </is>
      </c>
      <c r="C89" s="11" t="inlineStr">
        <is>
          <t/>
        </is>
      </c>
      <c r="D89" s="12" t="inlineStr">
        <is>
          <t/>
        </is>
      </c>
      <c r="E89" s="13" t="inlineStr">
        <is>
          <t>98734-24</t>
        </is>
      </c>
      <c r="F89" s="14" t="inlineStr">
        <is>
          <t>Developer of a artificial intelligence-based authentication platform designed to provide the most secure and seamless authentication experience for enterprises and users. The company's authentication platform enables enterprises to select an authentication journey for each user in real-time, based on their risk profile and tendencies by adapting the type of authentication to the situation virtually eliminating advanced threats.</t>
        </is>
      </c>
      <c r="G89" s="15" t="inlineStr">
        <is>
          <t>Information Technology</t>
        </is>
      </c>
      <c r="H89" s="16" t="inlineStr">
        <is>
          <t>Software</t>
        </is>
      </c>
      <c r="I89" s="17" t="inlineStr">
        <is>
          <t>Network Management Software</t>
        </is>
      </c>
      <c r="J89" s="18" t="inlineStr">
        <is>
          <t>Network Management Software*; Application Software</t>
        </is>
      </c>
      <c r="K89" s="19" t="inlineStr">
        <is>
          <t>Artificial Intelligence &amp; Machine Learning, Cybersecurity, Mobile</t>
        </is>
      </c>
      <c r="L89" s="20" t="inlineStr">
        <is>
          <t>Venture Capital-Backed</t>
        </is>
      </c>
      <c r="M89" s="21" t="n">
        <v>32.94</v>
      </c>
      <c r="N89" s="22" t="inlineStr">
        <is>
          <t>Generating Revenue</t>
        </is>
      </c>
      <c r="O89" s="23" t="inlineStr">
        <is>
          <t>Privately Held (backing)</t>
        </is>
      </c>
      <c r="P89" s="24" t="inlineStr">
        <is>
          <t>Venture Capital</t>
        </is>
      </c>
      <c r="Q89" s="25" t="inlineStr">
        <is>
          <t>www.callsign.com</t>
        </is>
      </c>
      <c r="R89" s="26" t="n">
        <v>44.0</v>
      </c>
      <c r="S89" s="27" t="inlineStr">
        <is>
          <t/>
        </is>
      </c>
      <c r="T89" s="28" t="inlineStr">
        <is>
          <t/>
        </is>
      </c>
      <c r="U89" s="29" t="n">
        <v>2012.0</v>
      </c>
      <c r="V89" s="30" t="inlineStr">
        <is>
          <t/>
        </is>
      </c>
      <c r="W89" s="31" t="inlineStr">
        <is>
          <t/>
        </is>
      </c>
      <c r="X89" s="32" t="inlineStr">
        <is>
          <t/>
        </is>
      </c>
      <c r="Y89" s="33" t="inlineStr">
        <is>
          <t/>
        </is>
      </c>
      <c r="Z89" s="34" t="inlineStr">
        <is>
          <t/>
        </is>
      </c>
      <c r="AA89" s="35" t="inlineStr">
        <is>
          <t/>
        </is>
      </c>
      <c r="AB89" s="36" t="inlineStr">
        <is>
          <t/>
        </is>
      </c>
      <c r="AC89" s="37" t="inlineStr">
        <is>
          <t/>
        </is>
      </c>
      <c r="AD89" s="38" t="inlineStr">
        <is>
          <t/>
        </is>
      </c>
      <c r="AE89" s="39" t="inlineStr">
        <is>
          <t>82630-27P</t>
        </is>
      </c>
      <c r="AF89" s="40" t="inlineStr">
        <is>
          <t>Zia Hayat</t>
        </is>
      </c>
      <c r="AG89" s="41" t="inlineStr">
        <is>
          <t>Founder, Chief Executive Officer &amp; Chairman</t>
        </is>
      </c>
      <c r="AH89" s="42" t="inlineStr">
        <is>
          <t>zia@callsign.com</t>
        </is>
      </c>
      <c r="AI89" s="43" t="inlineStr">
        <is>
          <t/>
        </is>
      </c>
      <c r="AJ89" s="44" t="inlineStr">
        <is>
          <t>London, United Kingdom</t>
        </is>
      </c>
      <c r="AK89" s="45" t="inlineStr">
        <is>
          <t>20 Ropemaker Street</t>
        </is>
      </c>
      <c r="AL89" s="46" t="inlineStr">
        <is>
          <t/>
        </is>
      </c>
      <c r="AM89" s="47" t="inlineStr">
        <is>
          <t>London</t>
        </is>
      </c>
      <c r="AN89" s="48" t="inlineStr">
        <is>
          <t>England</t>
        </is>
      </c>
      <c r="AO89" s="49" t="inlineStr">
        <is>
          <t>EC2Y 9AR</t>
        </is>
      </c>
      <c r="AP89" s="50" t="inlineStr">
        <is>
          <t>United Kingdom</t>
        </is>
      </c>
      <c r="AQ89" s="51" t="inlineStr">
        <is>
          <t/>
        </is>
      </c>
      <c r="AR89" s="52" t="inlineStr">
        <is>
          <t/>
        </is>
      </c>
      <c r="AS89" s="53" t="inlineStr">
        <is>
          <t>info@callsign.com</t>
        </is>
      </c>
      <c r="AT89" s="54" t="inlineStr">
        <is>
          <t>Europe</t>
        </is>
      </c>
      <c r="AU89" s="55" t="inlineStr">
        <is>
          <t>Western Europe</t>
        </is>
      </c>
      <c r="AV89" s="56" t="inlineStr">
        <is>
          <t>The company raised $35 million of Series A venture funding in a round co-led by Accel and PTB Ventures on July 27, 2017. Allegis Capital and NightDragon Security also participated in this round. The new investment will help accelerate the growth of the company with plans to open offices in both the Bay Area and New York City in the next few months and building out its engineering and commercial teams as well, including sales, marketing and business development roles.</t>
        </is>
      </c>
      <c r="AW89" s="57" t="inlineStr">
        <is>
          <t>Accel, Allegis Capital, Atlantic Bridge Capital, Breed Reply, Deutsche Telekom Capital Partners, Deutsche Telekom Strategic Investments, NightDragon Security, PTB Ventures, Qualcomm Ventures, Randall Kruep, Sand Hill East</t>
        </is>
      </c>
      <c r="AX89" s="58" t="n">
        <v>11.0</v>
      </c>
      <c r="AY89" s="59" t="inlineStr">
        <is>
          <t/>
        </is>
      </c>
      <c r="AZ89" s="60" t="inlineStr">
        <is>
          <t/>
        </is>
      </c>
      <c r="BA89" s="61" t="inlineStr">
        <is>
          <t/>
        </is>
      </c>
      <c r="BB89" s="62" t="inlineStr">
        <is>
          <t>Accel (www.accel.com), Allegis Capital (www.allegiscap.com), Atlantic Bridge Capital (www.abven.com), Breed Reply (www.breedreply.com), Deutsche Telekom Capital Partners (www.telekom-capital.com), PTB Ventures (www.ptbvc.com), Qualcomm Ventures (www.qualcommventures.com), Sand Hill East (www.sandhilleast.net)</t>
        </is>
      </c>
      <c r="BC89" s="63" t="inlineStr">
        <is>
          <t/>
        </is>
      </c>
      <c r="BD89" s="64" t="inlineStr">
        <is>
          <t/>
        </is>
      </c>
      <c r="BE89" s="65" t="inlineStr">
        <is>
          <t>Sand Hill East (Consulting)</t>
        </is>
      </c>
      <c r="BF89" s="66" t="inlineStr">
        <is>
          <t/>
        </is>
      </c>
      <c r="BG89" s="67" t="inlineStr">
        <is>
          <t/>
        </is>
      </c>
      <c r="BH89" s="68" t="n">
        <v>2.54</v>
      </c>
      <c r="BI89" s="69" t="inlineStr">
        <is>
          <t>Actual</t>
        </is>
      </c>
      <c r="BJ89" s="70" t="inlineStr">
        <is>
          <t/>
        </is>
      </c>
      <c r="BK89" s="71" t="inlineStr">
        <is>
          <t/>
        </is>
      </c>
      <c r="BL89" s="72" t="inlineStr">
        <is>
          <t>Early Stage VC</t>
        </is>
      </c>
      <c r="BM89" s="73" t="inlineStr">
        <is>
          <t/>
        </is>
      </c>
      <c r="BN89" s="74" t="inlineStr">
        <is>
          <t/>
        </is>
      </c>
      <c r="BO89" s="75" t="inlineStr">
        <is>
          <t>Venture Capital</t>
        </is>
      </c>
      <c r="BP89" s="76" t="inlineStr">
        <is>
          <t/>
        </is>
      </c>
      <c r="BQ89" s="77" t="inlineStr">
        <is>
          <t/>
        </is>
      </c>
      <c r="BR89" s="78" t="inlineStr">
        <is>
          <t/>
        </is>
      </c>
      <c r="BS89" s="79" t="inlineStr">
        <is>
          <t>Completed</t>
        </is>
      </c>
      <c r="BT89" s="80" t="n">
        <v>42943.0</v>
      </c>
      <c r="BU89" s="81" t="n">
        <v>30.4</v>
      </c>
      <c r="BV89" s="82" t="inlineStr">
        <is>
          <t>Actual</t>
        </is>
      </c>
      <c r="BW89" s="83" t="inlineStr">
        <is>
          <t/>
        </is>
      </c>
      <c r="BX89" s="84" t="inlineStr">
        <is>
          <t/>
        </is>
      </c>
      <c r="BY89" s="85" t="inlineStr">
        <is>
          <t>Early Stage VC</t>
        </is>
      </c>
      <c r="BZ89" s="86" t="inlineStr">
        <is>
          <t>Series A</t>
        </is>
      </c>
      <c r="CA89" s="87" t="inlineStr">
        <is>
          <t/>
        </is>
      </c>
      <c r="CB89" s="88" t="inlineStr">
        <is>
          <t>Venture Capital</t>
        </is>
      </c>
      <c r="CC89" s="89" t="inlineStr">
        <is>
          <t/>
        </is>
      </c>
      <c r="CD89" s="90" t="inlineStr">
        <is>
          <t/>
        </is>
      </c>
      <c r="CE89" s="91" t="inlineStr">
        <is>
          <t/>
        </is>
      </c>
      <c r="CF89" s="92" t="inlineStr">
        <is>
          <t>Completed</t>
        </is>
      </c>
      <c r="CG89" s="93" t="inlineStr">
        <is>
          <t>4,18%</t>
        </is>
      </c>
      <c r="CH89" s="94" t="inlineStr">
        <is>
          <t>97</t>
        </is>
      </c>
      <c r="CI89" s="95" t="inlineStr">
        <is>
          <t>0,02%</t>
        </is>
      </c>
      <c r="CJ89" s="96" t="inlineStr">
        <is>
          <t>0,37%</t>
        </is>
      </c>
      <c r="CK89" s="97" t="inlineStr">
        <is>
          <t>7,15%</t>
        </is>
      </c>
      <c r="CL89" s="98" t="inlineStr">
        <is>
          <t>98</t>
        </is>
      </c>
      <c r="CM89" s="99" t="inlineStr">
        <is>
          <t>1,21%</t>
        </is>
      </c>
      <c r="CN89" s="100" t="inlineStr">
        <is>
          <t>97</t>
        </is>
      </c>
      <c r="CO89" s="101" t="inlineStr">
        <is>
          <t>9,77%</t>
        </is>
      </c>
      <c r="CP89" s="102" t="inlineStr">
        <is>
          <t>99</t>
        </is>
      </c>
      <c r="CQ89" s="103" t="inlineStr">
        <is>
          <t>4,53%</t>
        </is>
      </c>
      <c r="CR89" s="104" t="inlineStr">
        <is>
          <t>94</t>
        </is>
      </c>
      <c r="CS89" s="105" t="inlineStr">
        <is>
          <t>0,91%</t>
        </is>
      </c>
      <c r="CT89" s="106" t="inlineStr">
        <is>
          <t>94</t>
        </is>
      </c>
      <c r="CU89" s="107" t="inlineStr">
        <is>
          <t>1,51%</t>
        </is>
      </c>
      <c r="CV89" s="108" t="inlineStr">
        <is>
          <t>98</t>
        </is>
      </c>
      <c r="CW89" s="109" t="inlineStr">
        <is>
          <t>2,54x</t>
        </is>
      </c>
      <c r="CX89" s="110" t="inlineStr">
        <is>
          <t>68</t>
        </is>
      </c>
      <c r="CY89" s="111" t="inlineStr">
        <is>
          <t>0,05x</t>
        </is>
      </c>
      <c r="CZ89" s="112" t="inlineStr">
        <is>
          <t>2,15%</t>
        </is>
      </c>
      <c r="DA89" s="113" t="inlineStr">
        <is>
          <t>3,68x</t>
        </is>
      </c>
      <c r="DB89" s="114" t="inlineStr">
        <is>
          <t>76</t>
        </is>
      </c>
      <c r="DC89" s="115" t="inlineStr">
        <is>
          <t>1,39x</t>
        </is>
      </c>
      <c r="DD89" s="116" t="inlineStr">
        <is>
          <t>54</t>
        </is>
      </c>
      <c r="DE89" s="117" t="inlineStr">
        <is>
          <t>3,41x</t>
        </is>
      </c>
      <c r="DF89" s="118" t="inlineStr">
        <is>
          <t>72</t>
        </is>
      </c>
      <c r="DG89" s="119" t="inlineStr">
        <is>
          <t>3,94x</t>
        </is>
      </c>
      <c r="DH89" s="120" t="inlineStr">
        <is>
          <t>75</t>
        </is>
      </c>
      <c r="DI89" s="121" t="inlineStr">
        <is>
          <t>1,46x</t>
        </is>
      </c>
      <c r="DJ89" s="122" t="inlineStr">
        <is>
          <t>57</t>
        </is>
      </c>
      <c r="DK89" s="123" t="inlineStr">
        <is>
          <t>1,32x</t>
        </is>
      </c>
      <c r="DL89" s="124" t="inlineStr">
        <is>
          <t>55</t>
        </is>
      </c>
      <c r="DM89" s="125" t="inlineStr">
        <is>
          <t>2.108</t>
        </is>
      </c>
      <c r="DN89" s="126" t="inlineStr">
        <is>
          <t>-26</t>
        </is>
      </c>
      <c r="DO89" s="127" t="inlineStr">
        <is>
          <t>-1,22%</t>
        </is>
      </c>
      <c r="DP89" s="128" t="inlineStr">
        <is>
          <t>1.163</t>
        </is>
      </c>
      <c r="DQ89" s="129" t="inlineStr">
        <is>
          <t>6</t>
        </is>
      </c>
      <c r="DR89" s="130" t="inlineStr">
        <is>
          <t>0,52%</t>
        </is>
      </c>
      <c r="DS89" s="131" t="inlineStr">
        <is>
          <t>141</t>
        </is>
      </c>
      <c r="DT89" s="132" t="inlineStr">
        <is>
          <t>2</t>
        </is>
      </c>
      <c r="DU89" s="133" t="inlineStr">
        <is>
          <t>1,44%</t>
        </is>
      </c>
      <c r="DV89" s="134" t="inlineStr">
        <is>
          <t>455</t>
        </is>
      </c>
      <c r="DW89" s="135" t="inlineStr">
        <is>
          <t>0</t>
        </is>
      </c>
      <c r="DX89" s="136" t="inlineStr">
        <is>
          <t>0,00%</t>
        </is>
      </c>
      <c r="DY89" s="137" t="inlineStr">
        <is>
          <t>PitchBook Research</t>
        </is>
      </c>
      <c r="DZ89" s="785">
        <f>HYPERLINK("https://my.pitchbook.com?c=98734-24", "View company online")</f>
      </c>
    </row>
    <row r="90">
      <c r="A90" s="139" t="inlineStr">
        <is>
          <t>136803-16</t>
        </is>
      </c>
      <c r="B90" s="140" t="inlineStr">
        <is>
          <t>Cambridge Medical Robotics</t>
        </is>
      </c>
      <c r="C90" s="141" t="inlineStr">
        <is>
          <t/>
        </is>
      </c>
      <c r="D90" s="142" t="inlineStr">
        <is>
          <t/>
        </is>
      </c>
      <c r="E90" s="143" t="inlineStr">
        <is>
          <t>136803-16</t>
        </is>
      </c>
      <c r="F90" s="144" t="inlineStr">
        <is>
          <t>Developer of robotic system for minimal access surgery. The company develops robotic systems for keyhole surgery.</t>
        </is>
      </c>
      <c r="G90" s="145" t="inlineStr">
        <is>
          <t>Healthcare</t>
        </is>
      </c>
      <c r="H90" s="146" t="inlineStr">
        <is>
          <t>Healthcare Devices and Supplies</t>
        </is>
      </c>
      <c r="I90" s="147" t="inlineStr">
        <is>
          <t>Surgical Devices</t>
        </is>
      </c>
      <c r="J90" s="148" t="inlineStr">
        <is>
          <t>Surgical Devices*; Medical Supplies; Other Devices and Supplies</t>
        </is>
      </c>
      <c r="K90" s="149" t="inlineStr">
        <is>
          <t/>
        </is>
      </c>
      <c r="L90" s="150" t="inlineStr">
        <is>
          <t>Venture Capital-Backed</t>
        </is>
      </c>
      <c r="M90" s="151" t="n">
        <v>18.56</v>
      </c>
      <c r="N90" s="152" t="inlineStr">
        <is>
          <t>Product Development</t>
        </is>
      </c>
      <c r="O90" s="153" t="inlineStr">
        <is>
          <t>Privately Held (backing)</t>
        </is>
      </c>
      <c r="P90" s="154" t="inlineStr">
        <is>
          <t>Venture Capital, M&amp;A</t>
        </is>
      </c>
      <c r="Q90" s="155" t="inlineStr">
        <is>
          <t>cmedrobotics.com</t>
        </is>
      </c>
      <c r="R90" s="156" t="n">
        <v>48.0</v>
      </c>
      <c r="S90" s="157" t="inlineStr">
        <is>
          <t/>
        </is>
      </c>
      <c r="T90" s="158" t="inlineStr">
        <is>
          <t/>
        </is>
      </c>
      <c r="U90" s="159" t="n">
        <v>2014.0</v>
      </c>
      <c r="V90" s="160" t="inlineStr">
        <is>
          <t/>
        </is>
      </c>
      <c r="W90" s="161" t="inlineStr">
        <is>
          <t/>
        </is>
      </c>
      <c r="X90" s="162" t="inlineStr">
        <is>
          <t/>
        </is>
      </c>
      <c r="Y90" s="163" t="inlineStr">
        <is>
          <t/>
        </is>
      </c>
      <c r="Z90" s="164" t="inlineStr">
        <is>
          <t/>
        </is>
      </c>
      <c r="AA90" s="165" t="n">
        <v>-6.28915</v>
      </c>
      <c r="AB90" s="166" t="inlineStr">
        <is>
          <t/>
        </is>
      </c>
      <c r="AC90" s="167" t="n">
        <v>-7.40849</v>
      </c>
      <c r="AD90" s="168" t="inlineStr">
        <is>
          <t>FY 2016</t>
        </is>
      </c>
      <c r="AE90" s="169" t="inlineStr">
        <is>
          <t>140392-72P</t>
        </is>
      </c>
      <c r="AF90" s="170" t="inlineStr">
        <is>
          <t>Martin Frost</t>
        </is>
      </c>
      <c r="AG90" s="171" t="inlineStr">
        <is>
          <t>Board Member, Co-Founder &amp; Chief Executive Officer</t>
        </is>
      </c>
      <c r="AH90" s="172" t="inlineStr">
        <is>
          <t>martin.frost@cmedrobotics.com</t>
        </is>
      </c>
      <c r="AI90" s="173" t="inlineStr">
        <is>
          <t>+44 (0)12 2375 5300</t>
        </is>
      </c>
      <c r="AJ90" s="174" t="inlineStr">
        <is>
          <t>Cambridge, United Kingdom</t>
        </is>
      </c>
      <c r="AK90" s="175" t="inlineStr">
        <is>
          <t>Unit 2, Crome Lea Business Park</t>
        </is>
      </c>
      <c r="AL90" s="176" t="inlineStr">
        <is>
          <t>Madingley Road</t>
        </is>
      </c>
      <c r="AM90" s="177" t="inlineStr">
        <is>
          <t>Cambridge</t>
        </is>
      </c>
      <c r="AN90" s="178" t="inlineStr">
        <is>
          <t>England</t>
        </is>
      </c>
      <c r="AO90" s="179" t="inlineStr">
        <is>
          <t>CB23 7PH</t>
        </is>
      </c>
      <c r="AP90" s="180" t="inlineStr">
        <is>
          <t>United Kingdom</t>
        </is>
      </c>
      <c r="AQ90" s="181" t="inlineStr">
        <is>
          <t>+44 (0)12 2375 5300</t>
        </is>
      </c>
      <c r="AR90" s="182" t="inlineStr">
        <is>
          <t/>
        </is>
      </c>
      <c r="AS90" s="183" t="inlineStr">
        <is>
          <t>info@cmedrobotics.com</t>
        </is>
      </c>
      <c r="AT90" s="184" t="inlineStr">
        <is>
          <t>Europe</t>
        </is>
      </c>
      <c r="AU90" s="185" t="inlineStr">
        <is>
          <t>Western Europe</t>
        </is>
      </c>
      <c r="AV90" s="186" t="inlineStr">
        <is>
          <t>The company raised GBP 22.13 million of venture funding from undisclosed investors on August 10, 2017, putting the pre-money valuation at GBP 47.5 million. Previously, the company raised GBP 15.3 million of Series A venture funding from ABB Technology Ventures, LGT Group and Cambridge Innovation Capital on July 18, 2016, putting the pre-money valuation at GBP 21.6 million. The company intends to use the funds to progress development and commercialization of its medical robotic technology and expand its team.</t>
        </is>
      </c>
      <c r="AW90" s="187" t="inlineStr">
        <is>
          <t>ABB Technology Ventures, Cambridge Innovation Capital, Escala Capital, LGT Group</t>
        </is>
      </c>
      <c r="AX90" s="188" t="n">
        <v>4.0</v>
      </c>
      <c r="AY90" s="189" t="inlineStr">
        <is>
          <t/>
        </is>
      </c>
      <c r="AZ90" s="190" t="inlineStr">
        <is>
          <t/>
        </is>
      </c>
      <c r="BA90" s="191" t="inlineStr">
        <is>
          <t/>
        </is>
      </c>
      <c r="BB90" s="192" t="inlineStr">
        <is>
          <t>Cambridge Innovation Capital (www.cicplc.co.uk), LGT Group (www.lgt.com)</t>
        </is>
      </c>
      <c r="BC90" s="193" t="inlineStr">
        <is>
          <t/>
        </is>
      </c>
      <c r="BD90" s="194" t="inlineStr">
        <is>
          <t/>
        </is>
      </c>
      <c r="BE90" s="195" t="inlineStr">
        <is>
          <t>Santander UK (General Business Banking), SVB Capital (General Business Banking), Grant Thornton UK (Auditor), Vincent Sykes &amp; Higham (Legal Advisor)</t>
        </is>
      </c>
      <c r="BF90" s="196" t="inlineStr">
        <is>
          <t>Mooreland Partners (Advisor)</t>
        </is>
      </c>
      <c r="BG90" s="197" t="n">
        <v>41943.0</v>
      </c>
      <c r="BH90" s="198" t="n">
        <v>0.03</v>
      </c>
      <c r="BI90" s="199" t="inlineStr">
        <is>
          <t>Actual</t>
        </is>
      </c>
      <c r="BJ90" s="200" t="n">
        <v>4.09</v>
      </c>
      <c r="BK90" s="201" t="inlineStr">
        <is>
          <t>Actual</t>
        </is>
      </c>
      <c r="BL90" s="202" t="inlineStr">
        <is>
          <t>Seed Round</t>
        </is>
      </c>
      <c r="BM90" s="203" t="inlineStr">
        <is>
          <t>Seed</t>
        </is>
      </c>
      <c r="BN90" s="204" t="inlineStr">
        <is>
          <t/>
        </is>
      </c>
      <c r="BO90" s="205" t="inlineStr">
        <is>
          <t>Corporate</t>
        </is>
      </c>
      <c r="BP90" s="206" t="inlineStr">
        <is>
          <t/>
        </is>
      </c>
      <c r="BQ90" s="207" t="inlineStr">
        <is>
          <t/>
        </is>
      </c>
      <c r="BR90" s="208" t="inlineStr">
        <is>
          <t/>
        </is>
      </c>
      <c r="BS90" s="209" t="inlineStr">
        <is>
          <t>Completed</t>
        </is>
      </c>
      <c r="BT90" s="210" t="n">
        <v>42719.0</v>
      </c>
      <c r="BU90" s="211" t="n">
        <v>18.13</v>
      </c>
      <c r="BV90" s="212" t="inlineStr">
        <is>
          <t>Actual</t>
        </is>
      </c>
      <c r="BW90" s="213" t="n">
        <v>43.75</v>
      </c>
      <c r="BX90" s="214" t="inlineStr">
        <is>
          <t>Actual</t>
        </is>
      </c>
      <c r="BY90" s="215" t="inlineStr">
        <is>
          <t>Early Stage VC</t>
        </is>
      </c>
      <c r="BZ90" s="216" t="inlineStr">
        <is>
          <t>Series A</t>
        </is>
      </c>
      <c r="CA90" s="217" t="inlineStr">
        <is>
          <t/>
        </is>
      </c>
      <c r="CB90" s="218" t="inlineStr">
        <is>
          <t>Venture Capital</t>
        </is>
      </c>
      <c r="CC90" s="219" t="inlineStr">
        <is>
          <t/>
        </is>
      </c>
      <c r="CD90" s="220" t="inlineStr">
        <is>
          <t/>
        </is>
      </c>
      <c r="CE90" s="221" t="inlineStr">
        <is>
          <t/>
        </is>
      </c>
      <c r="CF90" s="222" t="inlineStr">
        <is>
          <t>Completed</t>
        </is>
      </c>
      <c r="CG90" s="223" t="inlineStr">
        <is>
          <t>2,43%</t>
        </is>
      </c>
      <c r="CH90" s="224" t="inlineStr">
        <is>
          <t>95</t>
        </is>
      </c>
      <c r="CI90" s="225" t="inlineStr">
        <is>
          <t>0,08%</t>
        </is>
      </c>
      <c r="CJ90" s="226" t="inlineStr">
        <is>
          <t>3,52%</t>
        </is>
      </c>
      <c r="CK90" s="227" t="inlineStr">
        <is>
          <t>2,99%</t>
        </is>
      </c>
      <c r="CL90" s="228" t="inlineStr">
        <is>
          <t>93</t>
        </is>
      </c>
      <c r="CM90" s="229" t="inlineStr">
        <is>
          <t>1,88%</t>
        </is>
      </c>
      <c r="CN90" s="230" t="inlineStr">
        <is>
          <t>98</t>
        </is>
      </c>
      <c r="CO90" s="231" t="inlineStr">
        <is>
          <t>5,97%</t>
        </is>
      </c>
      <c r="CP90" s="232" t="inlineStr">
        <is>
          <t>97</t>
        </is>
      </c>
      <c r="CQ90" s="233" t="inlineStr">
        <is>
          <t>0,00%</t>
        </is>
      </c>
      <c r="CR90" s="234" t="inlineStr">
        <is>
          <t>13</t>
        </is>
      </c>
      <c r="CS90" s="235" t="inlineStr">
        <is>
          <t/>
        </is>
      </c>
      <c r="CT90" s="236" t="inlineStr">
        <is>
          <t/>
        </is>
      </c>
      <c r="CU90" s="237" t="inlineStr">
        <is>
          <t>1,88%</t>
        </is>
      </c>
      <c r="CV90" s="238" t="inlineStr">
        <is>
          <t>99</t>
        </is>
      </c>
      <c r="CW90" s="239" t="inlineStr">
        <is>
          <t>2,27x</t>
        </is>
      </c>
      <c r="CX90" s="240" t="inlineStr">
        <is>
          <t>66</t>
        </is>
      </c>
      <c r="CY90" s="241" t="inlineStr">
        <is>
          <t>0,06x</t>
        </is>
      </c>
      <c r="CZ90" s="242" t="inlineStr">
        <is>
          <t>2,56%</t>
        </is>
      </c>
      <c r="DA90" s="243" t="inlineStr">
        <is>
          <t>2,82x</t>
        </is>
      </c>
      <c r="DB90" s="244" t="inlineStr">
        <is>
          <t>72</t>
        </is>
      </c>
      <c r="DC90" s="245" t="inlineStr">
        <is>
          <t>1,72x</t>
        </is>
      </c>
      <c r="DD90" s="246" t="inlineStr">
        <is>
          <t>58</t>
        </is>
      </c>
      <c r="DE90" s="247" t="inlineStr">
        <is>
          <t>4,34x</t>
        </is>
      </c>
      <c r="DF90" s="248" t="inlineStr">
        <is>
          <t>75</t>
        </is>
      </c>
      <c r="DG90" s="249" t="inlineStr">
        <is>
          <t>1,31x</t>
        </is>
      </c>
      <c r="DH90" s="250" t="inlineStr">
        <is>
          <t>56</t>
        </is>
      </c>
      <c r="DI90" s="251" t="inlineStr">
        <is>
          <t/>
        </is>
      </c>
      <c r="DJ90" s="252" t="inlineStr">
        <is>
          <t/>
        </is>
      </c>
      <c r="DK90" s="253" t="inlineStr">
        <is>
          <t>1,72x</t>
        </is>
      </c>
      <c r="DL90" s="254" t="inlineStr">
        <is>
          <t>60</t>
        </is>
      </c>
      <c r="DM90" s="255" t="inlineStr">
        <is>
          <t>2.639</t>
        </is>
      </c>
      <c r="DN90" s="256" t="inlineStr">
        <is>
          <t>93</t>
        </is>
      </c>
      <c r="DO90" s="257" t="inlineStr">
        <is>
          <t>3,65%</t>
        </is>
      </c>
      <c r="DP90" s="258" t="inlineStr">
        <is>
          <t/>
        </is>
      </c>
      <c r="DQ90" s="259" t="inlineStr">
        <is>
          <t/>
        </is>
      </c>
      <c r="DR90" s="260" t="inlineStr">
        <is>
          <t/>
        </is>
      </c>
      <c r="DS90" s="261" t="inlineStr">
        <is>
          <t>46</t>
        </is>
      </c>
      <c r="DT90" s="262" t="inlineStr">
        <is>
          <t>2</t>
        </is>
      </c>
      <c r="DU90" s="263" t="inlineStr">
        <is>
          <t>4,55%</t>
        </is>
      </c>
      <c r="DV90" s="264" t="inlineStr">
        <is>
          <t>583</t>
        </is>
      </c>
      <c r="DW90" s="265" t="inlineStr">
        <is>
          <t>11</t>
        </is>
      </c>
      <c r="DX90" s="266" t="inlineStr">
        <is>
          <t>1,92%</t>
        </is>
      </c>
      <c r="DY90" s="267" t="inlineStr">
        <is>
          <t>PitchBook Research</t>
        </is>
      </c>
      <c r="DZ90" s="786">
        <f>HYPERLINK("https://my.pitchbook.com?c=136803-16", "View company online")</f>
      </c>
    </row>
    <row r="91">
      <c r="A91" s="9" t="inlineStr">
        <is>
          <t>98221-42</t>
        </is>
      </c>
      <c r="B91" s="10" t="inlineStr">
        <is>
          <t>Campanda</t>
        </is>
      </c>
      <c r="C91" s="11" t="inlineStr">
        <is>
          <t/>
        </is>
      </c>
      <c r="D91" s="12" t="inlineStr">
        <is>
          <t/>
        </is>
      </c>
      <c r="E91" s="13" t="inlineStr">
        <is>
          <t>98221-42</t>
        </is>
      </c>
      <c r="F91" s="14" t="inlineStr">
        <is>
          <t>Provider of a vehicle rental platform. The company engages in providing a online platform that facilitates motorhomes and trailers rentals in 31 countries.</t>
        </is>
      </c>
      <c r="G91" s="15" t="inlineStr">
        <is>
          <t>Consumer Products and Services (B2C)</t>
        </is>
      </c>
      <c r="H91" s="16" t="inlineStr">
        <is>
          <t>Retail</t>
        </is>
      </c>
      <c r="I91" s="17" t="inlineStr">
        <is>
          <t>Internet Retail</t>
        </is>
      </c>
      <c r="J91" s="18" t="inlineStr">
        <is>
          <t>Internet Retail*; Other Services (B2C Non-Financial); Automotive</t>
        </is>
      </c>
      <c r="K91" s="19" t="inlineStr">
        <is>
          <t>Mobile</t>
        </is>
      </c>
      <c r="L91" s="20" t="inlineStr">
        <is>
          <t>Venture Capital-Backed</t>
        </is>
      </c>
      <c r="M91" s="21" t="n">
        <v>17.2</v>
      </c>
      <c r="N91" s="22" t="inlineStr">
        <is>
          <t>Generating Revenue</t>
        </is>
      </c>
      <c r="O91" s="23" t="inlineStr">
        <is>
          <t>Privately Held (backing)</t>
        </is>
      </c>
      <c r="P91" s="24" t="inlineStr">
        <is>
          <t>Venture Capital</t>
        </is>
      </c>
      <c r="Q91" s="25" t="inlineStr">
        <is>
          <t>www.campanda.com</t>
        </is>
      </c>
      <c r="R91" s="26" t="n">
        <v>45.0</v>
      </c>
      <c r="S91" s="27" t="inlineStr">
        <is>
          <t/>
        </is>
      </c>
      <c r="T91" s="28" t="inlineStr">
        <is>
          <t/>
        </is>
      </c>
      <c r="U91" s="29" t="n">
        <v>2013.0</v>
      </c>
      <c r="V91" s="30" t="inlineStr">
        <is>
          <t/>
        </is>
      </c>
      <c r="W91" s="31" t="inlineStr">
        <is>
          <t/>
        </is>
      </c>
      <c r="X91" s="32" t="inlineStr">
        <is>
          <t/>
        </is>
      </c>
      <c r="Y91" s="33" t="inlineStr">
        <is>
          <t/>
        </is>
      </c>
      <c r="Z91" s="34" t="inlineStr">
        <is>
          <t/>
        </is>
      </c>
      <c r="AA91" s="35" t="inlineStr">
        <is>
          <t/>
        </is>
      </c>
      <c r="AB91" s="36" t="inlineStr">
        <is>
          <t/>
        </is>
      </c>
      <c r="AC91" s="37" t="inlineStr">
        <is>
          <t/>
        </is>
      </c>
      <c r="AD91" s="38" t="inlineStr">
        <is>
          <t/>
        </is>
      </c>
      <c r="AE91" s="39" t="inlineStr">
        <is>
          <t>57004-66P</t>
        </is>
      </c>
      <c r="AF91" s="40" t="inlineStr">
        <is>
          <t>Chris Moller</t>
        </is>
      </c>
      <c r="AG91" s="41" t="inlineStr">
        <is>
          <t>Founder &amp; Chief Executive Officer</t>
        </is>
      </c>
      <c r="AH91" s="42" t="inlineStr">
        <is>
          <t>chris@campanda.com</t>
        </is>
      </c>
      <c r="AI91" s="43" t="inlineStr">
        <is>
          <t>+49 (0)30 8095 2044 4</t>
        </is>
      </c>
      <c r="AJ91" s="44" t="inlineStr">
        <is>
          <t>Berlin, Germany</t>
        </is>
      </c>
      <c r="AK91" s="45" t="inlineStr">
        <is>
          <t>Uhlandstrasse 175</t>
        </is>
      </c>
      <c r="AL91" s="46" t="inlineStr">
        <is>
          <t/>
        </is>
      </c>
      <c r="AM91" s="47" t="inlineStr">
        <is>
          <t>Berlin</t>
        </is>
      </c>
      <c r="AN91" s="48" t="inlineStr">
        <is>
          <t/>
        </is>
      </c>
      <c r="AO91" s="49" t="inlineStr">
        <is>
          <t>10719</t>
        </is>
      </c>
      <c r="AP91" s="50" t="inlineStr">
        <is>
          <t>Germany</t>
        </is>
      </c>
      <c r="AQ91" s="51" t="inlineStr">
        <is>
          <t>+49 (0)30 8095 2044 4</t>
        </is>
      </c>
      <c r="AR91" s="52" t="inlineStr">
        <is>
          <t/>
        </is>
      </c>
      <c r="AS91" s="53" t="inlineStr">
        <is>
          <t>info@campanda.com</t>
        </is>
      </c>
      <c r="AT91" s="54" t="inlineStr">
        <is>
          <t>Europe</t>
        </is>
      </c>
      <c r="AU91" s="55" t="inlineStr">
        <is>
          <t>Western Europe</t>
        </is>
      </c>
      <c r="AV91" s="56" t="inlineStr">
        <is>
          <t>The company raised EUR 10 million of Series B venture funding in a deal led by Michelin Travel Partner on January 10, 2017. Atlantic Labs, b-to-v Partners, Ecomobility Ventures, Groupe Arnault, Accel Partners, IDInvest Partners, Ringier Digital Ventures and Le Peigné SA also participated in the round. The funds will be used to expand its current team to enter new geographical markets and to increase the supply side which currently sits at 26,258 vehicles.</t>
        </is>
      </c>
      <c r="AW91" s="57" t="inlineStr">
        <is>
          <t>Accel, Atlantic Labs, btov Partners, Christophe Maire, Ecomobility Ventures, Eric Wahlforss, Groupe Arnault, IdInvest Partners, Le Peigné, Michelin Development, Möller Ventures, Monkfish Equity, Oliver Weyergraf, Ringier Digital Ventures, TA Ventures</t>
        </is>
      </c>
      <c r="AX91" s="58" t="n">
        <v>15.0</v>
      </c>
      <c r="AY91" s="59" t="inlineStr">
        <is>
          <t/>
        </is>
      </c>
      <c r="AZ91" s="60" t="inlineStr">
        <is>
          <t/>
        </is>
      </c>
      <c r="BA91" s="61" t="inlineStr">
        <is>
          <t/>
        </is>
      </c>
      <c r="BB91" s="62" t="inlineStr">
        <is>
          <t>Accel (www.accel.com), Atlantic Labs (www.atlanticlabs.de), btov Partners (www.btov.vc), Ecomobility Ventures (www.ecomobility-ventures.com), Eric Wahlforss (eric.wahlforss.com), IdInvest Partners (www.idinvest.com), Michelin Development (www.michelindevelopment.co.uk), Möller Ventures (www.moeller-ventures.de), Monkfish Equity (www.monkfish-equity.com), TA Ventures (www.taventures.vc)</t>
        </is>
      </c>
      <c r="BC91" s="63" t="inlineStr">
        <is>
          <t/>
        </is>
      </c>
      <c r="BD91" s="64" t="inlineStr">
        <is>
          <t/>
        </is>
      </c>
      <c r="BE91" s="65" t="inlineStr">
        <is>
          <t/>
        </is>
      </c>
      <c r="BF91" s="66" t="inlineStr">
        <is>
          <t/>
        </is>
      </c>
      <c r="BG91" s="67" t="n">
        <v>41596.0</v>
      </c>
      <c r="BH91" s="68" t="n">
        <v>2.2</v>
      </c>
      <c r="BI91" s="69" t="inlineStr">
        <is>
          <t>Actual</t>
        </is>
      </c>
      <c r="BJ91" s="70" t="inlineStr">
        <is>
          <t/>
        </is>
      </c>
      <c r="BK91" s="71" t="inlineStr">
        <is>
          <t/>
        </is>
      </c>
      <c r="BL91" s="72" t="inlineStr">
        <is>
          <t>Early Stage VC</t>
        </is>
      </c>
      <c r="BM91" s="73" t="inlineStr">
        <is>
          <t/>
        </is>
      </c>
      <c r="BN91" s="74" t="inlineStr">
        <is>
          <t/>
        </is>
      </c>
      <c r="BO91" s="75" t="inlineStr">
        <is>
          <t>Venture Capital</t>
        </is>
      </c>
      <c r="BP91" s="76" t="inlineStr">
        <is>
          <t/>
        </is>
      </c>
      <c r="BQ91" s="77" t="inlineStr">
        <is>
          <t/>
        </is>
      </c>
      <c r="BR91" s="78" t="inlineStr">
        <is>
          <t/>
        </is>
      </c>
      <c r="BS91" s="79" t="inlineStr">
        <is>
          <t>Completed</t>
        </is>
      </c>
      <c r="BT91" s="80" t="n">
        <v>42745.0</v>
      </c>
      <c r="BU91" s="81" t="n">
        <v>10.0</v>
      </c>
      <c r="BV91" s="82" t="inlineStr">
        <is>
          <t>Actual</t>
        </is>
      </c>
      <c r="BW91" s="83" t="inlineStr">
        <is>
          <t/>
        </is>
      </c>
      <c r="BX91" s="84" t="inlineStr">
        <is>
          <t/>
        </is>
      </c>
      <c r="BY91" s="85" t="inlineStr">
        <is>
          <t>Early Stage VC</t>
        </is>
      </c>
      <c r="BZ91" s="86" t="inlineStr">
        <is>
          <t>Series B</t>
        </is>
      </c>
      <c r="CA91" s="87" t="inlineStr">
        <is>
          <t/>
        </is>
      </c>
      <c r="CB91" s="88" t="inlineStr">
        <is>
          <t>Venture Capital</t>
        </is>
      </c>
      <c r="CC91" s="89" t="inlineStr">
        <is>
          <t/>
        </is>
      </c>
      <c r="CD91" s="90" t="inlineStr">
        <is>
          <t/>
        </is>
      </c>
      <c r="CE91" s="91" t="inlineStr">
        <is>
          <t/>
        </is>
      </c>
      <c r="CF91" s="92" t="inlineStr">
        <is>
          <t>Completed</t>
        </is>
      </c>
      <c r="CG91" s="93" t="inlineStr">
        <is>
          <t>0,07%</t>
        </is>
      </c>
      <c r="CH91" s="94" t="inlineStr">
        <is>
          <t>71</t>
        </is>
      </c>
      <c r="CI91" s="95" t="inlineStr">
        <is>
          <t>0,14%</t>
        </is>
      </c>
      <c r="CJ91" s="96" t="inlineStr">
        <is>
          <t>208,69%</t>
        </is>
      </c>
      <c r="CK91" s="97" t="inlineStr">
        <is>
          <t>0,12%</t>
        </is>
      </c>
      <c r="CL91" s="98" t="inlineStr">
        <is>
          <t>81</t>
        </is>
      </c>
      <c r="CM91" s="99" t="inlineStr">
        <is>
          <t>0,02%</t>
        </is>
      </c>
      <c r="CN91" s="100" t="inlineStr">
        <is>
          <t>46</t>
        </is>
      </c>
      <c r="CO91" s="101" t="inlineStr">
        <is>
          <t>-4,14%</t>
        </is>
      </c>
      <c r="CP91" s="102" t="inlineStr">
        <is>
          <t>9</t>
        </is>
      </c>
      <c r="CQ91" s="103" t="inlineStr">
        <is>
          <t>4,39%</t>
        </is>
      </c>
      <c r="CR91" s="104" t="inlineStr">
        <is>
          <t>94</t>
        </is>
      </c>
      <c r="CS91" s="105" t="inlineStr">
        <is>
          <t>0,17%</t>
        </is>
      </c>
      <c r="CT91" s="106" t="inlineStr">
        <is>
          <t>67</t>
        </is>
      </c>
      <c r="CU91" s="107" t="inlineStr">
        <is>
          <t>-0,13%</t>
        </is>
      </c>
      <c r="CV91" s="108" t="inlineStr">
        <is>
          <t>4</t>
        </is>
      </c>
      <c r="CW91" s="109" t="inlineStr">
        <is>
          <t>56,06x</t>
        </is>
      </c>
      <c r="CX91" s="110" t="inlineStr">
        <is>
          <t>96</t>
        </is>
      </c>
      <c r="CY91" s="111" t="inlineStr">
        <is>
          <t>1,25x</t>
        </is>
      </c>
      <c r="CZ91" s="112" t="inlineStr">
        <is>
          <t>2,29%</t>
        </is>
      </c>
      <c r="DA91" s="113" t="inlineStr">
        <is>
          <t>10,43x</t>
        </is>
      </c>
      <c r="DB91" s="114" t="inlineStr">
        <is>
          <t>88</t>
        </is>
      </c>
      <c r="DC91" s="115" t="inlineStr">
        <is>
          <t>101,69x</t>
        </is>
      </c>
      <c r="DD91" s="116" t="inlineStr">
        <is>
          <t>97</t>
        </is>
      </c>
      <c r="DE91" s="117" t="inlineStr">
        <is>
          <t>13,42x</t>
        </is>
      </c>
      <c r="DF91" s="118" t="inlineStr">
        <is>
          <t>86</t>
        </is>
      </c>
      <c r="DG91" s="119" t="inlineStr">
        <is>
          <t>7,44x</t>
        </is>
      </c>
      <c r="DH91" s="120" t="inlineStr">
        <is>
          <t>83</t>
        </is>
      </c>
      <c r="DI91" s="121" t="inlineStr">
        <is>
          <t>200,34x</t>
        </is>
      </c>
      <c r="DJ91" s="122" t="inlineStr">
        <is>
          <t>97</t>
        </is>
      </c>
      <c r="DK91" s="123" t="inlineStr">
        <is>
          <t>3,05x</t>
        </is>
      </c>
      <c r="DL91" s="124" t="inlineStr">
        <is>
          <t>70</t>
        </is>
      </c>
      <c r="DM91" s="125" t="inlineStr">
        <is>
          <t>8.445</t>
        </is>
      </c>
      <c r="DN91" s="126" t="inlineStr">
        <is>
          <t>-573</t>
        </is>
      </c>
      <c r="DO91" s="127" t="inlineStr">
        <is>
          <t>-6,35%</t>
        </is>
      </c>
      <c r="DP91" s="128" t="inlineStr">
        <is>
          <t>160.016</t>
        </is>
      </c>
      <c r="DQ91" s="129" t="inlineStr">
        <is>
          <t>251</t>
        </is>
      </c>
      <c r="DR91" s="130" t="inlineStr">
        <is>
          <t>0,16%</t>
        </is>
      </c>
      <c r="DS91" s="131" t="inlineStr">
        <is>
          <t>262</t>
        </is>
      </c>
      <c r="DT91" s="132" t="inlineStr">
        <is>
          <t>14</t>
        </is>
      </c>
      <c r="DU91" s="133" t="inlineStr">
        <is>
          <t>5,65%</t>
        </is>
      </c>
      <c r="DV91" s="134" t="inlineStr">
        <is>
          <t>1.046</t>
        </is>
      </c>
      <c r="DW91" s="135" t="inlineStr">
        <is>
          <t>-3</t>
        </is>
      </c>
      <c r="DX91" s="136" t="inlineStr">
        <is>
          <t>-0,29%</t>
        </is>
      </c>
      <c r="DY91" s="137" t="inlineStr">
        <is>
          <t>PitchBook Research</t>
        </is>
      </c>
      <c r="DZ91" s="785">
        <f>HYPERLINK("https://my.pitchbook.com?c=98221-42", "View company online")</f>
      </c>
    </row>
    <row r="92">
      <c r="A92" s="139" t="inlineStr">
        <is>
          <t>107780-68</t>
        </is>
      </c>
      <c r="B92" s="140" t="inlineStr">
        <is>
          <t>Capella BioScience</t>
        </is>
      </c>
      <c r="C92" s="141" t="inlineStr">
        <is>
          <t/>
        </is>
      </c>
      <c r="D92" s="142" t="inlineStr">
        <is>
          <t>Capella</t>
        </is>
      </c>
      <c r="E92" s="143" t="inlineStr">
        <is>
          <t>107780-68</t>
        </is>
      </c>
      <c r="F92" s="144" t="inlineStr">
        <is>
          <t>Developer of monoclonal antibody medicines (mAbs). The company leverages novel technologies to develop monoclonal antibodies (mAbs) to innovative and therapeutic targets in oncology and autoimmune disease.</t>
        </is>
      </c>
      <c r="G92" s="145" t="inlineStr">
        <is>
          <t>Healthcare</t>
        </is>
      </c>
      <c r="H92" s="146" t="inlineStr">
        <is>
          <t>Pharmaceuticals and Biotechnology</t>
        </is>
      </c>
      <c r="I92" s="147" t="inlineStr">
        <is>
          <t>Biotechnology</t>
        </is>
      </c>
      <c r="J92" s="148" t="inlineStr">
        <is>
          <t>Biotechnology*; Drug Discovery; Pharmaceuticals</t>
        </is>
      </c>
      <c r="K92" s="149" t="inlineStr">
        <is>
          <t>Life Sciences, Oncology</t>
        </is>
      </c>
      <c r="L92" s="150" t="inlineStr">
        <is>
          <t>Venture Capital-Backed</t>
        </is>
      </c>
      <c r="M92" s="151" t="n">
        <v>15.99</v>
      </c>
      <c r="N92" s="152" t="inlineStr">
        <is>
          <t>Product Development</t>
        </is>
      </c>
      <c r="O92" s="153" t="inlineStr">
        <is>
          <t>Privately Held (backing)</t>
        </is>
      </c>
      <c r="P92" s="154" t="inlineStr">
        <is>
          <t>Venture Capital</t>
        </is>
      </c>
      <c r="Q92" s="155" t="inlineStr">
        <is>
          <t>www.capellabioscience.com</t>
        </is>
      </c>
      <c r="R92" s="156" t="inlineStr">
        <is>
          <t/>
        </is>
      </c>
      <c r="S92" s="157" t="inlineStr">
        <is>
          <t/>
        </is>
      </c>
      <c r="T92" s="158" t="inlineStr">
        <is>
          <t/>
        </is>
      </c>
      <c r="U92" s="159" t="n">
        <v>2014.0</v>
      </c>
      <c r="V92" s="160" t="inlineStr">
        <is>
          <t/>
        </is>
      </c>
      <c r="W92" s="161" t="inlineStr">
        <is>
          <t/>
        </is>
      </c>
      <c r="X92" s="162" t="inlineStr">
        <is>
          <t/>
        </is>
      </c>
      <c r="Y92" s="163" t="inlineStr">
        <is>
          <t/>
        </is>
      </c>
      <c r="Z92" s="164" t="inlineStr">
        <is>
          <t/>
        </is>
      </c>
      <c r="AA92" s="165" t="inlineStr">
        <is>
          <t/>
        </is>
      </c>
      <c r="AB92" s="166" t="inlineStr">
        <is>
          <t/>
        </is>
      </c>
      <c r="AC92" s="167" t="inlineStr">
        <is>
          <t/>
        </is>
      </c>
      <c r="AD92" s="168" t="inlineStr">
        <is>
          <t/>
        </is>
      </c>
      <c r="AE92" s="169" t="inlineStr">
        <is>
          <t>130014-10P</t>
        </is>
      </c>
      <c r="AF92" s="170" t="inlineStr">
        <is>
          <t>Steve Holmes</t>
        </is>
      </c>
      <c r="AG92" s="171" t="inlineStr">
        <is>
          <t>Founder, Board Member &amp; Chief Operating Officer</t>
        </is>
      </c>
      <c r="AH92" s="172" t="inlineStr">
        <is>
          <t>steve.holmes@capellabioscience.com</t>
        </is>
      </c>
      <c r="AI92" s="173" t="inlineStr">
        <is>
          <t/>
        </is>
      </c>
      <c r="AJ92" s="174" t="inlineStr">
        <is>
          <t>London, United Kingdom</t>
        </is>
      </c>
      <c r="AK92" s="175" t="inlineStr">
        <is>
          <t>158-160 North Gower Street</t>
        </is>
      </c>
      <c r="AL92" s="176" t="inlineStr">
        <is>
          <t/>
        </is>
      </c>
      <c r="AM92" s="177" t="inlineStr">
        <is>
          <t>London</t>
        </is>
      </c>
      <c r="AN92" s="178" t="inlineStr">
        <is>
          <t>England</t>
        </is>
      </c>
      <c r="AO92" s="179" t="inlineStr">
        <is>
          <t>NW1 2ND</t>
        </is>
      </c>
      <c r="AP92" s="180" t="inlineStr">
        <is>
          <t>United Kingdom</t>
        </is>
      </c>
      <c r="AQ92" s="181" t="inlineStr">
        <is>
          <t/>
        </is>
      </c>
      <c r="AR92" s="182" t="inlineStr">
        <is>
          <t/>
        </is>
      </c>
      <c r="AS92" s="183" t="inlineStr">
        <is>
          <t>info@capellabioscience.com</t>
        </is>
      </c>
      <c r="AT92" s="184" t="inlineStr">
        <is>
          <t>Europe</t>
        </is>
      </c>
      <c r="AU92" s="185" t="inlineStr">
        <is>
          <t>Western Europe</t>
        </is>
      </c>
      <c r="AV92" s="186" t="inlineStr">
        <is>
          <t>The company raised GBP 11 million of Series A venture funding from Advent Life Sciences, Medicxi Ventures and Osage University Partners on March 8, 2016. The company will use the funding for further development of its novel therapeutic antibody discovery programs.</t>
        </is>
      </c>
      <c r="AW92" s="187" t="inlineStr">
        <is>
          <t>Advent Life Sciences, Data Collective, Farzad Nazem, Index Ventures (UK), Medicxi Ventures, Osage University Partners</t>
        </is>
      </c>
      <c r="AX92" s="188" t="n">
        <v>6.0</v>
      </c>
      <c r="AY92" s="189" t="inlineStr">
        <is>
          <t/>
        </is>
      </c>
      <c r="AZ92" s="190" t="inlineStr">
        <is>
          <t/>
        </is>
      </c>
      <c r="BA92" s="191" t="inlineStr">
        <is>
          <t/>
        </is>
      </c>
      <c r="BB92" s="192" t="inlineStr">
        <is>
          <t>Advent Life Sciences (www.adventls.com), Data Collective (www.dcvc.com), Index Ventures (UK) (www.indexventures.com), Medicxi Ventures (www.medicxi.com)</t>
        </is>
      </c>
      <c r="BC92" s="193" t="inlineStr">
        <is>
          <t/>
        </is>
      </c>
      <c r="BD92" s="194" t="inlineStr">
        <is>
          <t/>
        </is>
      </c>
      <c r="BE92" s="195" t="inlineStr">
        <is>
          <t/>
        </is>
      </c>
      <c r="BF92" s="196" t="inlineStr">
        <is>
          <t/>
        </is>
      </c>
      <c r="BG92" s="197" t="n">
        <v>41995.0</v>
      </c>
      <c r="BH92" s="198" t="n">
        <v>1.9</v>
      </c>
      <c r="BI92" s="199" t="inlineStr">
        <is>
          <t>Actual</t>
        </is>
      </c>
      <c r="BJ92" s="200" t="inlineStr">
        <is>
          <t/>
        </is>
      </c>
      <c r="BK92" s="201" t="inlineStr">
        <is>
          <t/>
        </is>
      </c>
      <c r="BL92" s="202" t="inlineStr">
        <is>
          <t>Seed Round</t>
        </is>
      </c>
      <c r="BM92" s="203" t="inlineStr">
        <is>
          <t>Seed</t>
        </is>
      </c>
      <c r="BN92" s="204" t="inlineStr">
        <is>
          <t/>
        </is>
      </c>
      <c r="BO92" s="205" t="inlineStr">
        <is>
          <t>Venture Capital</t>
        </is>
      </c>
      <c r="BP92" s="206" t="inlineStr">
        <is>
          <t/>
        </is>
      </c>
      <c r="BQ92" s="207" t="inlineStr">
        <is>
          <t/>
        </is>
      </c>
      <c r="BR92" s="208" t="inlineStr">
        <is>
          <t/>
        </is>
      </c>
      <c r="BS92" s="209" t="inlineStr">
        <is>
          <t>Completed</t>
        </is>
      </c>
      <c r="BT92" s="210" t="n">
        <v>42437.0</v>
      </c>
      <c r="BU92" s="211" t="n">
        <v>14.09</v>
      </c>
      <c r="BV92" s="212" t="inlineStr">
        <is>
          <t>Actual</t>
        </is>
      </c>
      <c r="BW92" s="213" t="inlineStr">
        <is>
          <t/>
        </is>
      </c>
      <c r="BX92" s="214" t="inlineStr">
        <is>
          <t/>
        </is>
      </c>
      <c r="BY92" s="215" t="inlineStr">
        <is>
          <t>Early Stage VC</t>
        </is>
      </c>
      <c r="BZ92" s="216" t="inlineStr">
        <is>
          <t>Series A</t>
        </is>
      </c>
      <c r="CA92" s="217" t="inlineStr">
        <is>
          <t/>
        </is>
      </c>
      <c r="CB92" s="218" t="inlineStr">
        <is>
          <t>Venture Capital</t>
        </is>
      </c>
      <c r="CC92" s="219" t="inlineStr">
        <is>
          <t/>
        </is>
      </c>
      <c r="CD92" s="220" t="inlineStr">
        <is>
          <t/>
        </is>
      </c>
      <c r="CE92" s="221" t="inlineStr">
        <is>
          <t/>
        </is>
      </c>
      <c r="CF92" s="222" t="inlineStr">
        <is>
          <t>Completed</t>
        </is>
      </c>
      <c r="CG92" s="223" t="inlineStr">
        <is>
          <t>0,00%</t>
        </is>
      </c>
      <c r="CH92" s="224" t="inlineStr">
        <is>
          <t>23</t>
        </is>
      </c>
      <c r="CI92" s="225" t="inlineStr">
        <is>
          <t>0,00%</t>
        </is>
      </c>
      <c r="CJ92" s="226" t="inlineStr">
        <is>
          <t>0,00%</t>
        </is>
      </c>
      <c r="CK92" s="227" t="inlineStr">
        <is>
          <t>0,00%</t>
        </is>
      </c>
      <c r="CL92" s="228" t="inlineStr">
        <is>
          <t>18</t>
        </is>
      </c>
      <c r="CM92" s="229" t="inlineStr">
        <is>
          <t/>
        </is>
      </c>
      <c r="CN92" s="230" t="inlineStr">
        <is>
          <t/>
        </is>
      </c>
      <c r="CO92" s="231" t="inlineStr">
        <is>
          <t/>
        </is>
      </c>
      <c r="CP92" s="232" t="inlineStr">
        <is>
          <t/>
        </is>
      </c>
      <c r="CQ92" s="233" t="inlineStr">
        <is>
          <t>0,00%</t>
        </is>
      </c>
      <c r="CR92" s="234" t="inlineStr">
        <is>
          <t>13</t>
        </is>
      </c>
      <c r="CS92" s="235" t="inlineStr">
        <is>
          <t/>
        </is>
      </c>
      <c r="CT92" s="236" t="inlineStr">
        <is>
          <t/>
        </is>
      </c>
      <c r="CU92" s="237" t="inlineStr">
        <is>
          <t/>
        </is>
      </c>
      <c r="CV92" s="238" t="inlineStr">
        <is>
          <t/>
        </is>
      </c>
      <c r="CW92" s="239" t="inlineStr">
        <is>
          <t>0,67x</t>
        </is>
      </c>
      <c r="CX92" s="240" t="inlineStr">
        <is>
          <t>40</t>
        </is>
      </c>
      <c r="CY92" s="241" t="inlineStr">
        <is>
          <t>-0,09x</t>
        </is>
      </c>
      <c r="CZ92" s="242" t="inlineStr">
        <is>
          <t>-11,90%</t>
        </is>
      </c>
      <c r="DA92" s="243" t="inlineStr">
        <is>
          <t>0,67x</t>
        </is>
      </c>
      <c r="DB92" s="244" t="inlineStr">
        <is>
          <t>42</t>
        </is>
      </c>
      <c r="DC92" s="245" t="inlineStr">
        <is>
          <t/>
        </is>
      </c>
      <c r="DD92" s="246" t="inlineStr">
        <is>
          <t/>
        </is>
      </c>
      <c r="DE92" s="247" t="inlineStr">
        <is>
          <t/>
        </is>
      </c>
      <c r="DF92" s="248" t="inlineStr">
        <is>
          <t/>
        </is>
      </c>
      <c r="DG92" s="249" t="inlineStr">
        <is>
          <t>0,67x</t>
        </is>
      </c>
      <c r="DH92" s="250" t="inlineStr">
        <is>
          <t>42</t>
        </is>
      </c>
      <c r="DI92" s="251" t="inlineStr">
        <is>
          <t/>
        </is>
      </c>
      <c r="DJ92" s="252" t="inlineStr">
        <is>
          <t/>
        </is>
      </c>
      <c r="DK92" s="253" t="inlineStr">
        <is>
          <t/>
        </is>
      </c>
      <c r="DL92" s="254" t="inlineStr">
        <is>
          <t/>
        </is>
      </c>
      <c r="DM92" s="255" t="inlineStr">
        <is>
          <t/>
        </is>
      </c>
      <c r="DN92" s="256" t="inlineStr">
        <is>
          <t/>
        </is>
      </c>
      <c r="DO92" s="257" t="inlineStr">
        <is>
          <t/>
        </is>
      </c>
      <c r="DP92" s="258" t="inlineStr">
        <is>
          <t/>
        </is>
      </c>
      <c r="DQ92" s="259" t="inlineStr">
        <is>
          <t/>
        </is>
      </c>
      <c r="DR92" s="260" t="inlineStr">
        <is>
          <t/>
        </is>
      </c>
      <c r="DS92" s="261" t="inlineStr">
        <is>
          <t>25</t>
        </is>
      </c>
      <c r="DT92" s="262" t="inlineStr">
        <is>
          <t>-3</t>
        </is>
      </c>
      <c r="DU92" s="263" t="inlineStr">
        <is>
          <t>-10,71%</t>
        </is>
      </c>
      <c r="DV92" s="264" t="inlineStr">
        <is>
          <t/>
        </is>
      </c>
      <c r="DW92" s="265" t="inlineStr">
        <is>
          <t/>
        </is>
      </c>
      <c r="DX92" s="266" t="inlineStr">
        <is>
          <t/>
        </is>
      </c>
      <c r="DY92" s="267" t="inlineStr">
        <is>
          <t>PitchBook Research</t>
        </is>
      </c>
      <c r="DZ92" s="786">
        <f>HYPERLINK("https://my.pitchbook.com?c=107780-68", "View company online")</f>
      </c>
    </row>
    <row r="93">
      <c r="A93" s="9" t="inlineStr">
        <is>
          <t>183359-26</t>
        </is>
      </c>
      <c r="B93" s="10" t="inlineStr">
        <is>
          <t>Capital.com</t>
        </is>
      </c>
      <c r="C93" s="11" t="inlineStr">
        <is>
          <t/>
        </is>
      </c>
      <c r="D93" s="12" t="inlineStr">
        <is>
          <t/>
        </is>
      </c>
      <c r="E93" s="13" t="inlineStr">
        <is>
          <t>183359-26</t>
        </is>
      </c>
      <c r="F93" s="14" t="inlineStr">
        <is>
          <t>Developer of an artificial intelligence based trading software created to trade in financial instruments with their mobile devices.v The company's trading software mobile application helps in trading stocks, indices and commodities it also provides market news, ratings and analysis, enabling users to learn to make better decisions in life through the trading experience.</t>
        </is>
      </c>
      <c r="G93" s="15" t="inlineStr">
        <is>
          <t>Information Technology</t>
        </is>
      </c>
      <c r="H93" s="16" t="inlineStr">
        <is>
          <t>Software</t>
        </is>
      </c>
      <c r="I93" s="17" t="inlineStr">
        <is>
          <t>Financial Software</t>
        </is>
      </c>
      <c r="J93" s="18" t="inlineStr">
        <is>
          <t>Financial Software*</t>
        </is>
      </c>
      <c r="K93" s="19" t="inlineStr">
        <is>
          <t>Artificial Intelligence &amp; Machine Learning, FinTech, Mobile</t>
        </is>
      </c>
      <c r="L93" s="20" t="inlineStr">
        <is>
          <t>Venture Capital-Backed</t>
        </is>
      </c>
      <c r="M93" s="21" t="n">
        <v>21.71</v>
      </c>
      <c r="N93" s="22" t="inlineStr">
        <is>
          <t>Product In Beta Test</t>
        </is>
      </c>
      <c r="O93" s="23" t="inlineStr">
        <is>
          <t>Privately Held (backing)</t>
        </is>
      </c>
      <c r="P93" s="24" t="inlineStr">
        <is>
          <t>Venture Capital</t>
        </is>
      </c>
      <c r="Q93" s="25" t="inlineStr">
        <is>
          <t>Capital.com</t>
        </is>
      </c>
      <c r="R93" s="26" t="inlineStr">
        <is>
          <t/>
        </is>
      </c>
      <c r="S93" s="27" t="inlineStr">
        <is>
          <t/>
        </is>
      </c>
      <c r="T93" s="28" t="inlineStr">
        <is>
          <t/>
        </is>
      </c>
      <c r="U93" s="29" t="n">
        <v>2016.0</v>
      </c>
      <c r="V93" s="30" t="inlineStr">
        <is>
          <t/>
        </is>
      </c>
      <c r="W93" s="31" t="inlineStr">
        <is>
          <t/>
        </is>
      </c>
      <c r="X93" s="32" t="inlineStr">
        <is>
          <t/>
        </is>
      </c>
      <c r="Y93" s="33" t="inlineStr">
        <is>
          <t/>
        </is>
      </c>
      <c r="Z93" s="34" t="inlineStr">
        <is>
          <t/>
        </is>
      </c>
      <c r="AA93" s="35" t="inlineStr">
        <is>
          <t/>
        </is>
      </c>
      <c r="AB93" s="36" t="inlineStr">
        <is>
          <t/>
        </is>
      </c>
      <c r="AC93" s="37" t="inlineStr">
        <is>
          <t/>
        </is>
      </c>
      <c r="AD93" s="38" t="inlineStr">
        <is>
          <t/>
        </is>
      </c>
      <c r="AE93" s="39" t="inlineStr">
        <is>
          <t>167264-56P</t>
        </is>
      </c>
      <c r="AF93" s="40" t="inlineStr">
        <is>
          <t>Kira Bondareva</t>
        </is>
      </c>
      <c r="AG93" s="41" t="inlineStr">
        <is>
          <t>Founder, Chief Executive Officer &amp; Managing Director</t>
        </is>
      </c>
      <c r="AH93" s="42" t="inlineStr">
        <is>
          <t>kir.bondareva@capital.com</t>
        </is>
      </c>
      <c r="AI93" s="43" t="inlineStr">
        <is>
          <t/>
        </is>
      </c>
      <c r="AJ93" s="44" t="inlineStr">
        <is>
          <t>Limassol, Cyprus</t>
        </is>
      </c>
      <c r="AK93" s="45" t="inlineStr">
        <is>
          <t>6th floor, Lophitis Business Centre II</t>
        </is>
      </c>
      <c r="AL93" s="46" t="inlineStr">
        <is>
          <t>237, 28th October Street</t>
        </is>
      </c>
      <c r="AM93" s="47" t="inlineStr">
        <is>
          <t>Limassol</t>
        </is>
      </c>
      <c r="AN93" s="48" t="inlineStr">
        <is>
          <t/>
        </is>
      </c>
      <c r="AO93" s="49" t="inlineStr">
        <is>
          <t>3035</t>
        </is>
      </c>
      <c r="AP93" s="50" t="inlineStr">
        <is>
          <t>Cyprus</t>
        </is>
      </c>
      <c r="AQ93" s="51" t="inlineStr">
        <is>
          <t/>
        </is>
      </c>
      <c r="AR93" s="52" t="inlineStr">
        <is>
          <t/>
        </is>
      </c>
      <c r="AS93" s="53" t="inlineStr">
        <is>
          <t>info@capital.com</t>
        </is>
      </c>
      <c r="AT93" s="54" t="inlineStr">
        <is>
          <t>Europe</t>
        </is>
      </c>
      <c r="AU93" s="55" t="inlineStr">
        <is>
          <t>Eastern Europe</t>
        </is>
      </c>
      <c r="AV93" s="56" t="inlineStr">
        <is>
          <t>The company raised $25 million of venture funding from Larnabel Ventures and VP Capital on July 18, 2017.</t>
        </is>
      </c>
      <c r="AW93" s="57" t="inlineStr">
        <is>
          <t>Larnabel Ventures, VP Capital</t>
        </is>
      </c>
      <c r="AX93" s="58" t="n">
        <v>2.0</v>
      </c>
      <c r="AY93" s="59" t="inlineStr">
        <is>
          <t/>
        </is>
      </c>
      <c r="AZ93" s="60" t="inlineStr">
        <is>
          <t/>
        </is>
      </c>
      <c r="BA93" s="61" t="inlineStr">
        <is>
          <t/>
        </is>
      </c>
      <c r="BB93" s="62" t="inlineStr">
        <is>
          <t>VP Capital (www.vpcapital.com)</t>
        </is>
      </c>
      <c r="BC93" s="63" t="inlineStr">
        <is>
          <t/>
        </is>
      </c>
      <c r="BD93" s="64" t="inlineStr">
        <is>
          <t/>
        </is>
      </c>
      <c r="BE93" s="65" t="inlineStr">
        <is>
          <t/>
        </is>
      </c>
      <c r="BF93" s="66" t="inlineStr">
        <is>
          <t/>
        </is>
      </c>
      <c r="BG93" s="67" t="n">
        <v>42934.0</v>
      </c>
      <c r="BH93" s="68" t="n">
        <v>21.71</v>
      </c>
      <c r="BI93" s="69" t="inlineStr">
        <is>
          <t>Actual</t>
        </is>
      </c>
      <c r="BJ93" s="70" t="inlineStr">
        <is>
          <t/>
        </is>
      </c>
      <c r="BK93" s="71" t="inlineStr">
        <is>
          <t/>
        </is>
      </c>
      <c r="BL93" s="72" t="inlineStr">
        <is>
          <t>Early Stage VC</t>
        </is>
      </c>
      <c r="BM93" s="73" t="inlineStr">
        <is>
          <t>Series A</t>
        </is>
      </c>
      <c r="BN93" s="74" t="inlineStr">
        <is>
          <t/>
        </is>
      </c>
      <c r="BO93" s="75" t="inlineStr">
        <is>
          <t>Venture Capital</t>
        </is>
      </c>
      <c r="BP93" s="76" t="inlineStr">
        <is>
          <t/>
        </is>
      </c>
      <c r="BQ93" s="77" t="inlineStr">
        <is>
          <t/>
        </is>
      </c>
      <c r="BR93" s="78" t="inlineStr">
        <is>
          <t/>
        </is>
      </c>
      <c r="BS93" s="79" t="inlineStr">
        <is>
          <t>Completed</t>
        </is>
      </c>
      <c r="BT93" s="80" t="n">
        <v>42934.0</v>
      </c>
      <c r="BU93" s="81" t="n">
        <v>21.71</v>
      </c>
      <c r="BV93" s="82" t="inlineStr">
        <is>
          <t>Actual</t>
        </is>
      </c>
      <c r="BW93" s="83" t="inlineStr">
        <is>
          <t/>
        </is>
      </c>
      <c r="BX93" s="84" t="inlineStr">
        <is>
          <t/>
        </is>
      </c>
      <c r="BY93" s="85" t="inlineStr">
        <is>
          <t>Early Stage VC</t>
        </is>
      </c>
      <c r="BZ93" s="86" t="inlineStr">
        <is>
          <t>Series A</t>
        </is>
      </c>
      <c r="CA93" s="87" t="inlineStr">
        <is>
          <t/>
        </is>
      </c>
      <c r="CB93" s="88" t="inlineStr">
        <is>
          <t>Venture Capital</t>
        </is>
      </c>
      <c r="CC93" s="89" t="inlineStr">
        <is>
          <t/>
        </is>
      </c>
      <c r="CD93" s="90" t="inlineStr">
        <is>
          <t/>
        </is>
      </c>
      <c r="CE93" s="91" t="inlineStr">
        <is>
          <t/>
        </is>
      </c>
      <c r="CF93" s="92" t="inlineStr">
        <is>
          <t>Completed</t>
        </is>
      </c>
      <c r="CG93" s="93" t="inlineStr">
        <is>
          <t>7,45%</t>
        </is>
      </c>
      <c r="CH93" s="94" t="inlineStr">
        <is>
          <t>99</t>
        </is>
      </c>
      <c r="CI93" s="95" t="inlineStr">
        <is>
          <t>5,90%</t>
        </is>
      </c>
      <c r="CJ93" s="96" t="inlineStr">
        <is>
          <t>380,57%</t>
        </is>
      </c>
      <c r="CK93" s="97" t="inlineStr">
        <is>
          <t>0,88%</t>
        </is>
      </c>
      <c r="CL93" s="98" t="inlineStr">
        <is>
          <t>86</t>
        </is>
      </c>
      <c r="CM93" s="99" t="inlineStr">
        <is>
          <t>14,03%</t>
        </is>
      </c>
      <c r="CN93" s="100" t="inlineStr">
        <is>
          <t>100</t>
        </is>
      </c>
      <c r="CO93" s="101" t="inlineStr">
        <is>
          <t>1,55%</t>
        </is>
      </c>
      <c r="CP93" s="102" t="inlineStr">
        <is>
          <t>87</t>
        </is>
      </c>
      <c r="CQ93" s="103" t="inlineStr">
        <is>
          <t>0,20%</t>
        </is>
      </c>
      <c r="CR93" s="104" t="inlineStr">
        <is>
          <t>84</t>
        </is>
      </c>
      <c r="CS93" s="105" t="inlineStr">
        <is>
          <t>20,34%</t>
        </is>
      </c>
      <c r="CT93" s="106" t="inlineStr">
        <is>
          <t>100</t>
        </is>
      </c>
      <c r="CU93" s="107" t="inlineStr">
        <is>
          <t>7,72%</t>
        </is>
      </c>
      <c r="CV93" s="108" t="inlineStr">
        <is>
          <t>100</t>
        </is>
      </c>
      <c r="CW93" s="109" t="inlineStr">
        <is>
          <t>6,63x</t>
        </is>
      </c>
      <c r="CX93" s="110" t="inlineStr">
        <is>
          <t>82</t>
        </is>
      </c>
      <c r="CY93" s="111" t="inlineStr">
        <is>
          <t>-10,66x</t>
        </is>
      </c>
      <c r="CZ93" s="112" t="inlineStr">
        <is>
          <t>-61,67%</t>
        </is>
      </c>
      <c r="DA93" s="113" t="inlineStr">
        <is>
          <t>10,95x</t>
        </is>
      </c>
      <c r="DB93" s="114" t="inlineStr">
        <is>
          <t>88</t>
        </is>
      </c>
      <c r="DC93" s="115" t="inlineStr">
        <is>
          <t>2,31x</t>
        </is>
      </c>
      <c r="DD93" s="116" t="inlineStr">
        <is>
          <t>64</t>
        </is>
      </c>
      <c r="DE93" s="117" t="inlineStr">
        <is>
          <t>17,29x</t>
        </is>
      </c>
      <c r="DF93" s="118" t="inlineStr">
        <is>
          <t>88</t>
        </is>
      </c>
      <c r="DG93" s="119" t="inlineStr">
        <is>
          <t>4,61x</t>
        </is>
      </c>
      <c r="DH93" s="120" t="inlineStr">
        <is>
          <t>78</t>
        </is>
      </c>
      <c r="DI93" s="121" t="inlineStr">
        <is>
          <t>3,87x</t>
        </is>
      </c>
      <c r="DJ93" s="122" t="inlineStr">
        <is>
          <t>71</t>
        </is>
      </c>
      <c r="DK93" s="123" t="inlineStr">
        <is>
          <t>0,74x</t>
        </is>
      </c>
      <c r="DL93" s="124" t="inlineStr">
        <is>
          <t>45</t>
        </is>
      </c>
      <c r="DM93" s="125" t="inlineStr">
        <is>
          <t>10.703</t>
        </is>
      </c>
      <c r="DN93" s="126" t="inlineStr">
        <is>
          <t>-204</t>
        </is>
      </c>
      <c r="DO93" s="127" t="inlineStr">
        <is>
          <t>-1,87%</t>
        </is>
      </c>
      <c r="DP93" s="128" t="inlineStr">
        <is>
          <t>3.070</t>
        </is>
      </c>
      <c r="DQ93" s="129" t="inlineStr">
        <is>
          <t>54</t>
        </is>
      </c>
      <c r="DR93" s="130" t="inlineStr">
        <is>
          <t>1,79%</t>
        </is>
      </c>
      <c r="DS93" s="131" t="inlineStr">
        <is>
          <t>166</t>
        </is>
      </c>
      <c r="DT93" s="132" t="inlineStr">
        <is>
          <t>-1</t>
        </is>
      </c>
      <c r="DU93" s="133" t="inlineStr">
        <is>
          <t>-0,60%</t>
        </is>
      </c>
      <c r="DV93" s="134" t="inlineStr">
        <is>
          <t>246</t>
        </is>
      </c>
      <c r="DW93" s="135" t="inlineStr">
        <is>
          <t>23</t>
        </is>
      </c>
      <c r="DX93" s="136" t="inlineStr">
        <is>
          <t>10,31%</t>
        </is>
      </c>
      <c r="DY93" s="137" t="inlineStr">
        <is>
          <t>PitchBook Research</t>
        </is>
      </c>
      <c r="DZ93" s="785">
        <f>HYPERLINK("https://my.pitchbook.com?c=183359-26", "View company online")</f>
      </c>
    </row>
    <row r="94">
      <c r="A94" s="139" t="inlineStr">
        <is>
          <t>180860-32</t>
        </is>
      </c>
      <c r="B94" s="140" t="inlineStr">
        <is>
          <t>Cardior Pharmaceuticals</t>
        </is>
      </c>
      <c r="C94" s="141" t="inlineStr">
        <is>
          <t/>
        </is>
      </c>
      <c r="D94" s="142" t="inlineStr">
        <is>
          <t>Cardior</t>
        </is>
      </c>
      <c r="E94" s="143" t="inlineStr">
        <is>
          <t>180860-32</t>
        </is>
      </c>
      <c r="F94" s="144" t="inlineStr">
        <is>
          <t>Developer of non-coding RNA-based therapeutics intended to predict and treat heart disease. The company's non-coding RNA-based therapeutics are linked to heart failure development which simultaneously controls cardiac growth and calcium handling/contractility of cardiomyocytes, enabling patients to lead a healthy life restoring normal cardiac function.</t>
        </is>
      </c>
      <c r="G94" s="145" t="inlineStr">
        <is>
          <t>Healthcare</t>
        </is>
      </c>
      <c r="H94" s="146" t="inlineStr">
        <is>
          <t>Pharmaceuticals and Biotechnology</t>
        </is>
      </c>
      <c r="I94" s="147" t="inlineStr">
        <is>
          <t>Drug Discovery</t>
        </is>
      </c>
      <c r="J94" s="148" t="inlineStr">
        <is>
          <t>Drug Discovery*; Biotechnology</t>
        </is>
      </c>
      <c r="K94" s="149" t="inlineStr">
        <is>
          <t>Life Sciences</t>
        </is>
      </c>
      <c r="L94" s="150" t="inlineStr">
        <is>
          <t>Venture Capital-Backed</t>
        </is>
      </c>
      <c r="M94" s="151" t="n">
        <v>15.1</v>
      </c>
      <c r="N94" s="152" t="inlineStr">
        <is>
          <t>Startup</t>
        </is>
      </c>
      <c r="O94" s="153" t="inlineStr">
        <is>
          <t>Privately Held (backing)</t>
        </is>
      </c>
      <c r="P94" s="154" t="inlineStr">
        <is>
          <t>Venture Capital</t>
        </is>
      </c>
      <c r="Q94" s="155" t="inlineStr">
        <is>
          <t>www.cardior.de</t>
        </is>
      </c>
      <c r="R94" s="156" t="inlineStr">
        <is>
          <t/>
        </is>
      </c>
      <c r="S94" s="157" t="inlineStr">
        <is>
          <t/>
        </is>
      </c>
      <c r="T94" s="158" t="inlineStr">
        <is>
          <t/>
        </is>
      </c>
      <c r="U94" s="159" t="n">
        <v>2016.0</v>
      </c>
      <c r="V94" s="160" t="inlineStr">
        <is>
          <t/>
        </is>
      </c>
      <c r="W94" s="161" t="inlineStr">
        <is>
          <t/>
        </is>
      </c>
      <c r="X94" s="162" t="inlineStr">
        <is>
          <t/>
        </is>
      </c>
      <c r="Y94" s="163" t="inlineStr">
        <is>
          <t/>
        </is>
      </c>
      <c r="Z94" s="164" t="inlineStr">
        <is>
          <t/>
        </is>
      </c>
      <c r="AA94" s="165" t="inlineStr">
        <is>
          <t/>
        </is>
      </c>
      <c r="AB94" s="166" t="inlineStr">
        <is>
          <t/>
        </is>
      </c>
      <c r="AC94" s="167" t="inlineStr">
        <is>
          <t/>
        </is>
      </c>
      <c r="AD94" s="168" t="inlineStr">
        <is>
          <t/>
        </is>
      </c>
      <c r="AE94" s="169" t="inlineStr">
        <is>
          <t>56555-47P</t>
        </is>
      </c>
      <c r="AF94" s="170" t="inlineStr">
        <is>
          <t>Claudia Ulbrich</t>
        </is>
      </c>
      <c r="AG94" s="171" t="inlineStr">
        <is>
          <t>Chief Executive Officer</t>
        </is>
      </c>
      <c r="AH94" s="172" t="inlineStr">
        <is>
          <t>claudia@cardior.de</t>
        </is>
      </c>
      <c r="AI94" s="173" t="inlineStr">
        <is>
          <t>+49 (0)51 1532 5272</t>
        </is>
      </c>
      <c r="AJ94" s="174" t="inlineStr">
        <is>
          <t>Hanover, Germany</t>
        </is>
      </c>
      <c r="AK94" s="175" t="inlineStr">
        <is>
          <t>Carl-Neuberg-Str.1</t>
        </is>
      </c>
      <c r="AL94" s="176" t="inlineStr">
        <is>
          <t/>
        </is>
      </c>
      <c r="AM94" s="177" t="inlineStr">
        <is>
          <t>Hanover</t>
        </is>
      </c>
      <c r="AN94" s="178" t="inlineStr">
        <is>
          <t/>
        </is>
      </c>
      <c r="AO94" s="179" t="inlineStr">
        <is>
          <t>30625</t>
        </is>
      </c>
      <c r="AP94" s="180" t="inlineStr">
        <is>
          <t>Germany</t>
        </is>
      </c>
      <c r="AQ94" s="181" t="inlineStr">
        <is>
          <t>+49 (0)51 1532 5272</t>
        </is>
      </c>
      <c r="AR94" s="182" t="inlineStr">
        <is>
          <t>+49 (0)51 1532 5274</t>
        </is>
      </c>
      <c r="AS94" s="183" t="inlineStr">
        <is>
          <t>info@cardior.de</t>
        </is>
      </c>
      <c r="AT94" s="184" t="inlineStr">
        <is>
          <t>Europe</t>
        </is>
      </c>
      <c r="AU94" s="185" t="inlineStr">
        <is>
          <t>Western Europe</t>
        </is>
      </c>
      <c r="AV94" s="186" t="inlineStr">
        <is>
          <t>The company raised EUR 15 million of Series A venture funding in a deal led my BioMedPartners, Boehringer Ingelheim Venture Fund, Bristol-Myers Squibb, High-Tech Gründerfonds and Life Sciences Partners on May 11, 2017. The company will use the funds to continue to advance its therapeutics. Previously, the company joined JLINX on April 6, 2017 and received an undisclosed amount in funding.</t>
        </is>
      </c>
      <c r="AW94" s="187" t="inlineStr">
        <is>
          <t>BioMedPartners, Boehringer Ingelheim Venture Fund, Bristol-Myers Squibb, High-Tech Gründerfonds, JLINX, Life Sciences Partners, Venture Villa</t>
        </is>
      </c>
      <c r="AX94" s="188" t="n">
        <v>7.0</v>
      </c>
      <c r="AY94" s="189" t="inlineStr">
        <is>
          <t/>
        </is>
      </c>
      <c r="AZ94" s="190" t="inlineStr">
        <is>
          <t/>
        </is>
      </c>
      <c r="BA94" s="191" t="inlineStr">
        <is>
          <t/>
        </is>
      </c>
      <c r="BB94" s="192" t="inlineStr">
        <is>
          <t>BioMedPartners (www.biomedvc.com), Boehringer Ingelheim Venture Fund (www.boehringer-ingelheim-venture.com), Bristol-Myers Squibb (www.bms.com), High-Tech Gründerfonds (www.high-tech-gruenderfonds.de), Life Sciences Partners (www.lspvc.com), Venture Villa (www.venturevilla.de)</t>
        </is>
      </c>
      <c r="BC94" s="193" t="inlineStr">
        <is>
          <t/>
        </is>
      </c>
      <c r="BD94" s="194" t="inlineStr">
        <is>
          <t/>
        </is>
      </c>
      <c r="BE94" s="195" t="inlineStr">
        <is>
          <t/>
        </is>
      </c>
      <c r="BF94" s="196" t="inlineStr">
        <is>
          <t>Fieldfisher (Legal Advisor)</t>
        </is>
      </c>
      <c r="BG94" s="197" t="inlineStr">
        <is>
          <t/>
        </is>
      </c>
      <c r="BH94" s="198" t="n">
        <v>0.1</v>
      </c>
      <c r="BI94" s="199" t="inlineStr">
        <is>
          <t>Estimated</t>
        </is>
      </c>
      <c r="BJ94" s="200" t="n">
        <v>1.25</v>
      </c>
      <c r="BK94" s="201" t="inlineStr">
        <is>
          <t>Estimated</t>
        </is>
      </c>
      <c r="BL94" s="202" t="inlineStr">
        <is>
          <t>Accelerator/Incubator</t>
        </is>
      </c>
      <c r="BM94" s="203" t="inlineStr">
        <is>
          <t/>
        </is>
      </c>
      <c r="BN94" s="204" t="inlineStr">
        <is>
          <t/>
        </is>
      </c>
      <c r="BO94" s="205" t="inlineStr">
        <is>
          <t>Other</t>
        </is>
      </c>
      <c r="BP94" s="206" t="inlineStr">
        <is>
          <t/>
        </is>
      </c>
      <c r="BQ94" s="207" t="inlineStr">
        <is>
          <t/>
        </is>
      </c>
      <c r="BR94" s="208" t="inlineStr">
        <is>
          <t/>
        </is>
      </c>
      <c r="BS94" s="209" t="inlineStr">
        <is>
          <t>Completed</t>
        </is>
      </c>
      <c r="BT94" s="210" t="n">
        <v>42866.0</v>
      </c>
      <c r="BU94" s="211" t="n">
        <v>15.0</v>
      </c>
      <c r="BV94" s="212" t="inlineStr">
        <is>
          <t>Actual</t>
        </is>
      </c>
      <c r="BW94" s="213" t="inlineStr">
        <is>
          <t/>
        </is>
      </c>
      <c r="BX94" s="214" t="inlineStr">
        <is>
          <t/>
        </is>
      </c>
      <c r="BY94" s="215" t="inlineStr">
        <is>
          <t>Early Stage VC</t>
        </is>
      </c>
      <c r="BZ94" s="216" t="inlineStr">
        <is>
          <t>Series A</t>
        </is>
      </c>
      <c r="CA94" s="217" t="inlineStr">
        <is>
          <t/>
        </is>
      </c>
      <c r="CB94" s="218" t="inlineStr">
        <is>
          <t>Venture Capital</t>
        </is>
      </c>
      <c r="CC94" s="219" t="inlineStr">
        <is>
          <t/>
        </is>
      </c>
      <c r="CD94" s="220" t="inlineStr">
        <is>
          <t/>
        </is>
      </c>
      <c r="CE94" s="221" t="inlineStr">
        <is>
          <t/>
        </is>
      </c>
      <c r="CF94" s="222" t="inlineStr">
        <is>
          <t>Completed</t>
        </is>
      </c>
      <c r="CG94" s="223" t="inlineStr">
        <is>
          <t/>
        </is>
      </c>
      <c r="CH94" s="224" t="inlineStr">
        <is>
          <t/>
        </is>
      </c>
      <c r="CI94" s="225" t="inlineStr">
        <is>
          <t/>
        </is>
      </c>
      <c r="CJ94" s="226" t="inlineStr">
        <is>
          <t/>
        </is>
      </c>
      <c r="CK94" s="227" t="inlineStr">
        <is>
          <t/>
        </is>
      </c>
      <c r="CL94" s="228" t="inlineStr">
        <is>
          <t/>
        </is>
      </c>
      <c r="CM94" s="229" t="inlineStr">
        <is>
          <t/>
        </is>
      </c>
      <c r="CN94" s="230" t="inlineStr">
        <is>
          <t/>
        </is>
      </c>
      <c r="CO94" s="231" t="inlineStr">
        <is>
          <t/>
        </is>
      </c>
      <c r="CP94" s="232" t="inlineStr">
        <is>
          <t/>
        </is>
      </c>
      <c r="CQ94" s="233" t="inlineStr">
        <is>
          <t/>
        </is>
      </c>
      <c r="CR94" s="234" t="inlineStr">
        <is>
          <t/>
        </is>
      </c>
      <c r="CS94" s="235" t="inlineStr">
        <is>
          <t/>
        </is>
      </c>
      <c r="CT94" s="236" t="inlineStr">
        <is>
          <t/>
        </is>
      </c>
      <c r="CU94" s="237" t="inlineStr">
        <is>
          <t/>
        </is>
      </c>
      <c r="CV94" s="238" t="inlineStr">
        <is>
          <t/>
        </is>
      </c>
      <c r="CW94" s="239" t="inlineStr">
        <is>
          <t/>
        </is>
      </c>
      <c r="CX94" s="240" t="inlineStr">
        <is>
          <t/>
        </is>
      </c>
      <c r="CY94" s="241" t="inlineStr">
        <is>
          <t/>
        </is>
      </c>
      <c r="CZ94" s="242" t="inlineStr">
        <is>
          <t/>
        </is>
      </c>
      <c r="DA94" s="243" t="inlineStr">
        <is>
          <t/>
        </is>
      </c>
      <c r="DB94" s="244" t="inlineStr">
        <is>
          <t/>
        </is>
      </c>
      <c r="DC94" s="245" t="inlineStr">
        <is>
          <t/>
        </is>
      </c>
      <c r="DD94" s="246" t="inlineStr">
        <is>
          <t/>
        </is>
      </c>
      <c r="DE94" s="247" t="inlineStr">
        <is>
          <t/>
        </is>
      </c>
      <c r="DF94" s="248" t="inlineStr">
        <is>
          <t/>
        </is>
      </c>
      <c r="DG94" s="249" t="inlineStr">
        <is>
          <t/>
        </is>
      </c>
      <c r="DH94" s="250" t="inlineStr">
        <is>
          <t/>
        </is>
      </c>
      <c r="DI94" s="251" t="inlineStr">
        <is>
          <t/>
        </is>
      </c>
      <c r="DJ94" s="252" t="inlineStr">
        <is>
          <t/>
        </is>
      </c>
      <c r="DK94" s="253" t="inlineStr">
        <is>
          <t/>
        </is>
      </c>
      <c r="DL94" s="254" t="inlineStr">
        <is>
          <t/>
        </is>
      </c>
      <c r="DM94" s="255" t="inlineStr">
        <is>
          <t/>
        </is>
      </c>
      <c r="DN94" s="256" t="inlineStr">
        <is>
          <t/>
        </is>
      </c>
      <c r="DO94" s="257" t="inlineStr">
        <is>
          <t/>
        </is>
      </c>
      <c r="DP94" s="258" t="inlineStr">
        <is>
          <t/>
        </is>
      </c>
      <c r="DQ94" s="259" t="inlineStr">
        <is>
          <t/>
        </is>
      </c>
      <c r="DR94" s="260" t="inlineStr">
        <is>
          <t/>
        </is>
      </c>
      <c r="DS94" s="261" t="inlineStr">
        <is>
          <t/>
        </is>
      </c>
      <c r="DT94" s="262" t="inlineStr">
        <is>
          <t/>
        </is>
      </c>
      <c r="DU94" s="263" t="inlineStr">
        <is>
          <t/>
        </is>
      </c>
      <c r="DV94" s="264" t="inlineStr">
        <is>
          <t/>
        </is>
      </c>
      <c r="DW94" s="265" t="inlineStr">
        <is>
          <t/>
        </is>
      </c>
      <c r="DX94" s="266" t="inlineStr">
        <is>
          <t/>
        </is>
      </c>
      <c r="DY94" s="267" t="inlineStr">
        <is>
          <t>PitchBook Research</t>
        </is>
      </c>
      <c r="DZ94" s="786">
        <f>HYPERLINK("https://my.pitchbook.com?c=180860-32", "View company online")</f>
      </c>
    </row>
    <row r="95">
      <c r="A95" s="9" t="inlineStr">
        <is>
          <t>97088-59</t>
        </is>
      </c>
      <c r="B95" s="10" t="inlineStr">
        <is>
          <t>CarPrice</t>
        </is>
      </c>
      <c r="C95" s="11" t="inlineStr">
        <is>
          <t/>
        </is>
      </c>
      <c r="D95" s="12" t="inlineStr">
        <is>
          <t/>
        </is>
      </c>
      <c r="E95" s="13" t="inlineStr">
        <is>
          <t>97088-59</t>
        </is>
      </c>
      <c r="F95" s="14" t="inlineStr">
        <is>
          <t>Provider of a car selling platform in Russia designed to offer online auction. The company's car selling platform offers preliminary valuation services based on the vehicle's registration year, model and mileage in order to establish the vehicle's definitive value, providing users with free technical diagnostics and better offers.</t>
        </is>
      </c>
      <c r="G95" s="15" t="inlineStr">
        <is>
          <t>Information Technology</t>
        </is>
      </c>
      <c r="H95" s="16" t="inlineStr">
        <is>
          <t>Software</t>
        </is>
      </c>
      <c r="I95" s="17" t="inlineStr">
        <is>
          <t>Social/Platform Software</t>
        </is>
      </c>
      <c r="J95" s="18" t="inlineStr">
        <is>
          <t>Social/Platform Software*; Automotive</t>
        </is>
      </c>
      <c r="K95" s="19" t="inlineStr">
        <is>
          <t>E-Commerce</t>
        </is>
      </c>
      <c r="L95" s="20" t="inlineStr">
        <is>
          <t>Venture Capital-Backed</t>
        </is>
      </c>
      <c r="M95" s="21" t="n">
        <v>42.18</v>
      </c>
      <c r="N95" s="22" t="inlineStr">
        <is>
          <t>Generating Revenue</t>
        </is>
      </c>
      <c r="O95" s="23" t="inlineStr">
        <is>
          <t>Privately Held (backing)</t>
        </is>
      </c>
      <c r="P95" s="24" t="inlineStr">
        <is>
          <t>Venture Capital</t>
        </is>
      </c>
      <c r="Q95" s="25" t="inlineStr">
        <is>
          <t>www.carprice.ru</t>
        </is>
      </c>
      <c r="R95" s="26" t="n">
        <v>450.0</v>
      </c>
      <c r="S95" s="27" t="inlineStr">
        <is>
          <t/>
        </is>
      </c>
      <c r="T95" s="28" t="inlineStr">
        <is>
          <t/>
        </is>
      </c>
      <c r="U95" s="29" t="n">
        <v>2014.0</v>
      </c>
      <c r="V95" s="30" t="inlineStr">
        <is>
          <t/>
        </is>
      </c>
      <c r="W95" s="31" t="inlineStr">
        <is>
          <t/>
        </is>
      </c>
      <c r="X95" s="32" t="inlineStr">
        <is>
          <t/>
        </is>
      </c>
      <c r="Y95" s="33" t="inlineStr">
        <is>
          <t/>
        </is>
      </c>
      <c r="Z95" s="34" t="inlineStr">
        <is>
          <t/>
        </is>
      </c>
      <c r="AA95" s="35" t="inlineStr">
        <is>
          <t/>
        </is>
      </c>
      <c r="AB95" s="36" t="inlineStr">
        <is>
          <t/>
        </is>
      </c>
      <c r="AC95" s="37" t="inlineStr">
        <is>
          <t/>
        </is>
      </c>
      <c r="AD95" s="38" t="inlineStr">
        <is>
          <t/>
        </is>
      </c>
      <c r="AE95" s="39" t="inlineStr">
        <is>
          <t>38418-58P</t>
        </is>
      </c>
      <c r="AF95" s="40" t="inlineStr">
        <is>
          <t>Oskar Hartmann</t>
        </is>
      </c>
      <c r="AG95" s="41" t="inlineStr">
        <is>
          <t>Co-Founder</t>
        </is>
      </c>
      <c r="AH95" s="42" t="inlineStr">
        <is>
          <t/>
        </is>
      </c>
      <c r="AI95" s="43" t="inlineStr">
        <is>
          <t>+7 (8)495 620 9191</t>
        </is>
      </c>
      <c r="AJ95" s="44" t="inlineStr">
        <is>
          <t>Moscow, Russia</t>
        </is>
      </c>
      <c r="AK95" s="45" t="inlineStr">
        <is>
          <t>Ul. Academician Korolev</t>
        </is>
      </c>
      <c r="AL95" s="46" t="inlineStr">
        <is>
          <t>13, p. 1, pom. I, com. 63, 64, 3rd floor</t>
        </is>
      </c>
      <c r="AM95" s="47" t="inlineStr">
        <is>
          <t>Moscow</t>
        </is>
      </c>
      <c r="AN95" s="48" t="inlineStr">
        <is>
          <t/>
        </is>
      </c>
      <c r="AO95" s="49" t="inlineStr">
        <is>
          <t>129515</t>
        </is>
      </c>
      <c r="AP95" s="50" t="inlineStr">
        <is>
          <t>Russia</t>
        </is>
      </c>
      <c r="AQ95" s="51" t="inlineStr">
        <is>
          <t/>
        </is>
      </c>
      <c r="AR95" s="52" t="inlineStr">
        <is>
          <t/>
        </is>
      </c>
      <c r="AS95" s="53" t="inlineStr">
        <is>
          <t>info@carprice.ru</t>
        </is>
      </c>
      <c r="AT95" s="54" t="inlineStr">
        <is>
          <t>Europe</t>
        </is>
      </c>
      <c r="AU95" s="55" t="inlineStr">
        <is>
          <t>Eastern Europe</t>
        </is>
      </c>
      <c r="AV95" s="56" t="inlineStr">
        <is>
          <t>The company received about $1 million of financing from Mitsui &amp; Company on June 21, 2017, putting the company's post-money valuation at around $4 million. Earlier, the company raised $40 million of Series B venture funding in a deal led by Baring Vostok Capital Partners on July 3, 2015.</t>
        </is>
      </c>
      <c r="AW95" s="57" t="inlineStr">
        <is>
          <t>Almaz Capital, Altair Capital, Baring Vostok Capital Partners, e.ventures, Fastlane Ventures, Hartmann Holdings, Jérémie Berrebi, Kima Ventures, Mitsui &amp; Company, Oleg Tscheltzoff</t>
        </is>
      </c>
      <c r="AX95" s="58" t="n">
        <v>10.0</v>
      </c>
      <c r="AY95" s="59" t="inlineStr">
        <is>
          <t/>
        </is>
      </c>
      <c r="AZ95" s="60" t="inlineStr">
        <is>
          <t>TA Ventures</t>
        </is>
      </c>
      <c r="BA95" s="61" t="inlineStr">
        <is>
          <t/>
        </is>
      </c>
      <c r="BB95" s="62" t="inlineStr">
        <is>
          <t>Almaz Capital (www.almazcapital.com), Altair Capital (www.altair.vc), Baring Vostok Capital Partners (www.baring-vostok.com), e.ventures (www.eventures.vc), Fastlane Ventures (www.fastlaneventures.ru), Hartmann Holdings (www.hartmannholdings.com), Jérémie Berrebi (www.berrebi.org), Kima Ventures (www.kimaventures.com), Mitsui &amp; Company (www.mitsui.com)</t>
        </is>
      </c>
      <c r="BC95" s="63" t="inlineStr">
        <is>
          <t>TA Ventures (www.taventures.vc)</t>
        </is>
      </c>
      <c r="BD95" s="64" t="inlineStr">
        <is>
          <t/>
        </is>
      </c>
      <c r="BE95" s="65" t="inlineStr">
        <is>
          <t/>
        </is>
      </c>
      <c r="BF95" s="66" t="inlineStr">
        <is>
          <t/>
        </is>
      </c>
      <c r="BG95" s="67" t="inlineStr">
        <is>
          <t/>
        </is>
      </c>
      <c r="BH95" s="68" t="n">
        <v>3.39</v>
      </c>
      <c r="BI95" s="69" t="inlineStr">
        <is>
          <t>Actual</t>
        </is>
      </c>
      <c r="BJ95" s="70" t="inlineStr">
        <is>
          <t/>
        </is>
      </c>
      <c r="BK95" s="71" t="inlineStr">
        <is>
          <t/>
        </is>
      </c>
      <c r="BL95" s="72" t="inlineStr">
        <is>
          <t>Seed Round</t>
        </is>
      </c>
      <c r="BM95" s="73" t="inlineStr">
        <is>
          <t>Seed</t>
        </is>
      </c>
      <c r="BN95" s="74" t="inlineStr">
        <is>
          <t/>
        </is>
      </c>
      <c r="BO95" s="75" t="inlineStr">
        <is>
          <t>Venture Capital</t>
        </is>
      </c>
      <c r="BP95" s="76" t="inlineStr">
        <is>
          <t/>
        </is>
      </c>
      <c r="BQ95" s="77" t="inlineStr">
        <is>
          <t/>
        </is>
      </c>
      <c r="BR95" s="78" t="inlineStr">
        <is>
          <t/>
        </is>
      </c>
      <c r="BS95" s="79" t="inlineStr">
        <is>
          <t>Completed</t>
        </is>
      </c>
      <c r="BT95" s="80" t="n">
        <v>42907.0</v>
      </c>
      <c r="BU95" s="81" t="n">
        <v>0.89</v>
      </c>
      <c r="BV95" s="82" t="inlineStr">
        <is>
          <t>Estimated</t>
        </is>
      </c>
      <c r="BW95" s="83" t="n">
        <v>3.56</v>
      </c>
      <c r="BX95" s="84" t="inlineStr">
        <is>
          <t>Estimated</t>
        </is>
      </c>
      <c r="BY95" s="85" t="inlineStr">
        <is>
          <t>Corporate</t>
        </is>
      </c>
      <c r="BZ95" s="86" t="inlineStr">
        <is>
          <t>Corporate</t>
        </is>
      </c>
      <c r="CA95" s="87" t="inlineStr">
        <is>
          <t/>
        </is>
      </c>
      <c r="CB95" s="88" t="inlineStr">
        <is>
          <t>Corporate</t>
        </is>
      </c>
      <c r="CC95" s="89" t="inlineStr">
        <is>
          <t/>
        </is>
      </c>
      <c r="CD95" s="90" t="inlineStr">
        <is>
          <t/>
        </is>
      </c>
      <c r="CE95" s="91" t="inlineStr">
        <is>
          <t/>
        </is>
      </c>
      <c r="CF95" s="92" t="inlineStr">
        <is>
          <t>Completed</t>
        </is>
      </c>
      <c r="CG95" s="93" t="inlineStr">
        <is>
          <t>3,20%</t>
        </is>
      </c>
      <c r="CH95" s="94" t="inlineStr">
        <is>
          <t>96</t>
        </is>
      </c>
      <c r="CI95" s="95" t="inlineStr">
        <is>
          <t>0,13%</t>
        </is>
      </c>
      <c r="CJ95" s="96" t="inlineStr">
        <is>
          <t>4,15%</t>
        </is>
      </c>
      <c r="CK95" s="97" t="inlineStr">
        <is>
          <t>4,94%</t>
        </is>
      </c>
      <c r="CL95" s="98" t="inlineStr">
        <is>
          <t>96</t>
        </is>
      </c>
      <c r="CM95" s="99" t="inlineStr">
        <is>
          <t>1,46%</t>
        </is>
      </c>
      <c r="CN95" s="100" t="inlineStr">
        <is>
          <t>98</t>
        </is>
      </c>
      <c r="CO95" s="101" t="inlineStr">
        <is>
          <t>4,94%</t>
        </is>
      </c>
      <c r="CP95" s="102" t="inlineStr">
        <is>
          <t>96</t>
        </is>
      </c>
      <c r="CQ95" s="103" t="inlineStr">
        <is>
          <t/>
        </is>
      </c>
      <c r="CR95" s="104" t="inlineStr">
        <is>
          <t/>
        </is>
      </c>
      <c r="CS95" s="105" t="inlineStr">
        <is>
          <t>1,46%</t>
        </is>
      </c>
      <c r="CT95" s="106" t="inlineStr">
        <is>
          <t>97</t>
        </is>
      </c>
      <c r="CU95" s="107" t="inlineStr">
        <is>
          <t/>
        </is>
      </c>
      <c r="CV95" s="108" t="inlineStr">
        <is>
          <t/>
        </is>
      </c>
      <c r="CW95" s="109" t="inlineStr">
        <is>
          <t>222,81x</t>
        </is>
      </c>
      <c r="CX95" s="110" t="inlineStr">
        <is>
          <t>99</t>
        </is>
      </c>
      <c r="CY95" s="111" t="inlineStr">
        <is>
          <t>0,09x</t>
        </is>
      </c>
      <c r="CZ95" s="112" t="inlineStr">
        <is>
          <t>0,04%</t>
        </is>
      </c>
      <c r="DA95" s="113" t="inlineStr">
        <is>
          <t>441,72x</t>
        </is>
      </c>
      <c r="DB95" s="114" t="inlineStr">
        <is>
          <t>100</t>
        </is>
      </c>
      <c r="DC95" s="115" t="inlineStr">
        <is>
          <t>3,89x</t>
        </is>
      </c>
      <c r="DD95" s="116" t="inlineStr">
        <is>
          <t>72</t>
        </is>
      </c>
      <c r="DE95" s="117" t="inlineStr">
        <is>
          <t>441,72x</t>
        </is>
      </c>
      <c r="DF95" s="118" t="inlineStr">
        <is>
          <t>99</t>
        </is>
      </c>
      <c r="DG95" s="119" t="inlineStr">
        <is>
          <t/>
        </is>
      </c>
      <c r="DH95" s="120" t="inlineStr">
        <is>
          <t/>
        </is>
      </c>
      <c r="DI95" s="121" t="inlineStr">
        <is>
          <t>3,89x</t>
        </is>
      </c>
      <c r="DJ95" s="122" t="inlineStr">
        <is>
          <t>72</t>
        </is>
      </c>
      <c r="DK95" s="123" t="inlineStr">
        <is>
          <t/>
        </is>
      </c>
      <c r="DL95" s="124" t="inlineStr">
        <is>
          <t/>
        </is>
      </c>
      <c r="DM95" s="125" t="inlineStr">
        <is>
          <t>269.777</t>
        </is>
      </c>
      <c r="DN95" s="126" t="inlineStr">
        <is>
          <t>5.647</t>
        </is>
      </c>
      <c r="DO95" s="127" t="inlineStr">
        <is>
          <t>2,14%</t>
        </is>
      </c>
      <c r="DP95" s="128" t="inlineStr">
        <is>
          <t>3.064</t>
        </is>
      </c>
      <c r="DQ95" s="129" t="inlineStr">
        <is>
          <t>71</t>
        </is>
      </c>
      <c r="DR95" s="130" t="inlineStr">
        <is>
          <t>2,37%</t>
        </is>
      </c>
      <c r="DS95" s="131" t="inlineStr">
        <is>
          <t/>
        </is>
      </c>
      <c r="DT95" s="132" t="inlineStr">
        <is>
          <t/>
        </is>
      </c>
      <c r="DU95" s="133" t="inlineStr">
        <is>
          <t/>
        </is>
      </c>
      <c r="DV95" s="134" t="inlineStr">
        <is>
          <t/>
        </is>
      </c>
      <c r="DW95" s="135" t="inlineStr">
        <is>
          <t/>
        </is>
      </c>
      <c r="DX95" s="136" t="inlineStr">
        <is>
          <t/>
        </is>
      </c>
      <c r="DY95" s="137" t="inlineStr">
        <is>
          <t>PitchBook Research</t>
        </is>
      </c>
      <c r="DZ95" s="785">
        <f>HYPERLINK("https://my.pitchbook.com?c=97088-59", "View company online")</f>
      </c>
    </row>
    <row r="96">
      <c r="A96" s="139" t="inlineStr">
        <is>
          <t>158210-92</t>
        </is>
      </c>
      <c r="B96" s="140" t="inlineStr">
        <is>
          <t>Carrick Therapeutics</t>
        </is>
      </c>
      <c r="C96" s="141" t="inlineStr">
        <is>
          <t>Navillus Therapeutics</t>
        </is>
      </c>
      <c r="D96" s="142" t="inlineStr">
        <is>
          <t/>
        </is>
      </c>
      <c r="E96" s="143" t="inlineStr">
        <is>
          <t>158210-92</t>
        </is>
      </c>
      <c r="F96" s="144" t="inlineStr">
        <is>
          <t>Developer of cancer therapeutics. The company develops therapeutic devices for the treatment of cancer.</t>
        </is>
      </c>
      <c r="G96" s="145" t="inlineStr">
        <is>
          <t>Healthcare</t>
        </is>
      </c>
      <c r="H96" s="146" t="inlineStr">
        <is>
          <t>Pharmaceuticals and Biotechnology</t>
        </is>
      </c>
      <c r="I96" s="147" t="inlineStr">
        <is>
          <t>Biotechnology</t>
        </is>
      </c>
      <c r="J96" s="148" t="inlineStr">
        <is>
          <t>Biotechnology*; Therapeutic Devices; Other Devices and Supplies</t>
        </is>
      </c>
      <c r="K96" s="149" t="inlineStr">
        <is>
          <t>Oncology</t>
        </is>
      </c>
      <c r="L96" s="150" t="inlineStr">
        <is>
          <t>Venture Capital-Backed</t>
        </is>
      </c>
      <c r="M96" s="151" t="n">
        <v>86.02</v>
      </c>
      <c r="N96" s="152" t="inlineStr">
        <is>
          <t>Startup</t>
        </is>
      </c>
      <c r="O96" s="153" t="inlineStr">
        <is>
          <t>Privately Held (backing)</t>
        </is>
      </c>
      <c r="P96" s="154" t="inlineStr">
        <is>
          <t>Venture Capital</t>
        </is>
      </c>
      <c r="Q96" s="155" t="inlineStr">
        <is>
          <t>www.carricktherapeutics.com</t>
        </is>
      </c>
      <c r="R96" s="156" t="inlineStr">
        <is>
          <t/>
        </is>
      </c>
      <c r="S96" s="157" t="inlineStr">
        <is>
          <t/>
        </is>
      </c>
      <c r="T96" s="158" t="inlineStr">
        <is>
          <t/>
        </is>
      </c>
      <c r="U96" s="159" t="n">
        <v>2015.0</v>
      </c>
      <c r="V96" s="160" t="inlineStr">
        <is>
          <t/>
        </is>
      </c>
      <c r="W96" s="161" t="inlineStr">
        <is>
          <t/>
        </is>
      </c>
      <c r="X96" s="162" t="inlineStr">
        <is>
          <t/>
        </is>
      </c>
      <c r="Y96" s="163" t="inlineStr">
        <is>
          <t/>
        </is>
      </c>
      <c r="Z96" s="164" t="inlineStr">
        <is>
          <t/>
        </is>
      </c>
      <c r="AA96" s="165" t="inlineStr">
        <is>
          <t/>
        </is>
      </c>
      <c r="AB96" s="166" t="inlineStr">
        <is>
          <t/>
        </is>
      </c>
      <c r="AC96" s="167" t="inlineStr">
        <is>
          <t/>
        </is>
      </c>
      <c r="AD96" s="168" t="inlineStr">
        <is>
          <t/>
        </is>
      </c>
      <c r="AE96" s="169" t="inlineStr">
        <is>
          <t>68605-12P</t>
        </is>
      </c>
      <c r="AF96" s="170" t="inlineStr">
        <is>
          <t>Elaine Sullivan</t>
        </is>
      </c>
      <c r="AG96" s="171" t="inlineStr">
        <is>
          <t>Co-Founder, Chief Executive Officer &amp; Board Member</t>
        </is>
      </c>
      <c r="AH96" s="172" t="inlineStr">
        <is>
          <t>elaine@carricktherapeutics.com</t>
        </is>
      </c>
      <c r="AI96" s="173" t="inlineStr">
        <is>
          <t/>
        </is>
      </c>
      <c r="AJ96" s="174" t="inlineStr">
        <is>
          <t>Dublin, Ireland</t>
        </is>
      </c>
      <c r="AK96" s="175" t="inlineStr">
        <is>
          <t>Arthur Cox Building</t>
        </is>
      </c>
      <c r="AL96" s="176" t="inlineStr">
        <is>
          <t>Earlsfort Terrace</t>
        </is>
      </c>
      <c r="AM96" s="177" t="inlineStr">
        <is>
          <t>Dublin</t>
        </is>
      </c>
      <c r="AN96" s="178" t="inlineStr">
        <is>
          <t/>
        </is>
      </c>
      <c r="AO96" s="179" t="inlineStr">
        <is>
          <t>D02 CK83</t>
        </is>
      </c>
      <c r="AP96" s="180" t="inlineStr">
        <is>
          <t>Ireland</t>
        </is>
      </c>
      <c r="AQ96" s="181" t="inlineStr">
        <is>
          <t/>
        </is>
      </c>
      <c r="AR96" s="182" t="inlineStr">
        <is>
          <t/>
        </is>
      </c>
      <c r="AS96" s="183" t="inlineStr">
        <is>
          <t/>
        </is>
      </c>
      <c r="AT96" s="184" t="inlineStr">
        <is>
          <t>Europe</t>
        </is>
      </c>
      <c r="AU96" s="185" t="inlineStr">
        <is>
          <t>Western Europe</t>
        </is>
      </c>
      <c r="AV96" s="186" t="inlineStr">
        <is>
          <t>The company raised $95 million of Series A venture funding from lead investors ARCH Venture Partners and Woodford Investment Management on October 3, 2016. Cambridge Enterprise Seed Funds, Cambridge Innovation Capital, Evotec, GV and Lightstone Ventures also participated.</t>
        </is>
      </c>
      <c r="AW96" s="187" t="inlineStr">
        <is>
          <t>ARCH Venture Partners, Cambridge Enterprise, Cambridge Innovation Capital, Evotec, GV, Lightstone Ventures, Woodford Investment Management</t>
        </is>
      </c>
      <c r="AX96" s="188" t="n">
        <v>7.0</v>
      </c>
      <c r="AY96" s="189" t="inlineStr">
        <is>
          <t/>
        </is>
      </c>
      <c r="AZ96" s="190" t="inlineStr">
        <is>
          <t/>
        </is>
      </c>
      <c r="BA96" s="191" t="inlineStr">
        <is>
          <t/>
        </is>
      </c>
      <c r="BB96" s="192" t="inlineStr">
        <is>
          <t>ARCH Venture Partners (www.archventure.com), Cambridge Enterprise (www.enterprise.cam.ac.uk), Cambridge Innovation Capital (www.cicplc.co.uk), Evotec (www.evotec.com), GV (www.gv.com), Lightstone Ventures (www.lightstonevc.com), Woodford Investment Management (woodfordfunds.com)</t>
        </is>
      </c>
      <c r="BC96" s="193" t="inlineStr">
        <is>
          <t/>
        </is>
      </c>
      <c r="BD96" s="194" t="inlineStr">
        <is>
          <t/>
        </is>
      </c>
      <c r="BE96" s="195" t="inlineStr">
        <is>
          <t/>
        </is>
      </c>
      <c r="BF96" s="196" t="inlineStr">
        <is>
          <t/>
        </is>
      </c>
      <c r="BG96" s="197" t="n">
        <v>42646.0</v>
      </c>
      <c r="BH96" s="198" t="n">
        <v>86.02</v>
      </c>
      <c r="BI96" s="199" t="inlineStr">
        <is>
          <t>Actual</t>
        </is>
      </c>
      <c r="BJ96" s="200" t="inlineStr">
        <is>
          <t/>
        </is>
      </c>
      <c r="BK96" s="201" t="inlineStr">
        <is>
          <t/>
        </is>
      </c>
      <c r="BL96" s="202" t="inlineStr">
        <is>
          <t>Early Stage VC</t>
        </is>
      </c>
      <c r="BM96" s="203" t="inlineStr">
        <is>
          <t>Series A</t>
        </is>
      </c>
      <c r="BN96" s="204" t="inlineStr">
        <is>
          <t/>
        </is>
      </c>
      <c r="BO96" s="205" t="inlineStr">
        <is>
          <t>Venture Capital</t>
        </is>
      </c>
      <c r="BP96" s="206" t="inlineStr">
        <is>
          <t/>
        </is>
      </c>
      <c r="BQ96" s="207" t="inlineStr">
        <is>
          <t/>
        </is>
      </c>
      <c r="BR96" s="208" t="inlineStr">
        <is>
          <t/>
        </is>
      </c>
      <c r="BS96" s="209" t="inlineStr">
        <is>
          <t>Completed</t>
        </is>
      </c>
      <c r="BT96" s="210" t="n">
        <v>42646.0</v>
      </c>
      <c r="BU96" s="211" t="n">
        <v>86.02</v>
      </c>
      <c r="BV96" s="212" t="inlineStr">
        <is>
          <t>Actual</t>
        </is>
      </c>
      <c r="BW96" s="213" t="inlineStr">
        <is>
          <t/>
        </is>
      </c>
      <c r="BX96" s="214" t="inlineStr">
        <is>
          <t/>
        </is>
      </c>
      <c r="BY96" s="215" t="inlineStr">
        <is>
          <t>Early Stage VC</t>
        </is>
      </c>
      <c r="BZ96" s="216" t="inlineStr">
        <is>
          <t>Series A</t>
        </is>
      </c>
      <c r="CA96" s="217" t="inlineStr">
        <is>
          <t/>
        </is>
      </c>
      <c r="CB96" s="218" t="inlineStr">
        <is>
          <t>Venture Capital</t>
        </is>
      </c>
      <c r="CC96" s="219" t="inlineStr">
        <is>
          <t/>
        </is>
      </c>
      <c r="CD96" s="220" t="inlineStr">
        <is>
          <t/>
        </is>
      </c>
      <c r="CE96" s="221" t="inlineStr">
        <is>
          <t/>
        </is>
      </c>
      <c r="CF96" s="222" t="inlineStr">
        <is>
          <t>Completed</t>
        </is>
      </c>
      <c r="CG96" s="223" t="inlineStr">
        <is>
          <t>0,00%</t>
        </is>
      </c>
      <c r="CH96" s="224" t="inlineStr">
        <is>
          <t>23</t>
        </is>
      </c>
      <c r="CI96" s="225" t="inlineStr">
        <is>
          <t>0,00%</t>
        </is>
      </c>
      <c r="CJ96" s="226" t="inlineStr">
        <is>
          <t>0,00%</t>
        </is>
      </c>
      <c r="CK96" s="227" t="inlineStr">
        <is>
          <t>0,00%</t>
        </is>
      </c>
      <c r="CL96" s="228" t="inlineStr">
        <is>
          <t>18</t>
        </is>
      </c>
      <c r="CM96" s="229" t="inlineStr">
        <is>
          <t/>
        </is>
      </c>
      <c r="CN96" s="230" t="inlineStr">
        <is>
          <t/>
        </is>
      </c>
      <c r="CO96" s="231" t="inlineStr">
        <is>
          <t>0,00%</t>
        </is>
      </c>
      <c r="CP96" s="232" t="inlineStr">
        <is>
          <t>26</t>
        </is>
      </c>
      <c r="CQ96" s="233" t="inlineStr">
        <is>
          <t>0,00%</t>
        </is>
      </c>
      <c r="CR96" s="234" t="inlineStr">
        <is>
          <t>13</t>
        </is>
      </c>
      <c r="CS96" s="235" t="inlineStr">
        <is>
          <t/>
        </is>
      </c>
      <c r="CT96" s="236" t="inlineStr">
        <is>
          <t/>
        </is>
      </c>
      <c r="CU96" s="237" t="inlineStr">
        <is>
          <t/>
        </is>
      </c>
      <c r="CV96" s="238" t="inlineStr">
        <is>
          <t/>
        </is>
      </c>
      <c r="CW96" s="239" t="inlineStr">
        <is>
          <t>0,66x</t>
        </is>
      </c>
      <c r="CX96" s="240" t="inlineStr">
        <is>
          <t>40</t>
        </is>
      </c>
      <c r="CY96" s="241" t="inlineStr">
        <is>
          <t>-0,01x</t>
        </is>
      </c>
      <c r="CZ96" s="242" t="inlineStr">
        <is>
          <t>-0,79%</t>
        </is>
      </c>
      <c r="DA96" s="243" t="inlineStr">
        <is>
          <t>0,66x</t>
        </is>
      </c>
      <c r="DB96" s="244" t="inlineStr">
        <is>
          <t>42</t>
        </is>
      </c>
      <c r="DC96" s="245" t="inlineStr">
        <is>
          <t/>
        </is>
      </c>
      <c r="DD96" s="246" t="inlineStr">
        <is>
          <t/>
        </is>
      </c>
      <c r="DE96" s="247" t="inlineStr">
        <is>
          <t>0,71x</t>
        </is>
      </c>
      <c r="DF96" s="248" t="inlineStr">
        <is>
          <t>43</t>
        </is>
      </c>
      <c r="DG96" s="249" t="inlineStr">
        <is>
          <t>0,61x</t>
        </is>
      </c>
      <c r="DH96" s="250" t="inlineStr">
        <is>
          <t>40</t>
        </is>
      </c>
      <c r="DI96" s="251" t="inlineStr">
        <is>
          <t/>
        </is>
      </c>
      <c r="DJ96" s="252" t="inlineStr">
        <is>
          <t/>
        </is>
      </c>
      <c r="DK96" s="253" t="inlineStr">
        <is>
          <t/>
        </is>
      </c>
      <c r="DL96" s="254" t="inlineStr">
        <is>
          <t/>
        </is>
      </c>
      <c r="DM96" s="255" t="inlineStr">
        <is>
          <t>409</t>
        </is>
      </c>
      <c r="DN96" s="256" t="inlineStr">
        <is>
          <t>85</t>
        </is>
      </c>
      <c r="DO96" s="257" t="inlineStr">
        <is>
          <t>26,23%</t>
        </is>
      </c>
      <c r="DP96" s="258" t="inlineStr">
        <is>
          <t/>
        </is>
      </c>
      <c r="DQ96" s="259" t="inlineStr">
        <is>
          <t/>
        </is>
      </c>
      <c r="DR96" s="260" t="inlineStr">
        <is>
          <t/>
        </is>
      </c>
      <c r="DS96" s="261" t="inlineStr">
        <is>
          <t>22</t>
        </is>
      </c>
      <c r="DT96" s="262" t="inlineStr">
        <is>
          <t>-1</t>
        </is>
      </c>
      <c r="DU96" s="263" t="inlineStr">
        <is>
          <t>-4,35%</t>
        </is>
      </c>
      <c r="DV96" s="264" t="inlineStr">
        <is>
          <t/>
        </is>
      </c>
      <c r="DW96" s="265" t="inlineStr">
        <is>
          <t/>
        </is>
      </c>
      <c r="DX96" s="266" t="inlineStr">
        <is>
          <t/>
        </is>
      </c>
      <c r="DY96" s="267" t="inlineStr">
        <is>
          <t>PitchBook Research</t>
        </is>
      </c>
      <c r="DZ96" s="786">
        <f>HYPERLINK("https://my.pitchbook.com?c=158210-92", "View company online")</f>
      </c>
    </row>
    <row r="97">
      <c r="A97" s="9" t="inlineStr">
        <is>
          <t>65794-60</t>
        </is>
      </c>
      <c r="B97" s="10" t="inlineStr">
        <is>
          <t>CashSentinel</t>
        </is>
      </c>
      <c r="C97" s="11" t="inlineStr">
        <is>
          <t/>
        </is>
      </c>
      <c r="D97" s="12" t="inlineStr">
        <is>
          <t/>
        </is>
      </c>
      <c r="E97" s="13" t="inlineStr">
        <is>
          <t>65794-60</t>
        </is>
      </c>
      <c r="F97" s="14" t="inlineStr">
        <is>
          <t>Developer of a mobile payment application deigned to help users pay and buy used vehicles. The company's mobile payment application helps buyer to select the vehicle of their choice based on their preference of make, type, color, price and engines, enabling them to pay for that vehicle and purchase the same.</t>
        </is>
      </c>
      <c r="G97" s="15" t="inlineStr">
        <is>
          <t>Information Technology</t>
        </is>
      </c>
      <c r="H97" s="16" t="inlineStr">
        <is>
          <t>Software</t>
        </is>
      </c>
      <c r="I97" s="17" t="inlineStr">
        <is>
          <t>Application Software</t>
        </is>
      </c>
      <c r="J97" s="18" t="inlineStr">
        <is>
          <t>Application Software*; Financial Software</t>
        </is>
      </c>
      <c r="K97" s="19" t="inlineStr">
        <is>
          <t>FinTech, Mobile</t>
        </is>
      </c>
      <c r="L97" s="20" t="inlineStr">
        <is>
          <t>Venture Capital-Backed</t>
        </is>
      </c>
      <c r="M97" s="21" t="n">
        <v>125.56</v>
      </c>
      <c r="N97" s="22" t="inlineStr">
        <is>
          <t>Startup</t>
        </is>
      </c>
      <c r="O97" s="23" t="inlineStr">
        <is>
          <t>Privately Held (backing)</t>
        </is>
      </c>
      <c r="P97" s="24" t="inlineStr">
        <is>
          <t>Venture Capital</t>
        </is>
      </c>
      <c r="Q97" s="25" t="inlineStr">
        <is>
          <t>www.cashsentinel.com</t>
        </is>
      </c>
      <c r="R97" s="26" t="n">
        <v>5.0</v>
      </c>
      <c r="S97" s="27" t="inlineStr">
        <is>
          <t/>
        </is>
      </c>
      <c r="T97" s="28" t="inlineStr">
        <is>
          <t/>
        </is>
      </c>
      <c r="U97" s="29" t="n">
        <v>2012.0</v>
      </c>
      <c r="V97" s="30" t="inlineStr">
        <is>
          <t/>
        </is>
      </c>
      <c r="W97" s="31" t="inlineStr">
        <is>
          <t/>
        </is>
      </c>
      <c r="X97" s="32" t="inlineStr">
        <is>
          <t/>
        </is>
      </c>
      <c r="Y97" s="33" t="inlineStr">
        <is>
          <t/>
        </is>
      </c>
      <c r="Z97" s="34" t="inlineStr">
        <is>
          <t/>
        </is>
      </c>
      <c r="AA97" s="35" t="inlineStr">
        <is>
          <t/>
        </is>
      </c>
      <c r="AB97" s="36" t="inlineStr">
        <is>
          <t/>
        </is>
      </c>
      <c r="AC97" s="37" t="inlineStr">
        <is>
          <t/>
        </is>
      </c>
      <c r="AD97" s="38" t="inlineStr">
        <is>
          <t/>
        </is>
      </c>
      <c r="AE97" s="39" t="inlineStr">
        <is>
          <t>108578-80P</t>
        </is>
      </c>
      <c r="AF97" s="40" t="inlineStr">
        <is>
          <t>Sylvain Bertolus</t>
        </is>
      </c>
      <c r="AG97" s="41" t="inlineStr">
        <is>
          <t>Co-Founder, Board Member, Director &amp; Chief Executive Officer</t>
        </is>
      </c>
      <c r="AH97" s="42" t="inlineStr">
        <is>
          <t/>
        </is>
      </c>
      <c r="AI97" s="43" t="inlineStr">
        <is>
          <t>+41 (0)24 552 0060</t>
        </is>
      </c>
      <c r="AJ97" s="44" t="inlineStr">
        <is>
          <t>Yverdon-les-Bains, Switzerland</t>
        </is>
      </c>
      <c r="AK97" s="45" t="inlineStr">
        <is>
          <t>Rue Galilée 7</t>
        </is>
      </c>
      <c r="AL97" s="46" t="inlineStr">
        <is>
          <t/>
        </is>
      </c>
      <c r="AM97" s="47" t="inlineStr">
        <is>
          <t>Yverdon-les-Bains</t>
        </is>
      </c>
      <c r="AN97" s="48" t="inlineStr">
        <is>
          <t/>
        </is>
      </c>
      <c r="AO97" s="49" t="inlineStr">
        <is>
          <t>1400</t>
        </is>
      </c>
      <c r="AP97" s="50" t="inlineStr">
        <is>
          <t>Switzerland</t>
        </is>
      </c>
      <c r="AQ97" s="51" t="inlineStr">
        <is>
          <t>+41 (0)24 552 0060</t>
        </is>
      </c>
      <c r="AR97" s="52" t="inlineStr">
        <is>
          <t/>
        </is>
      </c>
      <c r="AS97" s="53" t="inlineStr">
        <is>
          <t>support@cashsentinel.com</t>
        </is>
      </c>
      <c r="AT97" s="54" t="inlineStr">
        <is>
          <t>Europe</t>
        </is>
      </c>
      <c r="AU97" s="55" t="inlineStr">
        <is>
          <t>Western Europe</t>
        </is>
      </c>
      <c r="AV97" s="56" t="inlineStr">
        <is>
          <t>The company raised seed funding from Business Angels Switzerland, GoBeyond and other undisclosed angel investors on June 9, 2015. Previously, the company joined Y-Parc on December 31, 2014.</t>
        </is>
      </c>
      <c r="AW97" s="57" t="inlineStr">
        <is>
          <t>Business Angels Switzerland (BAS), Go Beyond, Swiss Finance Startups, Swisscom Ventures, Venture kick, Y-Parc</t>
        </is>
      </c>
      <c r="AX97" s="58" t="n">
        <v>6.0</v>
      </c>
      <c r="AY97" s="59" t="inlineStr">
        <is>
          <t/>
        </is>
      </c>
      <c r="AZ97" s="60" t="inlineStr">
        <is>
          <t/>
        </is>
      </c>
      <c r="BA97" s="61" t="inlineStr">
        <is>
          <t/>
        </is>
      </c>
      <c r="BB97" s="62" t="inlineStr">
        <is>
          <t>Business Angels Switzerland (BAS) (businessangels.ch), Go Beyond (www.go-beyond.biz), Swiss Finance Startups (www.swissfinancestartups.com), Venture kick (www.venturekick.ch), Y-Parc (www.y-parc.ch)</t>
        </is>
      </c>
      <c r="BC97" s="63" t="inlineStr">
        <is>
          <t/>
        </is>
      </c>
      <c r="BD97" s="64" t="inlineStr">
        <is>
          <t/>
        </is>
      </c>
      <c r="BE97" s="65" t="inlineStr">
        <is>
          <t/>
        </is>
      </c>
      <c r="BF97" s="66" t="inlineStr">
        <is>
          <t/>
        </is>
      </c>
      <c r="BG97" s="67" t="n">
        <v>41244.0</v>
      </c>
      <c r="BH97" s="68" t="n">
        <v>0.32</v>
      </c>
      <c r="BI97" s="69" t="inlineStr">
        <is>
          <t>Actual</t>
        </is>
      </c>
      <c r="BJ97" s="70" t="inlineStr">
        <is>
          <t/>
        </is>
      </c>
      <c r="BK97" s="71" t="inlineStr">
        <is>
          <t/>
        </is>
      </c>
      <c r="BL97" s="72" t="inlineStr">
        <is>
          <t>Accelerator/Incubator</t>
        </is>
      </c>
      <c r="BM97" s="73" t="inlineStr">
        <is>
          <t/>
        </is>
      </c>
      <c r="BN97" s="74" t="inlineStr">
        <is>
          <t/>
        </is>
      </c>
      <c r="BO97" s="75" t="inlineStr">
        <is>
          <t>Other</t>
        </is>
      </c>
      <c r="BP97" s="76" t="inlineStr">
        <is>
          <t/>
        </is>
      </c>
      <c r="BQ97" s="77" t="inlineStr">
        <is>
          <t/>
        </is>
      </c>
      <c r="BR97" s="78" t="inlineStr">
        <is>
          <t/>
        </is>
      </c>
      <c r="BS97" s="79" t="inlineStr">
        <is>
          <t>Completed</t>
        </is>
      </c>
      <c r="BT97" s="80" t="n">
        <v>42164.0</v>
      </c>
      <c r="BU97" s="81" t="inlineStr">
        <is>
          <t/>
        </is>
      </c>
      <c r="BV97" s="82" t="inlineStr">
        <is>
          <t/>
        </is>
      </c>
      <c r="BW97" s="83" t="inlineStr">
        <is>
          <t/>
        </is>
      </c>
      <c r="BX97" s="84" t="inlineStr">
        <is>
          <t/>
        </is>
      </c>
      <c r="BY97" s="85" t="inlineStr">
        <is>
          <t>Seed Round</t>
        </is>
      </c>
      <c r="BZ97" s="86" t="inlineStr">
        <is>
          <t>Seed</t>
        </is>
      </c>
      <c r="CA97" s="87" t="inlineStr">
        <is>
          <t/>
        </is>
      </c>
      <c r="CB97" s="88" t="inlineStr">
        <is>
          <t>Individual</t>
        </is>
      </c>
      <c r="CC97" s="89" t="inlineStr">
        <is>
          <t/>
        </is>
      </c>
      <c r="CD97" s="90" t="inlineStr">
        <is>
          <t/>
        </is>
      </c>
      <c r="CE97" s="91" t="inlineStr">
        <is>
          <t/>
        </is>
      </c>
      <c r="CF97" s="92" t="inlineStr">
        <is>
          <t>Completed</t>
        </is>
      </c>
      <c r="CG97" s="93" t="inlineStr">
        <is>
          <t>-2,07%</t>
        </is>
      </c>
      <c r="CH97" s="94" t="inlineStr">
        <is>
          <t>2</t>
        </is>
      </c>
      <c r="CI97" s="95" t="inlineStr">
        <is>
          <t>-0,09%</t>
        </is>
      </c>
      <c r="CJ97" s="96" t="inlineStr">
        <is>
          <t>-4,49%</t>
        </is>
      </c>
      <c r="CK97" s="97" t="inlineStr">
        <is>
          <t>-4,30%</t>
        </is>
      </c>
      <c r="CL97" s="98" t="inlineStr">
        <is>
          <t>2</t>
        </is>
      </c>
      <c r="CM97" s="99" t="inlineStr">
        <is>
          <t>0,15%</t>
        </is>
      </c>
      <c r="CN97" s="100" t="inlineStr">
        <is>
          <t>67</t>
        </is>
      </c>
      <c r="CO97" s="101" t="inlineStr">
        <is>
          <t>-9,18%</t>
        </is>
      </c>
      <c r="CP97" s="102" t="inlineStr">
        <is>
          <t>2</t>
        </is>
      </c>
      <c r="CQ97" s="103" t="inlineStr">
        <is>
          <t>0,59%</t>
        </is>
      </c>
      <c r="CR97" s="104" t="inlineStr">
        <is>
          <t>87</t>
        </is>
      </c>
      <c r="CS97" s="105" t="inlineStr">
        <is>
          <t>-0,05%</t>
        </is>
      </c>
      <c r="CT97" s="106" t="inlineStr">
        <is>
          <t>6</t>
        </is>
      </c>
      <c r="CU97" s="107" t="inlineStr">
        <is>
          <t>0,35%</t>
        </is>
      </c>
      <c r="CV97" s="108" t="inlineStr">
        <is>
          <t>87</t>
        </is>
      </c>
      <c r="CW97" s="109" t="inlineStr">
        <is>
          <t>2,63x</t>
        </is>
      </c>
      <c r="CX97" s="110" t="inlineStr">
        <is>
          <t>69</t>
        </is>
      </c>
      <c r="CY97" s="111" t="inlineStr">
        <is>
          <t>0,05x</t>
        </is>
      </c>
      <c r="CZ97" s="112" t="inlineStr">
        <is>
          <t>1,91%</t>
        </is>
      </c>
      <c r="DA97" s="113" t="inlineStr">
        <is>
          <t>2,61x</t>
        </is>
      </c>
      <c r="DB97" s="114" t="inlineStr">
        <is>
          <t>71</t>
        </is>
      </c>
      <c r="DC97" s="115" t="inlineStr">
        <is>
          <t>2,65x</t>
        </is>
      </c>
      <c r="DD97" s="116" t="inlineStr">
        <is>
          <t>66</t>
        </is>
      </c>
      <c r="DE97" s="117" t="inlineStr">
        <is>
          <t>2,16x</t>
        </is>
      </c>
      <c r="DF97" s="118" t="inlineStr">
        <is>
          <t>65</t>
        </is>
      </c>
      <c r="DG97" s="119" t="inlineStr">
        <is>
          <t>3,06x</t>
        </is>
      </c>
      <c r="DH97" s="120" t="inlineStr">
        <is>
          <t>72</t>
        </is>
      </c>
      <c r="DI97" s="121" t="inlineStr">
        <is>
          <t>4,32x</t>
        </is>
      </c>
      <c r="DJ97" s="122" t="inlineStr">
        <is>
          <t>73</t>
        </is>
      </c>
      <c r="DK97" s="123" t="inlineStr">
        <is>
          <t>0,97x</t>
        </is>
      </c>
      <c r="DL97" s="124" t="inlineStr">
        <is>
          <t>50</t>
        </is>
      </c>
      <c r="DM97" s="125" t="inlineStr">
        <is>
          <t>1.372</t>
        </is>
      </c>
      <c r="DN97" s="126" t="inlineStr">
        <is>
          <t>-124</t>
        </is>
      </c>
      <c r="DO97" s="127" t="inlineStr">
        <is>
          <t>-8,29%</t>
        </is>
      </c>
      <c r="DP97" s="128" t="inlineStr">
        <is>
          <t>3.450</t>
        </is>
      </c>
      <c r="DQ97" s="129" t="inlineStr">
        <is>
          <t>-1</t>
        </is>
      </c>
      <c r="DR97" s="130" t="inlineStr">
        <is>
          <t>-0,03%</t>
        </is>
      </c>
      <c r="DS97" s="131" t="inlineStr">
        <is>
          <t>110</t>
        </is>
      </c>
      <c r="DT97" s="132" t="inlineStr">
        <is>
          <t>0</t>
        </is>
      </c>
      <c r="DU97" s="133" t="inlineStr">
        <is>
          <t>0,00%</t>
        </is>
      </c>
      <c r="DV97" s="134" t="inlineStr">
        <is>
          <t>332</t>
        </is>
      </c>
      <c r="DW97" s="135" t="inlineStr">
        <is>
          <t>2</t>
        </is>
      </c>
      <c r="DX97" s="136" t="inlineStr">
        <is>
          <t>0,61%</t>
        </is>
      </c>
      <c r="DY97" s="137" t="inlineStr">
        <is>
          <t>PitchBook Research</t>
        </is>
      </c>
      <c r="DZ97" s="785">
        <f>HYPERLINK("https://my.pitchbook.com?c=65794-60", "View company online")</f>
      </c>
    </row>
    <row r="98">
      <c r="A98" s="139" t="inlineStr">
        <is>
          <t>161346-88</t>
        </is>
      </c>
      <c r="B98" s="140" t="inlineStr">
        <is>
          <t>CaterWings</t>
        </is>
      </c>
      <c r="C98" s="141" t="inlineStr">
        <is>
          <t/>
        </is>
      </c>
      <c r="D98" s="142" t="inlineStr">
        <is>
          <t/>
        </is>
      </c>
      <c r="E98" s="143" t="inlineStr">
        <is>
          <t>161346-88</t>
        </is>
      </c>
      <c r="F98" s="144" t="inlineStr">
        <is>
          <t>Provider of an online marketplace for catering services. The company offers an online platform which helps businesses and individuals to compare and order food from local catering services.</t>
        </is>
      </c>
      <c r="G98" s="145" t="inlineStr">
        <is>
          <t>Information Technology</t>
        </is>
      </c>
      <c r="H98" s="146" t="inlineStr">
        <is>
          <t>Software</t>
        </is>
      </c>
      <c r="I98" s="147" t="inlineStr">
        <is>
          <t>Social/Platform Software</t>
        </is>
      </c>
      <c r="J98" s="148" t="inlineStr">
        <is>
          <t>Social/Platform Software*; Food Products; Application Software</t>
        </is>
      </c>
      <c r="K98" s="149" t="inlineStr">
        <is>
          <t>E-Commerce</t>
        </is>
      </c>
      <c r="L98" s="150" t="inlineStr">
        <is>
          <t>Venture Capital-Backed</t>
        </is>
      </c>
      <c r="M98" s="151" t="n">
        <v>6.0</v>
      </c>
      <c r="N98" s="152" t="inlineStr">
        <is>
          <t>Startup</t>
        </is>
      </c>
      <c r="O98" s="153" t="inlineStr">
        <is>
          <t>Privately Held (backing)</t>
        </is>
      </c>
      <c r="P98" s="154" t="inlineStr">
        <is>
          <t>Venture Capital</t>
        </is>
      </c>
      <c r="Q98" s="155" t="inlineStr">
        <is>
          <t>www.caterwings.co.uk</t>
        </is>
      </c>
      <c r="R98" s="156" t="n">
        <v>21.0</v>
      </c>
      <c r="S98" s="157" t="inlineStr">
        <is>
          <t/>
        </is>
      </c>
      <c r="T98" s="158" t="inlineStr">
        <is>
          <t/>
        </is>
      </c>
      <c r="U98" s="159" t="n">
        <v>2015.0</v>
      </c>
      <c r="V98" s="160" t="inlineStr">
        <is>
          <t/>
        </is>
      </c>
      <c r="W98" s="161" t="inlineStr">
        <is>
          <t/>
        </is>
      </c>
      <c r="X98" s="162" t="inlineStr">
        <is>
          <t/>
        </is>
      </c>
      <c r="Y98" s="163" t="inlineStr">
        <is>
          <t/>
        </is>
      </c>
      <c r="Z98" s="164" t="inlineStr">
        <is>
          <t/>
        </is>
      </c>
      <c r="AA98" s="165" t="inlineStr">
        <is>
          <t/>
        </is>
      </c>
      <c r="AB98" s="166" t="inlineStr">
        <is>
          <t/>
        </is>
      </c>
      <c r="AC98" s="167" t="inlineStr">
        <is>
          <t/>
        </is>
      </c>
      <c r="AD98" s="168" t="inlineStr">
        <is>
          <t/>
        </is>
      </c>
      <c r="AE98" s="169" t="inlineStr">
        <is>
          <t>138032-83P</t>
        </is>
      </c>
      <c r="AF98" s="170" t="inlineStr">
        <is>
          <t>Sebastian Kloss</t>
        </is>
      </c>
      <c r="AG98" s="171" t="inlineStr">
        <is>
          <t>Managing Director &amp; Co-Founder</t>
        </is>
      </c>
      <c r="AH98" s="172" t="inlineStr">
        <is>
          <t>kloss@waterland.de</t>
        </is>
      </c>
      <c r="AI98" s="173" t="inlineStr">
        <is>
          <t>+49 (0)89 2444 3040</t>
        </is>
      </c>
      <c r="AJ98" s="174" t="inlineStr">
        <is>
          <t>London, United Kingdom</t>
        </is>
      </c>
      <c r="AK98" s="175" t="inlineStr">
        <is>
          <t>76 Oxford Street</t>
        </is>
      </c>
      <c r="AL98" s="176" t="inlineStr">
        <is>
          <t/>
        </is>
      </c>
      <c r="AM98" s="177" t="inlineStr">
        <is>
          <t>London</t>
        </is>
      </c>
      <c r="AN98" s="178" t="inlineStr">
        <is>
          <t>England</t>
        </is>
      </c>
      <c r="AO98" s="179" t="inlineStr">
        <is>
          <t>W1D 1BS</t>
        </is>
      </c>
      <c r="AP98" s="180" t="inlineStr">
        <is>
          <t>United Kingdom</t>
        </is>
      </c>
      <c r="AQ98" s="181" t="inlineStr">
        <is>
          <t>+44 (0)20 3514 0838</t>
        </is>
      </c>
      <c r="AR98" s="182" t="inlineStr">
        <is>
          <t/>
        </is>
      </c>
      <c r="AS98" s="183" t="inlineStr">
        <is>
          <t>info@caterwings.com</t>
        </is>
      </c>
      <c r="AT98" s="184" t="inlineStr">
        <is>
          <t>Europe</t>
        </is>
      </c>
      <c r="AU98" s="185" t="inlineStr">
        <is>
          <t>Western Europe</t>
        </is>
      </c>
      <c r="AV98" s="186" t="inlineStr">
        <is>
          <t>The company raised EUR 6 million of seed funding through lead investors Holtzbrinck Ventures, Tengelmann Ventures and Rocket Internet on June 16, 2016. The company will use the funds for further launch in more European cities, growing its online presence and improving the customer service.</t>
        </is>
      </c>
      <c r="AW98" s="187" t="inlineStr">
        <is>
          <t>Holtzbrinck Ventures, Rocket Internet, Tengelmann Ventures</t>
        </is>
      </c>
      <c r="AX98" s="188" t="n">
        <v>3.0</v>
      </c>
      <c r="AY98" s="189" t="inlineStr">
        <is>
          <t/>
        </is>
      </c>
      <c r="AZ98" s="190" t="inlineStr">
        <is>
          <t/>
        </is>
      </c>
      <c r="BA98" s="191" t="inlineStr">
        <is>
          <t/>
        </is>
      </c>
      <c r="BB98" s="192" t="inlineStr">
        <is>
          <t>Holtzbrinck Ventures (www.holtzbrinck-ventures.com), Rocket Internet (www.rocket-internet.com), Tengelmann Ventures (www.tev.de)</t>
        </is>
      </c>
      <c r="BC98" s="193" t="inlineStr">
        <is>
          <t/>
        </is>
      </c>
      <c r="BD98" s="194" t="inlineStr">
        <is>
          <t/>
        </is>
      </c>
      <c r="BE98" s="195" t="inlineStr">
        <is>
          <t/>
        </is>
      </c>
      <c r="BF98" s="196" t="inlineStr">
        <is>
          <t/>
        </is>
      </c>
      <c r="BG98" s="197" t="n">
        <v>42537.0</v>
      </c>
      <c r="BH98" s="198" t="n">
        <v>6.0</v>
      </c>
      <c r="BI98" s="199" t="inlineStr">
        <is>
          <t>Actual</t>
        </is>
      </c>
      <c r="BJ98" s="200" t="inlineStr">
        <is>
          <t/>
        </is>
      </c>
      <c r="BK98" s="201" t="inlineStr">
        <is>
          <t/>
        </is>
      </c>
      <c r="BL98" s="202" t="inlineStr">
        <is>
          <t>Seed Round</t>
        </is>
      </c>
      <c r="BM98" s="203" t="inlineStr">
        <is>
          <t>Seed</t>
        </is>
      </c>
      <c r="BN98" s="204" t="inlineStr">
        <is>
          <t/>
        </is>
      </c>
      <c r="BO98" s="205" t="inlineStr">
        <is>
          <t>Venture Capital</t>
        </is>
      </c>
      <c r="BP98" s="206" t="inlineStr">
        <is>
          <t/>
        </is>
      </c>
      <c r="BQ98" s="207" t="inlineStr">
        <is>
          <t/>
        </is>
      </c>
      <c r="BR98" s="208" t="inlineStr">
        <is>
          <t/>
        </is>
      </c>
      <c r="BS98" s="209" t="inlineStr">
        <is>
          <t>Completed</t>
        </is>
      </c>
      <c r="BT98" s="210" t="n">
        <v>42537.0</v>
      </c>
      <c r="BU98" s="211" t="n">
        <v>6.0</v>
      </c>
      <c r="BV98" s="212" t="inlineStr">
        <is>
          <t>Actual</t>
        </is>
      </c>
      <c r="BW98" s="213" t="inlineStr">
        <is>
          <t/>
        </is>
      </c>
      <c r="BX98" s="214" t="inlineStr">
        <is>
          <t/>
        </is>
      </c>
      <c r="BY98" s="215" t="inlineStr">
        <is>
          <t>Seed Round</t>
        </is>
      </c>
      <c r="BZ98" s="216" t="inlineStr">
        <is>
          <t>Seed</t>
        </is>
      </c>
      <c r="CA98" s="217" t="inlineStr">
        <is>
          <t/>
        </is>
      </c>
      <c r="CB98" s="218" t="inlineStr">
        <is>
          <t>Venture Capital</t>
        </is>
      </c>
      <c r="CC98" s="219" t="inlineStr">
        <is>
          <t/>
        </is>
      </c>
      <c r="CD98" s="220" t="inlineStr">
        <is>
          <t/>
        </is>
      </c>
      <c r="CE98" s="221" t="inlineStr">
        <is>
          <t/>
        </is>
      </c>
      <c r="CF98" s="222" t="inlineStr">
        <is>
          <t>Completed</t>
        </is>
      </c>
      <c r="CG98" s="223" t="inlineStr">
        <is>
          <t>6,79%</t>
        </is>
      </c>
      <c r="CH98" s="224" t="inlineStr">
        <is>
          <t>99</t>
        </is>
      </c>
      <c r="CI98" s="225" t="inlineStr">
        <is>
          <t>0,55%</t>
        </is>
      </c>
      <c r="CJ98" s="226" t="inlineStr">
        <is>
          <t>8,79%</t>
        </is>
      </c>
      <c r="CK98" s="227" t="inlineStr">
        <is>
          <t>13,47%</t>
        </is>
      </c>
      <c r="CL98" s="228" t="inlineStr">
        <is>
          <t>100</t>
        </is>
      </c>
      <c r="CM98" s="229" t="inlineStr">
        <is>
          <t>0,10%</t>
        </is>
      </c>
      <c r="CN98" s="230" t="inlineStr">
        <is>
          <t>60</t>
        </is>
      </c>
      <c r="CO98" s="231" t="inlineStr">
        <is>
          <t>15,75%</t>
        </is>
      </c>
      <c r="CP98" s="232" t="inlineStr">
        <is>
          <t>100</t>
        </is>
      </c>
      <c r="CQ98" s="233" t="inlineStr">
        <is>
          <t>11,20%</t>
        </is>
      </c>
      <c r="CR98" s="234" t="inlineStr">
        <is>
          <t>97</t>
        </is>
      </c>
      <c r="CS98" s="235" t="inlineStr">
        <is>
          <t>0,20%</t>
        </is>
      </c>
      <c r="CT98" s="236" t="inlineStr">
        <is>
          <t>70</t>
        </is>
      </c>
      <c r="CU98" s="237" t="inlineStr">
        <is>
          <t>0,00%</t>
        </is>
      </c>
      <c r="CV98" s="238" t="inlineStr">
        <is>
          <t>20</t>
        </is>
      </c>
      <c r="CW98" s="239" t="inlineStr">
        <is>
          <t>6,85x</t>
        </is>
      </c>
      <c r="CX98" s="240" t="inlineStr">
        <is>
          <t>83</t>
        </is>
      </c>
      <c r="CY98" s="241" t="inlineStr">
        <is>
          <t>0,30x</t>
        </is>
      </c>
      <c r="CZ98" s="242" t="inlineStr">
        <is>
          <t>4,52%</t>
        </is>
      </c>
      <c r="DA98" s="243" t="inlineStr">
        <is>
          <t>10,68x</t>
        </is>
      </c>
      <c r="DB98" s="244" t="inlineStr">
        <is>
          <t>88</t>
        </is>
      </c>
      <c r="DC98" s="245" t="inlineStr">
        <is>
          <t>3,02x</t>
        </is>
      </c>
      <c r="DD98" s="246" t="inlineStr">
        <is>
          <t>68</t>
        </is>
      </c>
      <c r="DE98" s="247" t="inlineStr">
        <is>
          <t>14,61x</t>
        </is>
      </c>
      <c r="DF98" s="248" t="inlineStr">
        <is>
          <t>86</t>
        </is>
      </c>
      <c r="DG98" s="249" t="inlineStr">
        <is>
          <t>6,75x</t>
        </is>
      </c>
      <c r="DH98" s="250" t="inlineStr">
        <is>
          <t>82</t>
        </is>
      </c>
      <c r="DI98" s="251" t="inlineStr">
        <is>
          <t>1,02x</t>
        </is>
      </c>
      <c r="DJ98" s="252" t="inlineStr">
        <is>
          <t>51</t>
        </is>
      </c>
      <c r="DK98" s="253" t="inlineStr">
        <is>
          <t>5,02x</t>
        </is>
      </c>
      <c r="DL98" s="254" t="inlineStr">
        <is>
          <t>78</t>
        </is>
      </c>
      <c r="DM98" s="255" t="inlineStr">
        <is>
          <t>8.553</t>
        </is>
      </c>
      <c r="DN98" s="256" t="inlineStr">
        <is>
          <t>1.294</t>
        </is>
      </c>
      <c r="DO98" s="257" t="inlineStr">
        <is>
          <t>17,83%</t>
        </is>
      </c>
      <c r="DP98" s="258" t="inlineStr">
        <is>
          <t>817</t>
        </is>
      </c>
      <c r="DQ98" s="259" t="inlineStr">
        <is>
          <t>0</t>
        </is>
      </c>
      <c r="DR98" s="260" t="inlineStr">
        <is>
          <t>0,00%</t>
        </is>
      </c>
      <c r="DS98" s="261" t="inlineStr">
        <is>
          <t>229</t>
        </is>
      </c>
      <c r="DT98" s="262" t="inlineStr">
        <is>
          <t>34</t>
        </is>
      </c>
      <c r="DU98" s="263" t="inlineStr">
        <is>
          <t>17,44%</t>
        </is>
      </c>
      <c r="DV98" s="264" t="inlineStr">
        <is>
          <t>1.722</t>
        </is>
      </c>
      <c r="DW98" s="265" t="inlineStr">
        <is>
          <t>-3</t>
        </is>
      </c>
      <c r="DX98" s="266" t="inlineStr">
        <is>
          <t>-0,17%</t>
        </is>
      </c>
      <c r="DY98" s="267" t="inlineStr">
        <is>
          <t>PitchBook Research</t>
        </is>
      </c>
      <c r="DZ98" s="786">
        <f>HYPERLINK("https://my.pitchbook.com?c=161346-88", "View company online")</f>
      </c>
    </row>
    <row r="99">
      <c r="A99" s="9" t="inlineStr">
        <is>
          <t>173615-59</t>
        </is>
      </c>
      <c r="B99" s="10" t="inlineStr">
        <is>
          <t>CBien</t>
        </is>
      </c>
      <c r="C99" s="11" t="inlineStr">
        <is>
          <t/>
        </is>
      </c>
      <c r="D99" s="12" t="inlineStr">
        <is>
          <t/>
        </is>
      </c>
      <c r="E99" s="13" t="inlineStr">
        <is>
          <t>173615-59</t>
        </is>
      </c>
      <c r="F99" s="14" t="inlineStr">
        <is>
          <t>Developer of a cloud-based inventory management application designed to enable users to manage their belongings. The company's inventory management application uses invoice optical recognition and facilitates creation of item inventory and also uses algorithms to determine value of items which can be used for insurance, enabling users to manage, value and protect their belongings.</t>
        </is>
      </c>
      <c r="G99" s="15" t="inlineStr">
        <is>
          <t>Information Technology</t>
        </is>
      </c>
      <c r="H99" s="16" t="inlineStr">
        <is>
          <t>Software</t>
        </is>
      </c>
      <c r="I99" s="17" t="inlineStr">
        <is>
          <t>Business/Productivity Software</t>
        </is>
      </c>
      <c r="J99" s="18" t="inlineStr">
        <is>
          <t>Business/Productivity Software*; Application Software</t>
        </is>
      </c>
      <c r="K99" s="19" t="inlineStr">
        <is>
          <t>FinTech, Mobile, SaaS</t>
        </is>
      </c>
      <c r="L99" s="20" t="inlineStr">
        <is>
          <t>Venture Capital-Backed</t>
        </is>
      </c>
      <c r="M99" s="21" t="n">
        <v>10.42</v>
      </c>
      <c r="N99" s="22" t="inlineStr">
        <is>
          <t>Generating Revenue</t>
        </is>
      </c>
      <c r="O99" s="23" t="inlineStr">
        <is>
          <t>Privately Held (backing)</t>
        </is>
      </c>
      <c r="P99" s="24" t="inlineStr">
        <is>
          <t>Venture Capital</t>
        </is>
      </c>
      <c r="Q99" s="25" t="inlineStr">
        <is>
          <t>www.cbien.com</t>
        </is>
      </c>
      <c r="R99" s="26" t="n">
        <v>18.0</v>
      </c>
      <c r="S99" s="27" t="inlineStr">
        <is>
          <t/>
        </is>
      </c>
      <c r="T99" s="28" t="inlineStr">
        <is>
          <t/>
        </is>
      </c>
      <c r="U99" s="29" t="n">
        <v>2013.0</v>
      </c>
      <c r="V99" s="30" t="inlineStr">
        <is>
          <t/>
        </is>
      </c>
      <c r="W99" s="31" t="inlineStr">
        <is>
          <t/>
        </is>
      </c>
      <c r="X99" s="32" t="inlineStr">
        <is>
          <t/>
        </is>
      </c>
      <c r="Y99" s="33" t="n">
        <v>0.00919</v>
      </c>
      <c r="Z99" s="34" t="inlineStr">
        <is>
          <t/>
        </is>
      </c>
      <c r="AA99" s="35" t="n">
        <v>-0.21131</v>
      </c>
      <c r="AB99" s="36" t="inlineStr">
        <is>
          <t/>
        </is>
      </c>
      <c r="AC99" s="37" t="n">
        <v>-0.21131</v>
      </c>
      <c r="AD99" s="38" t="inlineStr">
        <is>
          <t>FY 2015</t>
        </is>
      </c>
      <c r="AE99" s="39" t="inlineStr">
        <is>
          <t>161397-55P</t>
        </is>
      </c>
      <c r="AF99" s="40" t="inlineStr">
        <is>
          <t>Pierre Delage</t>
        </is>
      </c>
      <c r="AG99" s="41" t="inlineStr">
        <is>
          <t>Co-Founder &amp; Chief Technology Officer</t>
        </is>
      </c>
      <c r="AH99" s="42" t="inlineStr">
        <is>
          <t>pierre@cbien.com</t>
        </is>
      </c>
      <c r="AI99" s="43" t="inlineStr">
        <is>
          <t/>
        </is>
      </c>
      <c r="AJ99" s="44" t="inlineStr">
        <is>
          <t>Paris, France</t>
        </is>
      </c>
      <c r="AK99" s="45" t="inlineStr">
        <is>
          <t>4 rue du Général Larenzac</t>
        </is>
      </c>
      <c r="AL99" s="46" t="inlineStr">
        <is>
          <t/>
        </is>
      </c>
      <c r="AM99" s="47" t="inlineStr">
        <is>
          <t>Paris</t>
        </is>
      </c>
      <c r="AN99" s="48" t="inlineStr">
        <is>
          <t/>
        </is>
      </c>
      <c r="AO99" s="49" t="inlineStr">
        <is>
          <t>75017</t>
        </is>
      </c>
      <c r="AP99" s="50" t="inlineStr">
        <is>
          <t>France</t>
        </is>
      </c>
      <c r="AQ99" s="51" t="inlineStr">
        <is>
          <t/>
        </is>
      </c>
      <c r="AR99" s="52" t="inlineStr">
        <is>
          <t/>
        </is>
      </c>
      <c r="AS99" s="53" t="inlineStr">
        <is>
          <t>contact@cbien.com</t>
        </is>
      </c>
      <c r="AT99" s="54" t="inlineStr">
        <is>
          <t>Europe</t>
        </is>
      </c>
      <c r="AU99" s="55" t="inlineStr">
        <is>
          <t>Western Europe</t>
        </is>
      </c>
      <c r="AV99" s="56" t="inlineStr">
        <is>
          <t>The company is in the process of raising Series A angel funding from undisclosed investors as of January 18, 2017. Previously, the company raised EUR 8 million of seed funding from MAIF, Mutuelle Assurance Commerçants et Industriels France and 5M Ventures on May 10, 2017. The company also joined Startupbootcamp as part of its 2017 InsurTech London program and received EUR 15,000 in funding on January 18, 2017. The company is being actively tracked by PitchBook.</t>
        </is>
      </c>
      <c r="AW99" s="57" t="inlineStr">
        <is>
          <t>5M Ventures, Bpifrance, Covéa Next, MAIF, MundiLab, Mutuelle Assurance Commerçants et Industriels France, Sferen Innovation, Startupbootcamp</t>
        </is>
      </c>
      <c r="AX99" s="58" t="n">
        <v>8.0</v>
      </c>
      <c r="AY99" s="59" t="inlineStr">
        <is>
          <t/>
        </is>
      </c>
      <c r="AZ99" s="60" t="inlineStr">
        <is>
          <t/>
        </is>
      </c>
      <c r="BA99" s="61" t="inlineStr">
        <is>
          <t/>
        </is>
      </c>
      <c r="BB99" s="62" t="inlineStr">
        <is>
          <t>5M Ventures (www.5m-ventures.com), Bpifrance (www.bpifrance.fr), Covéa Next (covea.eu), MAIF (www.maif.fr), MundiLab (www.mundi-lab.com), Mutuelle Assurance Commerçants et Industriels France (www.macif.fr), Startupbootcamp (www.startupbootcamp.org)</t>
        </is>
      </c>
      <c r="BC99" s="63" t="inlineStr">
        <is>
          <t/>
        </is>
      </c>
      <c r="BD99" s="64" t="inlineStr">
        <is>
          <t/>
        </is>
      </c>
      <c r="BE99" s="65" t="inlineStr">
        <is>
          <t/>
        </is>
      </c>
      <c r="BF99" s="66" t="inlineStr">
        <is>
          <t/>
        </is>
      </c>
      <c r="BG99" s="67" t="n">
        <v>42250.0</v>
      </c>
      <c r="BH99" s="68" t="n">
        <v>1.4</v>
      </c>
      <c r="BI99" s="69" t="inlineStr">
        <is>
          <t>Actual</t>
        </is>
      </c>
      <c r="BJ99" s="70" t="inlineStr">
        <is>
          <t/>
        </is>
      </c>
      <c r="BK99" s="71" t="inlineStr">
        <is>
          <t/>
        </is>
      </c>
      <c r="BL99" s="72" t="inlineStr">
        <is>
          <t>Angel (individual)</t>
        </is>
      </c>
      <c r="BM99" s="73" t="inlineStr">
        <is>
          <t>Angel</t>
        </is>
      </c>
      <c r="BN99" s="74" t="inlineStr">
        <is>
          <t/>
        </is>
      </c>
      <c r="BO99" s="75" t="inlineStr">
        <is>
          <t>Individual</t>
        </is>
      </c>
      <c r="BP99" s="76" t="inlineStr">
        <is>
          <t/>
        </is>
      </c>
      <c r="BQ99" s="77" t="inlineStr">
        <is>
          <t/>
        </is>
      </c>
      <c r="BR99" s="78" t="inlineStr">
        <is>
          <t/>
        </is>
      </c>
      <c r="BS99" s="79" t="inlineStr">
        <is>
          <t>Completed</t>
        </is>
      </c>
      <c r="BT99" s="80" t="n">
        <v>42753.0</v>
      </c>
      <c r="BU99" s="81" t="inlineStr">
        <is>
          <t/>
        </is>
      </c>
      <c r="BV99" s="82" t="inlineStr">
        <is>
          <t/>
        </is>
      </c>
      <c r="BW99" s="83" t="inlineStr">
        <is>
          <t/>
        </is>
      </c>
      <c r="BX99" s="84" t="inlineStr">
        <is>
          <t/>
        </is>
      </c>
      <c r="BY99" s="85" t="inlineStr">
        <is>
          <t>Angel (individual)</t>
        </is>
      </c>
      <c r="BZ99" s="86" t="inlineStr">
        <is>
          <t>Series A</t>
        </is>
      </c>
      <c r="CA99" s="87" t="inlineStr">
        <is>
          <t/>
        </is>
      </c>
      <c r="CB99" s="88" t="inlineStr">
        <is>
          <t>Individual</t>
        </is>
      </c>
      <c r="CC99" s="89" t="inlineStr">
        <is>
          <t/>
        </is>
      </c>
      <c r="CD99" s="90" t="inlineStr">
        <is>
          <t/>
        </is>
      </c>
      <c r="CE99" s="91" t="inlineStr">
        <is>
          <t/>
        </is>
      </c>
      <c r="CF99" s="92" t="inlineStr">
        <is>
          <t>Announced/In Progress</t>
        </is>
      </c>
      <c r="CG99" s="93" t="inlineStr">
        <is>
          <t>-2,75%</t>
        </is>
      </c>
      <c r="CH99" s="94" t="inlineStr">
        <is>
          <t>2</t>
        </is>
      </c>
      <c r="CI99" s="95" t="inlineStr">
        <is>
          <t>-0,10%</t>
        </is>
      </c>
      <c r="CJ99" s="96" t="inlineStr">
        <is>
          <t>-3,77%</t>
        </is>
      </c>
      <c r="CK99" s="97" t="inlineStr">
        <is>
          <t>-5,68%</t>
        </is>
      </c>
      <c r="CL99" s="98" t="inlineStr">
        <is>
          <t>1</t>
        </is>
      </c>
      <c r="CM99" s="99" t="inlineStr">
        <is>
          <t>0,19%</t>
        </is>
      </c>
      <c r="CN99" s="100" t="inlineStr">
        <is>
          <t>72</t>
        </is>
      </c>
      <c r="CO99" s="101" t="inlineStr">
        <is>
          <t>-10,67%</t>
        </is>
      </c>
      <c r="CP99" s="102" t="inlineStr">
        <is>
          <t>2</t>
        </is>
      </c>
      <c r="CQ99" s="103" t="inlineStr">
        <is>
          <t>-0,70%</t>
        </is>
      </c>
      <c r="CR99" s="104" t="inlineStr">
        <is>
          <t>5</t>
        </is>
      </c>
      <c r="CS99" s="105" t="inlineStr">
        <is>
          <t>0,11%</t>
        </is>
      </c>
      <c r="CT99" s="106" t="inlineStr">
        <is>
          <t>59</t>
        </is>
      </c>
      <c r="CU99" s="107" t="inlineStr">
        <is>
          <t>0,26%</t>
        </is>
      </c>
      <c r="CV99" s="108" t="inlineStr">
        <is>
          <t>82</t>
        </is>
      </c>
      <c r="CW99" s="109" t="inlineStr">
        <is>
          <t>4,11x</t>
        </is>
      </c>
      <c r="CX99" s="110" t="inlineStr">
        <is>
          <t>76</t>
        </is>
      </c>
      <c r="CY99" s="111" t="inlineStr">
        <is>
          <t>0,02x</t>
        </is>
      </c>
      <c r="CZ99" s="112" t="inlineStr">
        <is>
          <t>0,43%</t>
        </is>
      </c>
      <c r="DA99" s="113" t="inlineStr">
        <is>
          <t>6,57x</t>
        </is>
      </c>
      <c r="DB99" s="114" t="inlineStr">
        <is>
          <t>83</t>
        </is>
      </c>
      <c r="DC99" s="115" t="inlineStr">
        <is>
          <t>1,65x</t>
        </is>
      </c>
      <c r="DD99" s="116" t="inlineStr">
        <is>
          <t>58</t>
        </is>
      </c>
      <c r="DE99" s="117" t="inlineStr">
        <is>
          <t>8,88x</t>
        </is>
      </c>
      <c r="DF99" s="118" t="inlineStr">
        <is>
          <t>82</t>
        </is>
      </c>
      <c r="DG99" s="119" t="inlineStr">
        <is>
          <t>4,25x</t>
        </is>
      </c>
      <c r="DH99" s="120" t="inlineStr">
        <is>
          <t>76</t>
        </is>
      </c>
      <c r="DI99" s="121" t="inlineStr">
        <is>
          <t>1,47x</t>
        </is>
      </c>
      <c r="DJ99" s="122" t="inlineStr">
        <is>
          <t>57</t>
        </is>
      </c>
      <c r="DK99" s="123" t="inlineStr">
        <is>
          <t>1,82x</t>
        </is>
      </c>
      <c r="DL99" s="124" t="inlineStr">
        <is>
          <t>61</t>
        </is>
      </c>
      <c r="DM99" s="125" t="inlineStr">
        <is>
          <t>5.738</t>
        </is>
      </c>
      <c r="DN99" s="126" t="inlineStr">
        <is>
          <t>-830</t>
        </is>
      </c>
      <c r="DO99" s="127" t="inlineStr">
        <is>
          <t>-12,64%</t>
        </is>
      </c>
      <c r="DP99" s="128" t="inlineStr">
        <is>
          <t>1.177</t>
        </is>
      </c>
      <c r="DQ99" s="129" t="inlineStr">
        <is>
          <t>-2</t>
        </is>
      </c>
      <c r="DR99" s="130" t="inlineStr">
        <is>
          <t>-0,17%</t>
        </is>
      </c>
      <c r="DS99" s="131" t="inlineStr">
        <is>
          <t>154</t>
        </is>
      </c>
      <c r="DT99" s="132" t="inlineStr">
        <is>
          <t>-4</t>
        </is>
      </c>
      <c r="DU99" s="133" t="inlineStr">
        <is>
          <t>-2,53%</t>
        </is>
      </c>
      <c r="DV99" s="134" t="inlineStr">
        <is>
          <t>625</t>
        </is>
      </c>
      <c r="DW99" s="135" t="inlineStr">
        <is>
          <t>-1</t>
        </is>
      </c>
      <c r="DX99" s="136" t="inlineStr">
        <is>
          <t>-0,16%</t>
        </is>
      </c>
      <c r="DY99" s="137" t="inlineStr">
        <is>
          <t>PitchBook Research</t>
        </is>
      </c>
      <c r="DZ99" s="785">
        <f>HYPERLINK("https://my.pitchbook.com?c=173615-59", "View company online")</f>
      </c>
    </row>
    <row r="100">
      <c r="A100" s="139" t="inlineStr">
        <is>
          <t>60154-93</t>
        </is>
      </c>
      <c r="B100" s="140" t="inlineStr">
        <is>
          <t>CEGX</t>
        </is>
      </c>
      <c r="C100" s="141" t="inlineStr">
        <is>
          <t/>
        </is>
      </c>
      <c r="D100" s="142" t="inlineStr">
        <is>
          <t/>
        </is>
      </c>
      <c r="E100" s="143" t="inlineStr">
        <is>
          <t>60154-93</t>
        </is>
      </c>
      <c r="F100" s="144" t="inlineStr">
        <is>
          <t>Developer of epigenetic tools for DNA analysis. The company is the developer of the TrueMethyl kit, a rapid method for parallel genome-wide detection of cytosine methylation and hydroxy-methylation. The kits can be used with a variety of common platforms, including next-generation sequencing systems, methylation arrays and targeted assays.</t>
        </is>
      </c>
      <c r="G100" s="145" t="inlineStr">
        <is>
          <t>Healthcare</t>
        </is>
      </c>
      <c r="H100" s="146" t="inlineStr">
        <is>
          <t>Pharmaceuticals and Biotechnology</t>
        </is>
      </c>
      <c r="I100" s="147" t="inlineStr">
        <is>
          <t>Biotechnology</t>
        </is>
      </c>
      <c r="J100" s="148" t="inlineStr">
        <is>
          <t>Biotechnology*; Diagnostic Equipment</t>
        </is>
      </c>
      <c r="K100" s="149" t="inlineStr">
        <is>
          <t>Life Sciences, Oncology</t>
        </is>
      </c>
      <c r="L100" s="150" t="inlineStr">
        <is>
          <t>Venture Capital-Backed</t>
        </is>
      </c>
      <c r="M100" s="151" t="n">
        <v>24.27</v>
      </c>
      <c r="N100" s="152" t="inlineStr">
        <is>
          <t>Profitable</t>
        </is>
      </c>
      <c r="O100" s="153" t="inlineStr">
        <is>
          <t>Privately Held (backing)</t>
        </is>
      </c>
      <c r="P100" s="154" t="inlineStr">
        <is>
          <t>Venture Capital</t>
        </is>
      </c>
      <c r="Q100" s="155" t="inlineStr">
        <is>
          <t>www.cambridge-epigenetix.com</t>
        </is>
      </c>
      <c r="R100" s="156" t="n">
        <v>23.0</v>
      </c>
      <c r="S100" s="157" t="inlineStr">
        <is>
          <t/>
        </is>
      </c>
      <c r="T100" s="158" t="inlineStr">
        <is>
          <t/>
        </is>
      </c>
      <c r="U100" s="159" t="n">
        <v>2012.0</v>
      </c>
      <c r="V100" s="160" t="inlineStr">
        <is>
          <t/>
        </is>
      </c>
      <c r="W100" s="161" t="inlineStr">
        <is>
          <t/>
        </is>
      </c>
      <c r="X100" s="162" t="inlineStr">
        <is>
          <t/>
        </is>
      </c>
      <c r="Y100" s="163" t="n">
        <v>0.0</v>
      </c>
      <c r="Z100" s="164" t="n">
        <v>0.0</v>
      </c>
      <c r="AA100" s="165" t="n">
        <v>-0.10893</v>
      </c>
      <c r="AB100" s="166" t="inlineStr">
        <is>
          <t/>
        </is>
      </c>
      <c r="AC100" s="167" t="n">
        <v>-0.10893</v>
      </c>
      <c r="AD100" s="168" t="inlineStr">
        <is>
          <t>FY 2012</t>
        </is>
      </c>
      <c r="AE100" s="169" t="inlineStr">
        <is>
          <t>46142-56P</t>
        </is>
      </c>
      <c r="AF100" s="170" t="inlineStr">
        <is>
          <t>Tony Smith</t>
        </is>
      </c>
      <c r="AG100" s="171" t="inlineStr">
        <is>
          <t>Chief Technology Officer</t>
        </is>
      </c>
      <c r="AH100" s="172" t="inlineStr">
        <is>
          <t>tony@cegx.co.uk</t>
        </is>
      </c>
      <c r="AI100" s="173" t="inlineStr">
        <is>
          <t>+44 (0)12 2380 4260</t>
        </is>
      </c>
      <c r="AJ100" s="174" t="inlineStr">
        <is>
          <t>Cambridge, United Kingdom</t>
        </is>
      </c>
      <c r="AK100" s="175" t="inlineStr">
        <is>
          <t>Jonas Webb Building</t>
        </is>
      </c>
      <c r="AL100" s="176" t="inlineStr">
        <is>
          <t>Babraham Campus</t>
        </is>
      </c>
      <c r="AM100" s="177" t="inlineStr">
        <is>
          <t>Cambridge</t>
        </is>
      </c>
      <c r="AN100" s="178" t="inlineStr">
        <is>
          <t>England</t>
        </is>
      </c>
      <c r="AO100" s="179" t="inlineStr">
        <is>
          <t>CB22 3AT</t>
        </is>
      </c>
      <c r="AP100" s="180" t="inlineStr">
        <is>
          <t>United Kingdom</t>
        </is>
      </c>
      <c r="AQ100" s="181" t="inlineStr">
        <is>
          <t>+44 (0)12 2380 4260</t>
        </is>
      </c>
      <c r="AR100" s="182" t="inlineStr">
        <is>
          <t>+44 (0)12 2379 0219</t>
        </is>
      </c>
      <c r="AS100" s="183" t="inlineStr">
        <is>
          <t>info@cegx.co.uk</t>
        </is>
      </c>
      <c r="AT100" s="184" t="inlineStr">
        <is>
          <t>Europe</t>
        </is>
      </c>
      <c r="AU100" s="185" t="inlineStr">
        <is>
          <t>Western Europe</t>
        </is>
      </c>
      <c r="AV100" s="186" t="inlineStr">
        <is>
          <t>The company raised GBP 14 million of Series B venture funding led by Google Ventures on March 14, 2016, putting the pre-money valuation at GBP 21.9 million. Sequoia Capital, New Science Ventures, Syncona Partners and Cambridge University also participated in the round.</t>
        </is>
      </c>
      <c r="AW100" s="187" t="inlineStr">
        <is>
          <t>Cambridge Enterprise, GV, New Science Ventures, Sequoia Capital, Syncona</t>
        </is>
      </c>
      <c r="AX100" s="188" t="n">
        <v>5.0</v>
      </c>
      <c r="AY100" s="189" t="inlineStr">
        <is>
          <t/>
        </is>
      </c>
      <c r="AZ100" s="190" t="inlineStr">
        <is>
          <t/>
        </is>
      </c>
      <c r="BA100" s="191" t="inlineStr">
        <is>
          <t/>
        </is>
      </c>
      <c r="BB100" s="192" t="inlineStr">
        <is>
          <t>Cambridge Enterprise (www.enterprise.cam.ac.uk), GV (www.gv.com), New Science Ventures (www.newscienceventures.com), Sequoia Capital (www.sequoiacap.com), Syncona (www.synconaltd.com)</t>
        </is>
      </c>
      <c r="BC100" s="193" t="inlineStr">
        <is>
          <t/>
        </is>
      </c>
      <c r="BD100" s="194" t="inlineStr">
        <is>
          <t/>
        </is>
      </c>
      <c r="BE100" s="195" t="inlineStr">
        <is>
          <t/>
        </is>
      </c>
      <c r="BF100" s="196" t="inlineStr">
        <is>
          <t/>
        </is>
      </c>
      <c r="BG100" s="197" t="n">
        <v>41288.0</v>
      </c>
      <c r="BH100" s="198" t="n">
        <v>0.66</v>
      </c>
      <c r="BI100" s="199" t="inlineStr">
        <is>
          <t>Actual</t>
        </is>
      </c>
      <c r="BJ100" s="200" t="n">
        <v>2.35</v>
      </c>
      <c r="BK100" s="201" t="inlineStr">
        <is>
          <t>Actual</t>
        </is>
      </c>
      <c r="BL100" s="202" t="inlineStr">
        <is>
          <t>Seed Round</t>
        </is>
      </c>
      <c r="BM100" s="203" t="inlineStr">
        <is>
          <t>Seed</t>
        </is>
      </c>
      <c r="BN100" s="204" t="inlineStr">
        <is>
          <t/>
        </is>
      </c>
      <c r="BO100" s="205" t="inlineStr">
        <is>
          <t>Venture Capital</t>
        </is>
      </c>
      <c r="BP100" s="206" t="inlineStr">
        <is>
          <t/>
        </is>
      </c>
      <c r="BQ100" s="207" t="inlineStr">
        <is>
          <t/>
        </is>
      </c>
      <c r="BR100" s="208" t="inlineStr">
        <is>
          <t/>
        </is>
      </c>
      <c r="BS100" s="209" t="inlineStr">
        <is>
          <t>Completed</t>
        </is>
      </c>
      <c r="BT100" s="210" t="n">
        <v>42443.0</v>
      </c>
      <c r="BU100" s="211" t="n">
        <v>17.89</v>
      </c>
      <c r="BV100" s="212" t="inlineStr">
        <is>
          <t>Actual</t>
        </is>
      </c>
      <c r="BW100" s="213" t="n">
        <v>45.96</v>
      </c>
      <c r="BX100" s="214" t="inlineStr">
        <is>
          <t>Actual</t>
        </is>
      </c>
      <c r="BY100" s="215" t="inlineStr">
        <is>
          <t>Early Stage VC</t>
        </is>
      </c>
      <c r="BZ100" s="216" t="inlineStr">
        <is>
          <t>Series B</t>
        </is>
      </c>
      <c r="CA100" s="217" t="inlineStr">
        <is>
          <t/>
        </is>
      </c>
      <c r="CB100" s="218" t="inlineStr">
        <is>
          <t>Venture Capital</t>
        </is>
      </c>
      <c r="CC100" s="219" t="inlineStr">
        <is>
          <t/>
        </is>
      </c>
      <c r="CD100" s="220" t="inlineStr">
        <is>
          <t/>
        </is>
      </c>
      <c r="CE100" s="221" t="inlineStr">
        <is>
          <t/>
        </is>
      </c>
      <c r="CF100" s="222" t="inlineStr">
        <is>
          <t>Completed</t>
        </is>
      </c>
      <c r="CG100" s="223" t="inlineStr">
        <is>
          <t>0,31%</t>
        </is>
      </c>
      <c r="CH100" s="224" t="inlineStr">
        <is>
          <t>81</t>
        </is>
      </c>
      <c r="CI100" s="225" t="inlineStr">
        <is>
          <t>0,09%</t>
        </is>
      </c>
      <c r="CJ100" s="226" t="inlineStr">
        <is>
          <t>41,70%</t>
        </is>
      </c>
      <c r="CK100" s="227" t="inlineStr">
        <is>
          <t>0,14%</t>
        </is>
      </c>
      <c r="CL100" s="228" t="inlineStr">
        <is>
          <t>81</t>
        </is>
      </c>
      <c r="CM100" s="229" t="inlineStr">
        <is>
          <t>0,48%</t>
        </is>
      </c>
      <c r="CN100" s="230" t="inlineStr">
        <is>
          <t>89</t>
        </is>
      </c>
      <c r="CO100" s="231" t="inlineStr">
        <is>
          <t>0,02%</t>
        </is>
      </c>
      <c r="CP100" s="232" t="inlineStr">
        <is>
          <t>78</t>
        </is>
      </c>
      <c r="CQ100" s="233" t="inlineStr">
        <is>
          <t>0,25%</t>
        </is>
      </c>
      <c r="CR100" s="234" t="inlineStr">
        <is>
          <t>84</t>
        </is>
      </c>
      <c r="CS100" s="235" t="inlineStr">
        <is>
          <t/>
        </is>
      </c>
      <c r="CT100" s="236" t="inlineStr">
        <is>
          <t/>
        </is>
      </c>
      <c r="CU100" s="237" t="inlineStr">
        <is>
          <t>0,48%</t>
        </is>
      </c>
      <c r="CV100" s="238" t="inlineStr">
        <is>
          <t>91</t>
        </is>
      </c>
      <c r="CW100" s="239" t="inlineStr">
        <is>
          <t>3,24x</t>
        </is>
      </c>
      <c r="CX100" s="240" t="inlineStr">
        <is>
          <t>73</t>
        </is>
      </c>
      <c r="CY100" s="241" t="inlineStr">
        <is>
          <t>0,06x</t>
        </is>
      </c>
      <c r="CZ100" s="242" t="inlineStr">
        <is>
          <t>1,81%</t>
        </is>
      </c>
      <c r="DA100" s="243" t="inlineStr">
        <is>
          <t>2,96x</t>
        </is>
      </c>
      <c r="DB100" s="244" t="inlineStr">
        <is>
          <t>73</t>
        </is>
      </c>
      <c r="DC100" s="245" t="inlineStr">
        <is>
          <t>3,51x</t>
        </is>
      </c>
      <c r="DD100" s="246" t="inlineStr">
        <is>
          <t>71</t>
        </is>
      </c>
      <c r="DE100" s="247" t="inlineStr">
        <is>
          <t>1,64x</t>
        </is>
      </c>
      <c r="DF100" s="248" t="inlineStr">
        <is>
          <t>60</t>
        </is>
      </c>
      <c r="DG100" s="249" t="inlineStr">
        <is>
          <t>4,28x</t>
        </is>
      </c>
      <c r="DH100" s="250" t="inlineStr">
        <is>
          <t>77</t>
        </is>
      </c>
      <c r="DI100" s="251" t="inlineStr">
        <is>
          <t/>
        </is>
      </c>
      <c r="DJ100" s="252" t="inlineStr">
        <is>
          <t/>
        </is>
      </c>
      <c r="DK100" s="253" t="inlineStr">
        <is>
          <t>3,51x</t>
        </is>
      </c>
      <c r="DL100" s="254" t="inlineStr">
        <is>
          <t>73</t>
        </is>
      </c>
      <c r="DM100" s="255" t="inlineStr">
        <is>
          <t>982</t>
        </is>
      </c>
      <c r="DN100" s="256" t="inlineStr">
        <is>
          <t>80</t>
        </is>
      </c>
      <c r="DO100" s="257" t="inlineStr">
        <is>
          <t>8,87%</t>
        </is>
      </c>
      <c r="DP100" s="258" t="inlineStr">
        <is>
          <t/>
        </is>
      </c>
      <c r="DQ100" s="259" t="inlineStr">
        <is>
          <t/>
        </is>
      </c>
      <c r="DR100" s="260" t="inlineStr">
        <is>
          <t/>
        </is>
      </c>
      <c r="DS100" s="261" t="inlineStr">
        <is>
          <t>154</t>
        </is>
      </c>
      <c r="DT100" s="262" t="inlineStr">
        <is>
          <t>-1</t>
        </is>
      </c>
      <c r="DU100" s="263" t="inlineStr">
        <is>
          <t>-0,65%</t>
        </is>
      </c>
      <c r="DV100" s="264" t="inlineStr">
        <is>
          <t>1.202</t>
        </is>
      </c>
      <c r="DW100" s="265" t="inlineStr">
        <is>
          <t>3</t>
        </is>
      </c>
      <c r="DX100" s="266" t="inlineStr">
        <is>
          <t>0,25%</t>
        </is>
      </c>
      <c r="DY100" s="267" t="inlineStr">
        <is>
          <t>PitchBook Research</t>
        </is>
      </c>
      <c r="DZ100" s="786">
        <f>HYPERLINK("https://my.pitchbook.com?c=60154-93", "View company online")</f>
      </c>
    </row>
    <row r="101">
      <c r="A101" s="9" t="inlineStr">
        <is>
          <t>101099-71</t>
        </is>
      </c>
      <c r="B101" s="10" t="inlineStr">
        <is>
          <t>Chargifi</t>
        </is>
      </c>
      <c r="C101" s="11" t="inlineStr">
        <is>
          <t/>
        </is>
      </c>
      <c r="D101" s="12" t="inlineStr">
        <is>
          <t/>
        </is>
      </c>
      <c r="E101" s="13" t="inlineStr">
        <is>
          <t>101099-71</t>
        </is>
      </c>
      <c r="F101" s="14" t="inlineStr">
        <is>
          <t>Provider of wireless power charging spots designed to bring people convenient power where and when they need it most. The company offers power charging spots through WiFi in places like coffee shops, hotels, stadiums and airports, enabling businesses to gather customer information, push promotions, advertising and other content in exchange for offering wireless charging to its guests.</t>
        </is>
      </c>
      <c r="G101" s="15" t="inlineStr">
        <is>
          <t>Information Technology</t>
        </is>
      </c>
      <c r="H101" s="16" t="inlineStr">
        <is>
          <t>Communications and Networking</t>
        </is>
      </c>
      <c r="I101" s="17" t="inlineStr">
        <is>
          <t>Wireless Service Providers</t>
        </is>
      </c>
      <c r="J101" s="18" t="inlineStr">
        <is>
          <t>Wireless Service Providers*; Energy Storage; Wireless Communications Equipment</t>
        </is>
      </c>
      <c r="K101" s="19" t="inlineStr">
        <is>
          <t/>
        </is>
      </c>
      <c r="L101" s="20" t="inlineStr">
        <is>
          <t>Venture Capital-Backed</t>
        </is>
      </c>
      <c r="M101" s="21" t="n">
        <v>6.66</v>
      </c>
      <c r="N101" s="22" t="inlineStr">
        <is>
          <t>Generating Revenue</t>
        </is>
      </c>
      <c r="O101" s="23" t="inlineStr">
        <is>
          <t>Privately Held (backing)</t>
        </is>
      </c>
      <c r="P101" s="24" t="inlineStr">
        <is>
          <t>Venture Capital</t>
        </is>
      </c>
      <c r="Q101" s="25" t="inlineStr">
        <is>
          <t>www.chargifi.com</t>
        </is>
      </c>
      <c r="R101" s="26" t="n">
        <v>31.0</v>
      </c>
      <c r="S101" s="27" t="inlineStr">
        <is>
          <t/>
        </is>
      </c>
      <c r="T101" s="28" t="inlineStr">
        <is>
          <t/>
        </is>
      </c>
      <c r="U101" s="29" t="n">
        <v>2012.0</v>
      </c>
      <c r="V101" s="30" t="inlineStr">
        <is>
          <t/>
        </is>
      </c>
      <c r="W101" s="31" t="inlineStr">
        <is>
          <t/>
        </is>
      </c>
      <c r="X101" s="32" t="inlineStr">
        <is>
          <t/>
        </is>
      </c>
      <c r="Y101" s="33" t="inlineStr">
        <is>
          <t/>
        </is>
      </c>
      <c r="Z101" s="34" t="inlineStr">
        <is>
          <t/>
        </is>
      </c>
      <c r="AA101" s="35" t="inlineStr">
        <is>
          <t/>
        </is>
      </c>
      <c r="AB101" s="36" t="inlineStr">
        <is>
          <t/>
        </is>
      </c>
      <c r="AC101" s="37" t="inlineStr">
        <is>
          <t/>
        </is>
      </c>
      <c r="AD101" s="38" t="inlineStr">
        <is>
          <t/>
        </is>
      </c>
      <c r="AE101" s="39" t="inlineStr">
        <is>
          <t>104991-40P</t>
        </is>
      </c>
      <c r="AF101" s="40" t="inlineStr">
        <is>
          <t>Daniel Bladen</t>
        </is>
      </c>
      <c r="AG101" s="41" t="inlineStr">
        <is>
          <t>Co-Founder &amp; Chief Executive Officer</t>
        </is>
      </c>
      <c r="AH101" s="42" t="inlineStr">
        <is>
          <t>dan@chargifi.com</t>
        </is>
      </c>
      <c r="AI101" s="43" t="inlineStr">
        <is>
          <t>+44 (0)20 3735 8784</t>
        </is>
      </c>
      <c r="AJ101" s="44" t="inlineStr">
        <is>
          <t>London, United Kingdom</t>
        </is>
      </c>
      <c r="AK101" s="45" t="inlineStr">
        <is>
          <t>1 Quality Court</t>
        </is>
      </c>
      <c r="AL101" s="46" t="inlineStr">
        <is>
          <t/>
        </is>
      </c>
      <c r="AM101" s="47" t="inlineStr">
        <is>
          <t>London</t>
        </is>
      </c>
      <c r="AN101" s="48" t="inlineStr">
        <is>
          <t>England</t>
        </is>
      </c>
      <c r="AO101" s="49" t="inlineStr">
        <is>
          <t>WC2A 1HR</t>
        </is>
      </c>
      <c r="AP101" s="50" t="inlineStr">
        <is>
          <t>United Kingdom</t>
        </is>
      </c>
      <c r="AQ101" s="51" t="inlineStr">
        <is>
          <t>+44 (0)20 3735 8784</t>
        </is>
      </c>
      <c r="AR101" s="52" t="inlineStr">
        <is>
          <t/>
        </is>
      </c>
      <c r="AS101" s="53" t="inlineStr">
        <is>
          <t>hello@chargifi.com</t>
        </is>
      </c>
      <c r="AT101" s="54" t="inlineStr">
        <is>
          <t>Europe</t>
        </is>
      </c>
      <c r="AU101" s="55" t="inlineStr">
        <is>
          <t>Western Europe</t>
        </is>
      </c>
      <c r="AV101" s="56" t="inlineStr">
        <is>
          <t>The company joined Upscale UK on January 26, 2017.</t>
        </is>
      </c>
      <c r="AW101" s="57" t="inlineStr">
        <is>
          <t>Brett Akker, Intel Capital, Jenny Fielding, R/GA Accelerator, Robyn Scott, Rockfirst, Techstars, Upscale UK</t>
        </is>
      </c>
      <c r="AX101" s="58" t="n">
        <v>8.0</v>
      </c>
      <c r="AY101" s="59" t="inlineStr">
        <is>
          <t/>
        </is>
      </c>
      <c r="AZ101" s="60" t="inlineStr">
        <is>
          <t/>
        </is>
      </c>
      <c r="BA101" s="61" t="inlineStr">
        <is>
          <t/>
        </is>
      </c>
      <c r="BB101" s="62" t="inlineStr">
        <is>
          <t>Intel Capital (www.intelcapital.com), R/GA Accelerator (www.rgaaccelerator.com), Rockfirst (www.rockfirstcapital.com), Techstars (www.techstars.com), Upscale UK (www.upscaleuk.com)</t>
        </is>
      </c>
      <c r="BC101" s="63" t="inlineStr">
        <is>
          <t/>
        </is>
      </c>
      <c r="BD101" s="64" t="inlineStr">
        <is>
          <t/>
        </is>
      </c>
      <c r="BE101" s="65" t="inlineStr">
        <is>
          <t>JAG Shaw Baker (Legal Advisor), Thrive Accountants (Accounting), Upscale UK (Consulting)</t>
        </is>
      </c>
      <c r="BF101" s="66" t="inlineStr">
        <is>
          <t/>
        </is>
      </c>
      <c r="BG101" s="67" t="n">
        <v>41733.0</v>
      </c>
      <c r="BH101" s="68" t="n">
        <v>0.18</v>
      </c>
      <c r="BI101" s="69" t="inlineStr">
        <is>
          <t>Actual</t>
        </is>
      </c>
      <c r="BJ101" s="70" t="n">
        <v>0.87</v>
      </c>
      <c r="BK101" s="71" t="inlineStr">
        <is>
          <t>Actual</t>
        </is>
      </c>
      <c r="BL101" s="72" t="inlineStr">
        <is>
          <t>Angel (individual)</t>
        </is>
      </c>
      <c r="BM101" s="73" t="inlineStr">
        <is>
          <t>Angel</t>
        </is>
      </c>
      <c r="BN101" s="74" t="inlineStr">
        <is>
          <t/>
        </is>
      </c>
      <c r="BO101" s="75" t="inlineStr">
        <is>
          <t>Individual</t>
        </is>
      </c>
      <c r="BP101" s="76" t="inlineStr">
        <is>
          <t/>
        </is>
      </c>
      <c r="BQ101" s="77" t="inlineStr">
        <is>
          <t/>
        </is>
      </c>
      <c r="BR101" s="78" t="inlineStr">
        <is>
          <t/>
        </is>
      </c>
      <c r="BS101" s="79" t="inlineStr">
        <is>
          <t>Completed</t>
        </is>
      </c>
      <c r="BT101" s="80" t="n">
        <v>42761.0</v>
      </c>
      <c r="BU101" s="81" t="inlineStr">
        <is>
          <t/>
        </is>
      </c>
      <c r="BV101" s="82" t="inlineStr">
        <is>
          <t/>
        </is>
      </c>
      <c r="BW101" s="83" t="inlineStr">
        <is>
          <t/>
        </is>
      </c>
      <c r="BX101" s="84" t="inlineStr">
        <is>
          <t/>
        </is>
      </c>
      <c r="BY101" s="85" t="inlineStr">
        <is>
          <t>Accelerator/Incubator</t>
        </is>
      </c>
      <c r="BZ101" s="86" t="inlineStr">
        <is>
          <t/>
        </is>
      </c>
      <c r="CA101" s="87" t="inlineStr">
        <is>
          <t/>
        </is>
      </c>
      <c r="CB101" s="88" t="inlineStr">
        <is>
          <t>Other</t>
        </is>
      </c>
      <c r="CC101" s="89" t="inlineStr">
        <is>
          <t/>
        </is>
      </c>
      <c r="CD101" s="90" t="inlineStr">
        <is>
          <t/>
        </is>
      </c>
      <c r="CE101" s="91" t="inlineStr">
        <is>
          <t/>
        </is>
      </c>
      <c r="CF101" s="92" t="inlineStr">
        <is>
          <t>Completed</t>
        </is>
      </c>
      <c r="CG101" s="93" t="inlineStr">
        <is>
          <t>0,19%</t>
        </is>
      </c>
      <c r="CH101" s="94" t="inlineStr">
        <is>
          <t>78</t>
        </is>
      </c>
      <c r="CI101" s="95" t="inlineStr">
        <is>
          <t>0,01%</t>
        </is>
      </c>
      <c r="CJ101" s="96" t="inlineStr">
        <is>
          <t>2,82%</t>
        </is>
      </c>
      <c r="CK101" s="97" t="inlineStr">
        <is>
          <t>0,00%</t>
        </is>
      </c>
      <c r="CL101" s="98" t="inlineStr">
        <is>
          <t>18</t>
        </is>
      </c>
      <c r="CM101" s="99" t="inlineStr">
        <is>
          <t>0,38%</t>
        </is>
      </c>
      <c r="CN101" s="100" t="inlineStr">
        <is>
          <t>85</t>
        </is>
      </c>
      <c r="CO101" s="101" t="inlineStr">
        <is>
          <t>0,00%</t>
        </is>
      </c>
      <c r="CP101" s="102" t="inlineStr">
        <is>
          <t>26</t>
        </is>
      </c>
      <c r="CQ101" s="103" t="inlineStr">
        <is>
          <t>0,00%</t>
        </is>
      </c>
      <c r="CR101" s="104" t="inlineStr">
        <is>
          <t>13</t>
        </is>
      </c>
      <c r="CS101" s="105" t="inlineStr">
        <is>
          <t>0,10%</t>
        </is>
      </c>
      <c r="CT101" s="106" t="inlineStr">
        <is>
          <t>58</t>
        </is>
      </c>
      <c r="CU101" s="107" t="inlineStr">
        <is>
          <t>0,67%</t>
        </is>
      </c>
      <c r="CV101" s="108" t="inlineStr">
        <is>
          <t>94</t>
        </is>
      </c>
      <c r="CW101" s="109" t="inlineStr">
        <is>
          <t>1,44x</t>
        </is>
      </c>
      <c r="CX101" s="110" t="inlineStr">
        <is>
          <t>57</t>
        </is>
      </c>
      <c r="CY101" s="111" t="inlineStr">
        <is>
          <t>0,04x</t>
        </is>
      </c>
      <c r="CZ101" s="112" t="inlineStr">
        <is>
          <t>2,69%</t>
        </is>
      </c>
      <c r="DA101" s="113" t="inlineStr">
        <is>
          <t>1,16x</t>
        </is>
      </c>
      <c r="DB101" s="114" t="inlineStr">
        <is>
          <t>55</t>
        </is>
      </c>
      <c r="DC101" s="115" t="inlineStr">
        <is>
          <t>1,71x</t>
        </is>
      </c>
      <c r="DD101" s="116" t="inlineStr">
        <is>
          <t>58</t>
        </is>
      </c>
      <c r="DE101" s="117" t="inlineStr">
        <is>
          <t>1,58x</t>
        </is>
      </c>
      <c r="DF101" s="118" t="inlineStr">
        <is>
          <t>59</t>
        </is>
      </c>
      <c r="DG101" s="119" t="inlineStr">
        <is>
          <t>0,75x</t>
        </is>
      </c>
      <c r="DH101" s="120" t="inlineStr">
        <is>
          <t>44</t>
        </is>
      </c>
      <c r="DI101" s="121" t="inlineStr">
        <is>
          <t>0,65x</t>
        </is>
      </c>
      <c r="DJ101" s="122" t="inlineStr">
        <is>
          <t>43</t>
        </is>
      </c>
      <c r="DK101" s="123" t="inlineStr">
        <is>
          <t>2,78x</t>
        </is>
      </c>
      <c r="DL101" s="124" t="inlineStr">
        <is>
          <t>69</t>
        </is>
      </c>
      <c r="DM101" s="125" t="inlineStr">
        <is>
          <t>948</t>
        </is>
      </c>
      <c r="DN101" s="126" t="inlineStr">
        <is>
          <t>62</t>
        </is>
      </c>
      <c r="DO101" s="127" t="inlineStr">
        <is>
          <t>7,00%</t>
        </is>
      </c>
      <c r="DP101" s="128" t="inlineStr">
        <is>
          <t>518</t>
        </is>
      </c>
      <c r="DQ101" s="129" t="inlineStr">
        <is>
          <t>0</t>
        </is>
      </c>
      <c r="DR101" s="130" t="inlineStr">
        <is>
          <t>0,00%</t>
        </is>
      </c>
      <c r="DS101" s="131" t="inlineStr">
        <is>
          <t>26</t>
        </is>
      </c>
      <c r="DT101" s="132" t="inlineStr">
        <is>
          <t>0</t>
        </is>
      </c>
      <c r="DU101" s="133" t="inlineStr">
        <is>
          <t>0,00%</t>
        </is>
      </c>
      <c r="DV101" s="134" t="inlineStr">
        <is>
          <t>944</t>
        </is>
      </c>
      <c r="DW101" s="135" t="inlineStr">
        <is>
          <t>10</t>
        </is>
      </c>
      <c r="DX101" s="136" t="inlineStr">
        <is>
          <t>1,07%</t>
        </is>
      </c>
      <c r="DY101" s="137" t="inlineStr">
        <is>
          <t>PitchBook Research</t>
        </is>
      </c>
      <c r="DZ101" s="785">
        <f>HYPERLINK("https://my.pitchbook.com?c=101099-71", "View company online")</f>
      </c>
    </row>
    <row r="102">
      <c r="A102" s="139" t="inlineStr">
        <is>
          <t>60713-47</t>
        </is>
      </c>
      <c r="B102" s="140" t="inlineStr">
        <is>
          <t>Chef Market</t>
        </is>
      </c>
      <c r="C102" s="141" t="inlineStr">
        <is>
          <t/>
        </is>
      </c>
      <c r="D102" s="142" t="inlineStr">
        <is>
          <t>Chefmarket.ru</t>
        </is>
      </c>
      <c r="E102" s="143" t="inlineStr">
        <is>
          <t>60713-47</t>
        </is>
      </c>
      <c r="F102" s="144" t="inlineStr">
        <is>
          <t>Provider of a meal-kit delivery platform designed to offer delivery of food products. The company's meal-kit delivery platform delivers a set of ingredients to cook at home easily for simple home-cooked meals, providing users with raw materials and delivery of sets of products with recipes for cooking.</t>
        </is>
      </c>
      <c r="G102" s="145" t="inlineStr">
        <is>
          <t>Consumer Products and Services (B2C)</t>
        </is>
      </c>
      <c r="H102" s="146" t="inlineStr">
        <is>
          <t>Consumer Non-Durables</t>
        </is>
      </c>
      <c r="I102" s="147" t="inlineStr">
        <is>
          <t>Food Products</t>
        </is>
      </c>
      <c r="J102" s="148" t="inlineStr">
        <is>
          <t>Food Products*; Distributors/Wholesale (B2C); Internet Retail; Social/Platform Software</t>
        </is>
      </c>
      <c r="K102" s="149" t="inlineStr">
        <is>
          <t>E-Commerce</t>
        </is>
      </c>
      <c r="L102" s="150" t="inlineStr">
        <is>
          <t>Venture Capital-Backed</t>
        </is>
      </c>
      <c r="M102" s="151" t="n">
        <v>11.38</v>
      </c>
      <c r="N102" s="152" t="inlineStr">
        <is>
          <t>Generating Revenue</t>
        </is>
      </c>
      <c r="O102" s="153" t="inlineStr">
        <is>
          <t>Privately Held (backing)</t>
        </is>
      </c>
      <c r="P102" s="154" t="inlineStr">
        <is>
          <t>Venture Capital</t>
        </is>
      </c>
      <c r="Q102" s="155" t="inlineStr">
        <is>
          <t>www.chefmarket.ru</t>
        </is>
      </c>
      <c r="R102" s="156" t="n">
        <v>51.0</v>
      </c>
      <c r="S102" s="157" t="inlineStr">
        <is>
          <t/>
        </is>
      </c>
      <c r="T102" s="158" t="inlineStr">
        <is>
          <t/>
        </is>
      </c>
      <c r="U102" s="159" t="n">
        <v>2012.0</v>
      </c>
      <c r="V102" s="160" t="inlineStr">
        <is>
          <t/>
        </is>
      </c>
      <c r="W102" s="161" t="inlineStr">
        <is>
          <t/>
        </is>
      </c>
      <c r="X102" s="162" t="inlineStr">
        <is>
          <t/>
        </is>
      </c>
      <c r="Y102" s="163" t="inlineStr">
        <is>
          <t/>
        </is>
      </c>
      <c r="Z102" s="164" t="inlineStr">
        <is>
          <t/>
        </is>
      </c>
      <c r="AA102" s="165" t="inlineStr">
        <is>
          <t/>
        </is>
      </c>
      <c r="AB102" s="166" t="inlineStr">
        <is>
          <t/>
        </is>
      </c>
      <c r="AC102" s="167" t="inlineStr">
        <is>
          <t/>
        </is>
      </c>
      <c r="AD102" s="168" t="inlineStr">
        <is>
          <t/>
        </is>
      </c>
      <c r="AE102" s="169" t="inlineStr">
        <is>
          <t>57977-92P</t>
        </is>
      </c>
      <c r="AF102" s="170" t="inlineStr">
        <is>
          <t>Sergey Ashin</t>
        </is>
      </c>
      <c r="AG102" s="171" t="inlineStr">
        <is>
          <t>Founder, Chief Executive Officer &amp; Managing Partner</t>
        </is>
      </c>
      <c r="AH102" s="172" t="inlineStr">
        <is>
          <t>sa@chefmarket.ru</t>
        </is>
      </c>
      <c r="AI102" s="173" t="inlineStr">
        <is>
          <t>+7 (8)495 374 6132</t>
        </is>
      </c>
      <c r="AJ102" s="174" t="inlineStr">
        <is>
          <t>Moscow, Russia</t>
        </is>
      </c>
      <c r="AK102" s="175" t="inlineStr">
        <is>
          <t>Caucasian Boulevard, Building 57</t>
        </is>
      </c>
      <c r="AL102" s="176" t="inlineStr">
        <is>
          <t>Building 20</t>
        </is>
      </c>
      <c r="AM102" s="177" t="inlineStr">
        <is>
          <t>Moscow</t>
        </is>
      </c>
      <c r="AN102" s="178" t="inlineStr">
        <is>
          <t/>
        </is>
      </c>
      <c r="AO102" s="179" t="inlineStr">
        <is>
          <t>115516</t>
        </is>
      </c>
      <c r="AP102" s="180" t="inlineStr">
        <is>
          <t>Russia</t>
        </is>
      </c>
      <c r="AQ102" s="181" t="inlineStr">
        <is>
          <t>+7 (8)495 374 6132</t>
        </is>
      </c>
      <c r="AR102" s="182" t="inlineStr">
        <is>
          <t/>
        </is>
      </c>
      <c r="AS102" s="183" t="inlineStr">
        <is>
          <t>info@chefmarket.ru</t>
        </is>
      </c>
      <c r="AT102" s="184" t="inlineStr">
        <is>
          <t>Europe</t>
        </is>
      </c>
      <c r="AU102" s="185" t="inlineStr">
        <is>
          <t>Eastern Europe</t>
        </is>
      </c>
      <c r="AV102" s="186" t="inlineStr">
        <is>
          <t>The company raised $3.5 million of venture funding from Mitsui &amp; Company on July 20, 2017. The company intends to use the funds to continue to expand operations.</t>
        </is>
      </c>
      <c r="AW102" s="187" t="inlineStr">
        <is>
          <t>AddVenture, Mitsui &amp; Company, Moscow Seed Fund</t>
        </is>
      </c>
      <c r="AX102" s="188" t="n">
        <v>3.0</v>
      </c>
      <c r="AY102" s="189" t="inlineStr">
        <is>
          <t/>
        </is>
      </c>
      <c r="AZ102" s="190" t="inlineStr">
        <is>
          <t/>
        </is>
      </c>
      <c r="BA102" s="191" t="inlineStr">
        <is>
          <t/>
        </is>
      </c>
      <c r="BB102" s="192" t="inlineStr">
        <is>
          <t>AddVenture (addventure.to/en), Mitsui &amp; Company (www.mitsui.com), Moscow Seed Fund (www.mosinnov.ru)</t>
        </is>
      </c>
      <c r="BC102" s="193" t="inlineStr">
        <is>
          <t/>
        </is>
      </c>
      <c r="BD102" s="194" t="inlineStr">
        <is>
          <t/>
        </is>
      </c>
      <c r="BE102" s="195" t="inlineStr">
        <is>
          <t/>
        </is>
      </c>
      <c r="BF102" s="196" t="inlineStr">
        <is>
          <t/>
        </is>
      </c>
      <c r="BG102" s="197" t="n">
        <v>41620.0</v>
      </c>
      <c r="BH102" s="198" t="n">
        <v>2.0</v>
      </c>
      <c r="BI102" s="199" t="inlineStr">
        <is>
          <t>Actual</t>
        </is>
      </c>
      <c r="BJ102" s="200" t="inlineStr">
        <is>
          <t/>
        </is>
      </c>
      <c r="BK102" s="201" t="inlineStr">
        <is>
          <t/>
        </is>
      </c>
      <c r="BL102" s="202" t="inlineStr">
        <is>
          <t>Seed Round</t>
        </is>
      </c>
      <c r="BM102" s="203" t="inlineStr">
        <is>
          <t>Seed</t>
        </is>
      </c>
      <c r="BN102" s="204" t="inlineStr">
        <is>
          <t/>
        </is>
      </c>
      <c r="BO102" s="205" t="inlineStr">
        <is>
          <t>Venture Capital</t>
        </is>
      </c>
      <c r="BP102" s="206" t="inlineStr">
        <is>
          <t/>
        </is>
      </c>
      <c r="BQ102" s="207" t="inlineStr">
        <is>
          <t/>
        </is>
      </c>
      <c r="BR102" s="208" t="inlineStr">
        <is>
          <t/>
        </is>
      </c>
      <c r="BS102" s="209" t="inlineStr">
        <is>
          <t>Completed</t>
        </is>
      </c>
      <c r="BT102" s="210" t="n">
        <v>42936.0</v>
      </c>
      <c r="BU102" s="211" t="n">
        <v>3.04</v>
      </c>
      <c r="BV102" s="212" t="inlineStr">
        <is>
          <t>Actual</t>
        </is>
      </c>
      <c r="BW102" s="213" t="inlineStr">
        <is>
          <t/>
        </is>
      </c>
      <c r="BX102" s="214" t="inlineStr">
        <is>
          <t/>
        </is>
      </c>
      <c r="BY102" s="215" t="inlineStr">
        <is>
          <t>Early Stage VC</t>
        </is>
      </c>
      <c r="BZ102" s="216" t="inlineStr">
        <is>
          <t/>
        </is>
      </c>
      <c r="CA102" s="217" t="inlineStr">
        <is>
          <t/>
        </is>
      </c>
      <c r="CB102" s="218" t="inlineStr">
        <is>
          <t>Venture Capital</t>
        </is>
      </c>
      <c r="CC102" s="219" t="inlineStr">
        <is>
          <t/>
        </is>
      </c>
      <c r="CD102" s="220" t="inlineStr">
        <is>
          <t/>
        </is>
      </c>
      <c r="CE102" s="221" t="inlineStr">
        <is>
          <t/>
        </is>
      </c>
      <c r="CF102" s="222" t="inlineStr">
        <is>
          <t>Completed</t>
        </is>
      </c>
      <c r="CG102" s="223" t="inlineStr">
        <is>
          <t>1,58%</t>
        </is>
      </c>
      <c r="CH102" s="224" t="inlineStr">
        <is>
          <t>92</t>
        </is>
      </c>
      <c r="CI102" s="225" t="inlineStr">
        <is>
          <t>0,08%</t>
        </is>
      </c>
      <c r="CJ102" s="226" t="inlineStr">
        <is>
          <t>5,13%</t>
        </is>
      </c>
      <c r="CK102" s="227" t="inlineStr">
        <is>
          <t>3,13%</t>
        </is>
      </c>
      <c r="CL102" s="228" t="inlineStr">
        <is>
          <t>94</t>
        </is>
      </c>
      <c r="CM102" s="229" t="inlineStr">
        <is>
          <t>0,02%</t>
        </is>
      </c>
      <c r="CN102" s="230" t="inlineStr">
        <is>
          <t>46</t>
        </is>
      </c>
      <c r="CO102" s="231" t="inlineStr">
        <is>
          <t>5,42%</t>
        </is>
      </c>
      <c r="CP102" s="232" t="inlineStr">
        <is>
          <t>97</t>
        </is>
      </c>
      <c r="CQ102" s="233" t="inlineStr">
        <is>
          <t>0,85%</t>
        </is>
      </c>
      <c r="CR102" s="234" t="inlineStr">
        <is>
          <t>88</t>
        </is>
      </c>
      <c r="CS102" s="235" t="inlineStr">
        <is>
          <t>0,07%</t>
        </is>
      </c>
      <c r="CT102" s="236" t="inlineStr">
        <is>
          <t>53</t>
        </is>
      </c>
      <c r="CU102" s="237" t="inlineStr">
        <is>
          <t>-0,02%</t>
        </is>
      </c>
      <c r="CV102" s="238" t="inlineStr">
        <is>
          <t>17</t>
        </is>
      </c>
      <c r="CW102" s="239" t="inlineStr">
        <is>
          <t>22,55x</t>
        </is>
      </c>
      <c r="CX102" s="240" t="inlineStr">
        <is>
          <t>92</t>
        </is>
      </c>
      <c r="CY102" s="241" t="inlineStr">
        <is>
          <t>0,26x</t>
        </is>
      </c>
      <c r="CZ102" s="242" t="inlineStr">
        <is>
          <t>1,15%</t>
        </is>
      </c>
      <c r="DA102" s="243" t="inlineStr">
        <is>
          <t>27,80x</t>
        </is>
      </c>
      <c r="DB102" s="244" t="inlineStr">
        <is>
          <t>94</t>
        </is>
      </c>
      <c r="DC102" s="245" t="inlineStr">
        <is>
          <t>17,31x</t>
        </is>
      </c>
      <c r="DD102" s="246" t="inlineStr">
        <is>
          <t>89</t>
        </is>
      </c>
      <c r="DE102" s="247" t="inlineStr">
        <is>
          <t>48,29x</t>
        </is>
      </c>
      <c r="DF102" s="248" t="inlineStr">
        <is>
          <t>93</t>
        </is>
      </c>
      <c r="DG102" s="249" t="inlineStr">
        <is>
          <t>7,31x</t>
        </is>
      </c>
      <c r="DH102" s="250" t="inlineStr">
        <is>
          <t>82</t>
        </is>
      </c>
      <c r="DI102" s="251" t="inlineStr">
        <is>
          <t>32,74x</t>
        </is>
      </c>
      <c r="DJ102" s="252" t="inlineStr">
        <is>
          <t>91</t>
        </is>
      </c>
      <c r="DK102" s="253" t="inlineStr">
        <is>
          <t>1,88x</t>
        </is>
      </c>
      <c r="DL102" s="254" t="inlineStr">
        <is>
          <t>62</t>
        </is>
      </c>
      <c r="DM102" s="255" t="inlineStr">
        <is>
          <t>29.198</t>
        </is>
      </c>
      <c r="DN102" s="256" t="inlineStr">
        <is>
          <t>1.501</t>
        </is>
      </c>
      <c r="DO102" s="257" t="inlineStr">
        <is>
          <t>5,42%</t>
        </is>
      </c>
      <c r="DP102" s="258" t="inlineStr">
        <is>
          <t>26.149</t>
        </is>
      </c>
      <c r="DQ102" s="259" t="inlineStr">
        <is>
          <t>26</t>
        </is>
      </c>
      <c r="DR102" s="260" t="inlineStr">
        <is>
          <t>0,10%</t>
        </is>
      </c>
      <c r="DS102" s="261" t="inlineStr">
        <is>
          <t>261</t>
        </is>
      </c>
      <c r="DT102" s="262" t="inlineStr">
        <is>
          <t>3</t>
        </is>
      </c>
      <c r="DU102" s="263" t="inlineStr">
        <is>
          <t>1,16%</t>
        </is>
      </c>
      <c r="DV102" s="264" t="inlineStr">
        <is>
          <t>646</t>
        </is>
      </c>
      <c r="DW102" s="265" t="inlineStr">
        <is>
          <t>0</t>
        </is>
      </c>
      <c r="DX102" s="266" t="inlineStr">
        <is>
          <t>0,00%</t>
        </is>
      </c>
      <c r="DY102" s="267" t="inlineStr">
        <is>
          <t>PitchBook Research</t>
        </is>
      </c>
      <c r="DZ102" s="786">
        <f>HYPERLINK("https://my.pitchbook.com?c=60713-47", "View company online")</f>
      </c>
    </row>
    <row r="103">
      <c r="A103" s="9" t="inlineStr">
        <is>
          <t>159957-19</t>
        </is>
      </c>
      <c r="B103" s="10" t="inlineStr">
        <is>
          <t>Chèque Santé</t>
        </is>
      </c>
      <c r="C103" s="11" t="inlineStr">
        <is>
          <t/>
        </is>
      </c>
      <c r="D103" s="12" t="inlineStr">
        <is>
          <t/>
        </is>
      </c>
      <c r="E103" s="13" t="inlineStr">
        <is>
          <t>159957-19</t>
        </is>
      </c>
      <c r="F103" s="14" t="inlineStr">
        <is>
          <t>Provider of web and payment services for the healthcare sector designed to dedicate health prevention and well-being. The company's web and payment services designs, deploys and manages health complementary businesses and communities, payment platforms and health-dedicated services, enabling healthcare institutions to increase return on investment.</t>
        </is>
      </c>
      <c r="G103" s="15" t="inlineStr">
        <is>
          <t>Healthcare</t>
        </is>
      </c>
      <c r="H103" s="16" t="inlineStr">
        <is>
          <t>Healthcare Services</t>
        </is>
      </c>
      <c r="I103" s="17" t="inlineStr">
        <is>
          <t>Other Healthcare Services</t>
        </is>
      </c>
      <c r="J103" s="18" t="inlineStr">
        <is>
          <t>Other Healthcare Services*; Other Healthcare Technology Systems</t>
        </is>
      </c>
      <c r="K103" s="19" t="inlineStr">
        <is>
          <t>FinTech</t>
        </is>
      </c>
      <c r="L103" s="20" t="inlineStr">
        <is>
          <t>Venture Capital-Backed</t>
        </is>
      </c>
      <c r="M103" s="21" t="n">
        <v>7.2</v>
      </c>
      <c r="N103" s="22" t="inlineStr">
        <is>
          <t>Generating Revenue</t>
        </is>
      </c>
      <c r="O103" s="23" t="inlineStr">
        <is>
          <t>Privately Held (backing)</t>
        </is>
      </c>
      <c r="P103" s="24" t="inlineStr">
        <is>
          <t>Venture Capital</t>
        </is>
      </c>
      <c r="Q103" s="25" t="inlineStr">
        <is>
          <t>www.chequesante.com</t>
        </is>
      </c>
      <c r="R103" s="26" t="n">
        <v>20.0</v>
      </c>
      <c r="S103" s="27" t="inlineStr">
        <is>
          <t/>
        </is>
      </c>
      <c r="T103" s="28" t="inlineStr">
        <is>
          <t/>
        </is>
      </c>
      <c r="U103" s="29" t="n">
        <v>2014.0</v>
      </c>
      <c r="V103" s="30" t="inlineStr">
        <is>
          <t/>
        </is>
      </c>
      <c r="W103" s="31" t="inlineStr">
        <is>
          <t/>
        </is>
      </c>
      <c r="X103" s="32" t="inlineStr">
        <is>
          <t/>
        </is>
      </c>
      <c r="Y103" s="33" t="n">
        <v>6.00225</v>
      </c>
      <c r="Z103" s="34" t="inlineStr">
        <is>
          <t/>
        </is>
      </c>
      <c r="AA103" s="35" t="inlineStr">
        <is>
          <t/>
        </is>
      </c>
      <c r="AB103" s="36" t="inlineStr">
        <is>
          <t/>
        </is>
      </c>
      <c r="AC103" s="37" t="inlineStr">
        <is>
          <t/>
        </is>
      </c>
      <c r="AD103" s="38" t="inlineStr">
        <is>
          <t>FY 2017</t>
        </is>
      </c>
      <c r="AE103" s="39" t="inlineStr">
        <is>
          <t>135955-63P</t>
        </is>
      </c>
      <c r="AF103" s="40" t="inlineStr">
        <is>
          <t>Vincent Daffourd</t>
        </is>
      </c>
      <c r="AG103" s="41" t="inlineStr">
        <is>
          <t>Co-Founder &amp; Chief Executive Officer</t>
        </is>
      </c>
      <c r="AH103" s="42" t="inlineStr">
        <is>
          <t>vincent@chequesante.com</t>
        </is>
      </c>
      <c r="AI103" s="43" t="inlineStr">
        <is>
          <t>+33 (0)9 72 41 36 14</t>
        </is>
      </c>
      <c r="AJ103" s="44" t="inlineStr">
        <is>
          <t>Montpellier, France</t>
        </is>
      </c>
      <c r="AK103" s="45" t="inlineStr">
        <is>
          <t>Chèque CAP OMEGA</t>
        </is>
      </c>
      <c r="AL103" s="46" t="inlineStr">
        <is>
          <t>Rond Point Benjamin Franklin</t>
        </is>
      </c>
      <c r="AM103" s="47" t="inlineStr">
        <is>
          <t>Montpellier</t>
        </is>
      </c>
      <c r="AN103" s="48" t="inlineStr">
        <is>
          <t/>
        </is>
      </c>
      <c r="AO103" s="49" t="inlineStr">
        <is>
          <t>34960</t>
        </is>
      </c>
      <c r="AP103" s="50" t="inlineStr">
        <is>
          <t>France</t>
        </is>
      </c>
      <c r="AQ103" s="51" t="inlineStr">
        <is>
          <t>+33 (0)9 72 41 36 14</t>
        </is>
      </c>
      <c r="AR103" s="52" t="inlineStr">
        <is>
          <t>+33 (0)9 57 99 69 96</t>
        </is>
      </c>
      <c r="AS103" s="53" t="inlineStr">
        <is>
          <t>contact@chequesante.com</t>
        </is>
      </c>
      <c r="AT103" s="54" t="inlineStr">
        <is>
          <t>Europe</t>
        </is>
      </c>
      <c r="AU103" s="55" t="inlineStr">
        <is>
          <t>Western Europe</t>
        </is>
      </c>
      <c r="AV103" s="56" t="inlineStr">
        <is>
          <t>The company raised EUR 5.2 million of venture funding in a round led by SORIDEC and iXO Private Equity on February 6, 2017. Through this funding the company will strengthen its leadership in the market for special healthcare payment cards in France and Anglo-Saxon countries.</t>
        </is>
      </c>
      <c r="AW103" s="57" t="inlineStr">
        <is>
          <t>Cap Oméga Business Innovation Center, iXO Private Equity, Jeremie LR, Le Village by CA, Sofilaro, Sofimac Partners, SORIDEC</t>
        </is>
      </c>
      <c r="AX103" s="58" t="n">
        <v>7.0</v>
      </c>
      <c r="AY103" s="59" t="inlineStr">
        <is>
          <t/>
        </is>
      </c>
      <c r="AZ103" s="60" t="inlineStr">
        <is>
          <t/>
        </is>
      </c>
      <c r="BA103" s="61" t="inlineStr">
        <is>
          <t/>
        </is>
      </c>
      <c r="BB103" s="62" t="inlineStr">
        <is>
          <t>iXO Private Equity (www.ixope.fr), Le Village by CA (www.levillagebyca.com), Sofimac Partners (www.sofimacpartners.fr), SORIDEC (www.soridec.fr)</t>
        </is>
      </c>
      <c r="BC103" s="63" t="inlineStr">
        <is>
          <t/>
        </is>
      </c>
      <c r="BD103" s="64" t="inlineStr">
        <is>
          <t/>
        </is>
      </c>
      <c r="BE103" s="65" t="inlineStr">
        <is>
          <t/>
        </is>
      </c>
      <c r="BF103" s="66" t="inlineStr">
        <is>
          <t>FIDAL (Legal Advisor), Créalia, Adviso Partners (Advisor), EY Law (Legal Advisor)</t>
        </is>
      </c>
      <c r="BG103" s="67" t="n">
        <v>41791.0</v>
      </c>
      <c r="BH103" s="68" t="inlineStr">
        <is>
          <t/>
        </is>
      </c>
      <c r="BI103" s="69" t="inlineStr">
        <is>
          <t/>
        </is>
      </c>
      <c r="BJ103" s="70" t="inlineStr">
        <is>
          <t/>
        </is>
      </c>
      <c r="BK103" s="71" t="inlineStr">
        <is>
          <t/>
        </is>
      </c>
      <c r="BL103" s="72" t="inlineStr">
        <is>
          <t>Accelerator/Incubator</t>
        </is>
      </c>
      <c r="BM103" s="73" t="inlineStr">
        <is>
          <t/>
        </is>
      </c>
      <c r="BN103" s="74" t="inlineStr">
        <is>
          <t/>
        </is>
      </c>
      <c r="BO103" s="75" t="inlineStr">
        <is>
          <t>Individual</t>
        </is>
      </c>
      <c r="BP103" s="76" t="inlineStr">
        <is>
          <t/>
        </is>
      </c>
      <c r="BQ103" s="77" t="inlineStr">
        <is>
          <t/>
        </is>
      </c>
      <c r="BR103" s="78" t="inlineStr">
        <is>
          <t/>
        </is>
      </c>
      <c r="BS103" s="79" t="inlineStr">
        <is>
          <t>Completed</t>
        </is>
      </c>
      <c r="BT103" s="80" t="n">
        <v>42772.0</v>
      </c>
      <c r="BU103" s="81" t="n">
        <v>5.2</v>
      </c>
      <c r="BV103" s="82" t="inlineStr">
        <is>
          <t>Actual</t>
        </is>
      </c>
      <c r="BW103" s="83" t="inlineStr">
        <is>
          <t/>
        </is>
      </c>
      <c r="BX103" s="84" t="inlineStr">
        <is>
          <t/>
        </is>
      </c>
      <c r="BY103" s="85" t="inlineStr">
        <is>
          <t>Early Stage VC</t>
        </is>
      </c>
      <c r="BZ103" s="86" t="inlineStr">
        <is>
          <t/>
        </is>
      </c>
      <c r="CA103" s="87" t="inlineStr">
        <is>
          <t/>
        </is>
      </c>
      <c r="CB103" s="88" t="inlineStr">
        <is>
          <t>Venture Capital</t>
        </is>
      </c>
      <c r="CC103" s="89" t="inlineStr">
        <is>
          <t/>
        </is>
      </c>
      <c r="CD103" s="90" t="inlineStr">
        <is>
          <t/>
        </is>
      </c>
      <c r="CE103" s="91" t="inlineStr">
        <is>
          <t/>
        </is>
      </c>
      <c r="CF103" s="92" t="inlineStr">
        <is>
          <t>Completed</t>
        </is>
      </c>
      <c r="CG103" s="93" t="inlineStr">
        <is>
          <t>0,02%</t>
        </is>
      </c>
      <c r="CH103" s="94" t="inlineStr">
        <is>
          <t>66</t>
        </is>
      </c>
      <c r="CI103" s="95" t="inlineStr">
        <is>
          <t>0,00%</t>
        </is>
      </c>
      <c r="CJ103" s="96" t="inlineStr">
        <is>
          <t>-16,97%</t>
        </is>
      </c>
      <c r="CK103" s="97" t="inlineStr">
        <is>
          <t>0,00%</t>
        </is>
      </c>
      <c r="CL103" s="98" t="inlineStr">
        <is>
          <t>18</t>
        </is>
      </c>
      <c r="CM103" s="99" t="inlineStr">
        <is>
          <t>0,03%</t>
        </is>
      </c>
      <c r="CN103" s="100" t="inlineStr">
        <is>
          <t>48</t>
        </is>
      </c>
      <c r="CO103" s="101" t="inlineStr">
        <is>
          <t>0,00%</t>
        </is>
      </c>
      <c r="CP103" s="102" t="inlineStr">
        <is>
          <t>26</t>
        </is>
      </c>
      <c r="CQ103" s="103" t="inlineStr">
        <is>
          <t>0,00%</t>
        </is>
      </c>
      <c r="CR103" s="104" t="inlineStr">
        <is>
          <t>13</t>
        </is>
      </c>
      <c r="CS103" s="105" t="inlineStr">
        <is>
          <t>0,02%</t>
        </is>
      </c>
      <c r="CT103" s="106" t="inlineStr">
        <is>
          <t>43</t>
        </is>
      </c>
      <c r="CU103" s="107" t="inlineStr">
        <is>
          <t>0,04%</t>
        </is>
      </c>
      <c r="CV103" s="108" t="inlineStr">
        <is>
          <t>60</t>
        </is>
      </c>
      <c r="CW103" s="109" t="inlineStr">
        <is>
          <t>2,93x</t>
        </is>
      </c>
      <c r="CX103" s="110" t="inlineStr">
        <is>
          <t>71</t>
        </is>
      </c>
      <c r="CY103" s="111" t="inlineStr">
        <is>
          <t>0,06x</t>
        </is>
      </c>
      <c r="CZ103" s="112" t="inlineStr">
        <is>
          <t>2,09%</t>
        </is>
      </c>
      <c r="DA103" s="113" t="inlineStr">
        <is>
          <t>1,38x</t>
        </is>
      </c>
      <c r="DB103" s="114" t="inlineStr">
        <is>
          <t>59</t>
        </is>
      </c>
      <c r="DC103" s="115" t="inlineStr">
        <is>
          <t>4,49x</t>
        </is>
      </c>
      <c r="DD103" s="116" t="inlineStr">
        <is>
          <t>74</t>
        </is>
      </c>
      <c r="DE103" s="117" t="inlineStr">
        <is>
          <t>1,12x</t>
        </is>
      </c>
      <c r="DF103" s="118" t="inlineStr">
        <is>
          <t>53</t>
        </is>
      </c>
      <c r="DG103" s="119" t="inlineStr">
        <is>
          <t>1,64x</t>
        </is>
      </c>
      <c r="DH103" s="120" t="inlineStr">
        <is>
          <t>60</t>
        </is>
      </c>
      <c r="DI103" s="121" t="inlineStr">
        <is>
          <t>3,28x</t>
        </is>
      </c>
      <c r="DJ103" s="122" t="inlineStr">
        <is>
          <t>69</t>
        </is>
      </c>
      <c r="DK103" s="123" t="inlineStr">
        <is>
          <t>5,69x</t>
        </is>
      </c>
      <c r="DL103" s="124" t="inlineStr">
        <is>
          <t>80</t>
        </is>
      </c>
      <c r="DM103" s="125" t="inlineStr">
        <is>
          <t>679</t>
        </is>
      </c>
      <c r="DN103" s="126" t="inlineStr">
        <is>
          <t>32</t>
        </is>
      </c>
      <c r="DO103" s="127" t="inlineStr">
        <is>
          <t>4,95%</t>
        </is>
      </c>
      <c r="DP103" s="128" t="inlineStr">
        <is>
          <t>2.619</t>
        </is>
      </c>
      <c r="DQ103" s="129" t="inlineStr">
        <is>
          <t>1</t>
        </is>
      </c>
      <c r="DR103" s="130" t="inlineStr">
        <is>
          <t>0,04%</t>
        </is>
      </c>
      <c r="DS103" s="131" t="inlineStr">
        <is>
          <t>59</t>
        </is>
      </c>
      <c r="DT103" s="132" t="inlineStr">
        <is>
          <t>0</t>
        </is>
      </c>
      <c r="DU103" s="133" t="inlineStr">
        <is>
          <t>0,00%</t>
        </is>
      </c>
      <c r="DV103" s="134" t="inlineStr">
        <is>
          <t>1.950</t>
        </is>
      </c>
      <c r="DW103" s="135" t="inlineStr">
        <is>
          <t>1</t>
        </is>
      </c>
      <c r="DX103" s="136" t="inlineStr">
        <is>
          <t>0,05%</t>
        </is>
      </c>
      <c r="DY103" s="137" t="inlineStr">
        <is>
          <t>PitchBook Research</t>
        </is>
      </c>
      <c r="DZ103" s="785">
        <f>HYPERLINK("https://my.pitchbook.com?c=159957-19", "View company online")</f>
      </c>
    </row>
    <row r="104">
      <c r="A104" s="139" t="inlineStr">
        <is>
          <t>99278-47</t>
        </is>
      </c>
      <c r="B104" s="140" t="inlineStr">
        <is>
          <t>Chiaro</t>
        </is>
      </c>
      <c r="C104" s="141" t="inlineStr">
        <is>
          <t/>
        </is>
      </c>
      <c r="D104" s="142" t="inlineStr">
        <is>
          <t>Elvie, Chiaro Technology</t>
        </is>
      </c>
      <c r="E104" s="143" t="inlineStr">
        <is>
          <t>99278-47</t>
        </is>
      </c>
      <c r="F104" s="144" t="inlineStr">
        <is>
          <t>Developer of smarter technology products intended to improve woman health. The company's smarter technology product tracks kegel exercises which are connected wirelessly to a mobile application, enabling its women customers to visualize the exercise results in real time.</t>
        </is>
      </c>
      <c r="G104" s="145" t="inlineStr">
        <is>
          <t>Consumer Products and Services (B2C)</t>
        </is>
      </c>
      <c r="H104" s="146" t="inlineStr">
        <is>
          <t>Consumer Durables</t>
        </is>
      </c>
      <c r="I104" s="147" t="inlineStr">
        <is>
          <t>Electronics (B2C)</t>
        </is>
      </c>
      <c r="J104" s="148" t="inlineStr">
        <is>
          <t>Electronics (B2C)*; Personal Products; Application Software</t>
        </is>
      </c>
      <c r="K104" s="149" t="inlineStr">
        <is>
          <t>Mobile, Wearables &amp; Quantified Self</t>
        </is>
      </c>
      <c r="L104" s="150" t="inlineStr">
        <is>
          <t>Venture Capital-Backed</t>
        </is>
      </c>
      <c r="M104" s="151" t="n">
        <v>7.8</v>
      </c>
      <c r="N104" s="152" t="inlineStr">
        <is>
          <t>Profitable</t>
        </is>
      </c>
      <c r="O104" s="153" t="inlineStr">
        <is>
          <t>Privately Held (backing)</t>
        </is>
      </c>
      <c r="P104" s="154" t="inlineStr">
        <is>
          <t>Venture Capital</t>
        </is>
      </c>
      <c r="Q104" s="155" t="inlineStr">
        <is>
          <t>www.chiaro.co.uk</t>
        </is>
      </c>
      <c r="R104" s="156" t="n">
        <v>20.0</v>
      </c>
      <c r="S104" s="157" t="inlineStr">
        <is>
          <t/>
        </is>
      </c>
      <c r="T104" s="158" t="inlineStr">
        <is>
          <t/>
        </is>
      </c>
      <c r="U104" s="159" t="n">
        <v>2013.0</v>
      </c>
      <c r="V104" s="160" t="inlineStr">
        <is>
          <t/>
        </is>
      </c>
      <c r="W104" s="161" t="inlineStr">
        <is>
          <t/>
        </is>
      </c>
      <c r="X104" s="162" t="inlineStr">
        <is>
          <t/>
        </is>
      </c>
      <c r="Y104" s="163" t="n">
        <v>0.94859</v>
      </c>
      <c r="Z104" s="164" t="inlineStr">
        <is>
          <t/>
        </is>
      </c>
      <c r="AA104" s="165" t="inlineStr">
        <is>
          <t/>
        </is>
      </c>
      <c r="AB104" s="166" t="inlineStr">
        <is>
          <t/>
        </is>
      </c>
      <c r="AC104" s="167" t="inlineStr">
        <is>
          <t/>
        </is>
      </c>
      <c r="AD104" s="168" t="inlineStr">
        <is>
          <t>FY 2016</t>
        </is>
      </c>
      <c r="AE104" s="169" t="inlineStr">
        <is>
          <t>96194-26P</t>
        </is>
      </c>
      <c r="AF104" s="170" t="inlineStr">
        <is>
          <t>Tania Boler</t>
        </is>
      </c>
      <c r="AG104" s="171" t="inlineStr">
        <is>
          <t>Chief Executive Officer &amp; Co-Founder</t>
        </is>
      </c>
      <c r="AH104" s="172" t="inlineStr">
        <is>
          <t>tania@chiaro.co.uk</t>
        </is>
      </c>
      <c r="AI104" s="173" t="inlineStr">
        <is>
          <t>+44 (0)20 3745 5201</t>
        </is>
      </c>
      <c r="AJ104" s="174" t="inlineStr">
        <is>
          <t>London, United Kingdom</t>
        </is>
      </c>
      <c r="AK104" s="175" t="inlineStr">
        <is>
          <t>63-66 Hatton Garden</t>
        </is>
      </c>
      <c r="AL104" s="176" t="inlineStr">
        <is>
          <t/>
        </is>
      </c>
      <c r="AM104" s="177" t="inlineStr">
        <is>
          <t>London</t>
        </is>
      </c>
      <c r="AN104" s="178" t="inlineStr">
        <is>
          <t>England</t>
        </is>
      </c>
      <c r="AO104" s="179" t="inlineStr">
        <is>
          <t>EC1N 8LE</t>
        </is>
      </c>
      <c r="AP104" s="180" t="inlineStr">
        <is>
          <t>United Kingdom</t>
        </is>
      </c>
      <c r="AQ104" s="181" t="inlineStr">
        <is>
          <t>+44 (0)20 3745 5201</t>
        </is>
      </c>
      <c r="AR104" s="182" t="inlineStr">
        <is>
          <t/>
        </is>
      </c>
      <c r="AS104" s="183" t="inlineStr">
        <is>
          <t>info@chiaro.co.uk</t>
        </is>
      </c>
      <c r="AT104" s="184" t="inlineStr">
        <is>
          <t>Europe</t>
        </is>
      </c>
      <c r="AU104" s="185" t="inlineStr">
        <is>
          <t>Western Europe</t>
        </is>
      </c>
      <c r="AV104" s="186" t="inlineStr">
        <is>
          <t>The company raised $6 million of Series A venture funding in a deal led by Octopus Ventures on March 22, 2017. AllBright also participated in the round. The company will use the funds to expand sales to more markets and build out its product portfolio. Chiaro has raised total funding of $12.12 million till date.</t>
        </is>
      </c>
      <c r="AW104" s="187" t="inlineStr">
        <is>
          <t>Alexandra Chong, AllBright, Elliot Richmond, Individual Investor, Innovate UK, Lars Rasmussen, Michael Spencer, NJF Capital, Octopus Ventures, Technology Strategy Board (TSB)</t>
        </is>
      </c>
      <c r="AX104" s="188" t="n">
        <v>10.0</v>
      </c>
      <c r="AY104" s="189" t="inlineStr">
        <is>
          <t/>
        </is>
      </c>
      <c r="AZ104" s="190" t="inlineStr">
        <is>
          <t/>
        </is>
      </c>
      <c r="BA104" s="191" t="inlineStr">
        <is>
          <t/>
        </is>
      </c>
      <c r="BB104" s="192" t="inlineStr">
        <is>
          <t>AllBright (www.allbright.co), NJF Capital (www.njfcapital.com), Octopus Ventures (www.octopusventures.com)</t>
        </is>
      </c>
      <c r="BC104" s="193" t="inlineStr">
        <is>
          <t/>
        </is>
      </c>
      <c r="BD104" s="194" t="inlineStr">
        <is>
          <t/>
        </is>
      </c>
      <c r="BE104" s="195" t="inlineStr">
        <is>
          <t>Upscale UK (Consulting)</t>
        </is>
      </c>
      <c r="BF104" s="196" t="inlineStr">
        <is>
          <t/>
        </is>
      </c>
      <c r="BG104" s="197" t="n">
        <v>41609.0</v>
      </c>
      <c r="BH104" s="198" t="n">
        <v>1.44</v>
      </c>
      <c r="BI104" s="199" t="inlineStr">
        <is>
          <t>Actual</t>
        </is>
      </c>
      <c r="BJ104" s="200" t="inlineStr">
        <is>
          <t/>
        </is>
      </c>
      <c r="BK104" s="201" t="inlineStr">
        <is>
          <t/>
        </is>
      </c>
      <c r="BL104" s="202" t="inlineStr">
        <is>
          <t>Grant</t>
        </is>
      </c>
      <c r="BM104" s="203" t="inlineStr">
        <is>
          <t/>
        </is>
      </c>
      <c r="BN104" s="204" t="inlineStr">
        <is>
          <t/>
        </is>
      </c>
      <c r="BO104" s="205" t="inlineStr">
        <is>
          <t>Other</t>
        </is>
      </c>
      <c r="BP104" s="206" t="inlineStr">
        <is>
          <t/>
        </is>
      </c>
      <c r="BQ104" s="207" t="inlineStr">
        <is>
          <t/>
        </is>
      </c>
      <c r="BR104" s="208" t="inlineStr">
        <is>
          <t/>
        </is>
      </c>
      <c r="BS104" s="209" t="inlineStr">
        <is>
          <t>Completed</t>
        </is>
      </c>
      <c r="BT104" s="210" t="n">
        <v>42816.0</v>
      </c>
      <c r="BU104" s="211" t="n">
        <v>5.61</v>
      </c>
      <c r="BV104" s="212" t="inlineStr">
        <is>
          <t>Actual</t>
        </is>
      </c>
      <c r="BW104" s="213" t="inlineStr">
        <is>
          <t/>
        </is>
      </c>
      <c r="BX104" s="214" t="inlineStr">
        <is>
          <t/>
        </is>
      </c>
      <c r="BY104" s="215" t="inlineStr">
        <is>
          <t>Early Stage VC</t>
        </is>
      </c>
      <c r="BZ104" s="216" t="inlineStr">
        <is>
          <t>Series A</t>
        </is>
      </c>
      <c r="CA104" s="217" t="inlineStr">
        <is>
          <t/>
        </is>
      </c>
      <c r="CB104" s="218" t="inlineStr">
        <is>
          <t>Venture Capital</t>
        </is>
      </c>
      <c r="CC104" s="219" t="inlineStr">
        <is>
          <t/>
        </is>
      </c>
      <c r="CD104" s="220" t="inlineStr">
        <is>
          <t/>
        </is>
      </c>
      <c r="CE104" s="221" t="inlineStr">
        <is>
          <t/>
        </is>
      </c>
      <c r="CF104" s="222" t="inlineStr">
        <is>
          <t>Completed</t>
        </is>
      </c>
      <c r="CG104" s="223" t="inlineStr">
        <is>
          <t>1,05%</t>
        </is>
      </c>
      <c r="CH104" s="224" t="inlineStr">
        <is>
          <t>89</t>
        </is>
      </c>
      <c r="CI104" s="225" t="inlineStr">
        <is>
          <t>0,21%</t>
        </is>
      </c>
      <c r="CJ104" s="226" t="inlineStr">
        <is>
          <t>25,34%</t>
        </is>
      </c>
      <c r="CK104" s="227" t="inlineStr">
        <is>
          <t>1,85%</t>
        </is>
      </c>
      <c r="CL104" s="228" t="inlineStr">
        <is>
          <t>90</t>
        </is>
      </c>
      <c r="CM104" s="229" t="inlineStr">
        <is>
          <t>0,26%</t>
        </is>
      </c>
      <c r="CN104" s="230" t="inlineStr">
        <is>
          <t>78</t>
        </is>
      </c>
      <c r="CO104" s="231" t="inlineStr">
        <is>
          <t>0,00%</t>
        </is>
      </c>
      <c r="CP104" s="232" t="inlineStr">
        <is>
          <t>26</t>
        </is>
      </c>
      <c r="CQ104" s="233" t="inlineStr">
        <is>
          <t>3,70%</t>
        </is>
      </c>
      <c r="CR104" s="234" t="inlineStr">
        <is>
          <t>93</t>
        </is>
      </c>
      <c r="CS104" s="235" t="inlineStr">
        <is>
          <t>0,69%</t>
        </is>
      </c>
      <c r="CT104" s="236" t="inlineStr">
        <is>
          <t>91</t>
        </is>
      </c>
      <c r="CU104" s="237" t="inlineStr">
        <is>
          <t>-0,18%</t>
        </is>
      </c>
      <c r="CV104" s="238" t="inlineStr">
        <is>
          <t>3</t>
        </is>
      </c>
      <c r="CW104" s="239" t="inlineStr">
        <is>
          <t>7,40x</t>
        </is>
      </c>
      <c r="CX104" s="240" t="inlineStr">
        <is>
          <t>84</t>
        </is>
      </c>
      <c r="CY104" s="241" t="inlineStr">
        <is>
          <t>0,35x</t>
        </is>
      </c>
      <c r="CZ104" s="242" t="inlineStr">
        <is>
          <t>5,00%</t>
        </is>
      </c>
      <c r="DA104" s="243" t="inlineStr">
        <is>
          <t>3,90x</t>
        </is>
      </c>
      <c r="DB104" s="244" t="inlineStr">
        <is>
          <t>77</t>
        </is>
      </c>
      <c r="DC104" s="245" t="inlineStr">
        <is>
          <t>10,90x</t>
        </is>
      </c>
      <c r="DD104" s="246" t="inlineStr">
        <is>
          <t>85</t>
        </is>
      </c>
      <c r="DE104" s="247" t="inlineStr">
        <is>
          <t>0,13x</t>
        </is>
      </c>
      <c r="DF104" s="248" t="inlineStr">
        <is>
          <t>12</t>
        </is>
      </c>
      <c r="DG104" s="249" t="inlineStr">
        <is>
          <t>7,67x</t>
        </is>
      </c>
      <c r="DH104" s="250" t="inlineStr">
        <is>
          <t>83</t>
        </is>
      </c>
      <c r="DI104" s="251" t="inlineStr">
        <is>
          <t>9,18x</t>
        </is>
      </c>
      <c r="DJ104" s="252" t="inlineStr">
        <is>
          <t>81</t>
        </is>
      </c>
      <c r="DK104" s="253" t="inlineStr">
        <is>
          <t>12,62x</t>
        </is>
      </c>
      <c r="DL104" s="254" t="inlineStr">
        <is>
          <t>88</t>
        </is>
      </c>
      <c r="DM104" s="255" t="inlineStr">
        <is>
          <t>91</t>
        </is>
      </c>
      <c r="DN104" s="256" t="inlineStr">
        <is>
          <t>-23</t>
        </is>
      </c>
      <c r="DO104" s="257" t="inlineStr">
        <is>
          <t>-20,18%</t>
        </is>
      </c>
      <c r="DP104" s="258" t="inlineStr">
        <is>
          <t>7.327</t>
        </is>
      </c>
      <c r="DQ104" s="259" t="inlineStr">
        <is>
          <t>23</t>
        </is>
      </c>
      <c r="DR104" s="260" t="inlineStr">
        <is>
          <t>0,31%</t>
        </is>
      </c>
      <c r="DS104" s="261" t="inlineStr">
        <is>
          <t>264</t>
        </is>
      </c>
      <c r="DT104" s="262" t="inlineStr">
        <is>
          <t>23</t>
        </is>
      </c>
      <c r="DU104" s="263" t="inlineStr">
        <is>
          <t>9,54%</t>
        </is>
      </c>
      <c r="DV104" s="264" t="inlineStr">
        <is>
          <t>4.326</t>
        </is>
      </c>
      <c r="DW104" s="265" t="inlineStr">
        <is>
          <t>2</t>
        </is>
      </c>
      <c r="DX104" s="266" t="inlineStr">
        <is>
          <t>0,05%</t>
        </is>
      </c>
      <c r="DY104" s="267" t="inlineStr">
        <is>
          <t>PitchBook Research</t>
        </is>
      </c>
      <c r="DZ104" s="786">
        <f>HYPERLINK("https://my.pitchbook.com?c=99278-47", "View company online")</f>
      </c>
    </row>
    <row r="105">
      <c r="A105" s="9" t="inlineStr">
        <is>
          <t>125555-50</t>
        </is>
      </c>
      <c r="B105" s="10" t="inlineStr">
        <is>
          <t>Chr. Olesen Synthesis</t>
        </is>
      </c>
      <c r="C105" s="11" t="inlineStr">
        <is>
          <t/>
        </is>
      </c>
      <c r="D105" s="12" t="inlineStr">
        <is>
          <t>COS</t>
        </is>
      </c>
      <c r="E105" s="13" t="inlineStr">
        <is>
          <t>125555-50</t>
        </is>
      </c>
      <c r="F105" s="14" t="inlineStr">
        <is>
          <t>Manufacturer of active pharmaceutical ingredients designed to produce controlled substances comprising semi-synthetic opioids. The company's active pharmaceutical ingredients include Hydromorphone, Codeine Phosphate, Amphetamine derivatives and advanced intermediates for Buprenorphine and Tamsulosin, with variety of chemical synthetic methods in multi-step reactions, enabling clients to avail the advanced intermediates of APIs.</t>
        </is>
      </c>
      <c r="G105" s="15" t="inlineStr">
        <is>
          <t>Healthcare</t>
        </is>
      </c>
      <c r="H105" s="16" t="inlineStr">
        <is>
          <t>Pharmaceuticals and Biotechnology</t>
        </is>
      </c>
      <c r="I105" s="17" t="inlineStr">
        <is>
          <t>Pharmaceuticals</t>
        </is>
      </c>
      <c r="J105" s="18" t="inlineStr">
        <is>
          <t>Pharmaceuticals*; Other Pharmaceuticals and Biotechnology</t>
        </is>
      </c>
      <c r="K105" s="19" t="inlineStr">
        <is>
          <t>Manufacturing</t>
        </is>
      </c>
      <c r="L105" s="20" t="inlineStr">
        <is>
          <t>Venture Capital-Backed</t>
        </is>
      </c>
      <c r="M105" s="21" t="n">
        <v>10.0</v>
      </c>
      <c r="N105" s="22" t="inlineStr">
        <is>
          <t>Startup</t>
        </is>
      </c>
      <c r="O105" s="23" t="inlineStr">
        <is>
          <t>Privately Held (backing)</t>
        </is>
      </c>
      <c r="P105" s="24" t="inlineStr">
        <is>
          <t>Venture Capital</t>
        </is>
      </c>
      <c r="Q105" s="25" t="inlineStr">
        <is>
          <t/>
        </is>
      </c>
      <c r="R105" s="26" t="inlineStr">
        <is>
          <t/>
        </is>
      </c>
      <c r="S105" s="27" t="inlineStr">
        <is>
          <t/>
        </is>
      </c>
      <c r="T105" s="28" t="inlineStr">
        <is>
          <t/>
        </is>
      </c>
      <c r="U105" s="29" t="n">
        <v>2012.0</v>
      </c>
      <c r="V105" s="30" t="inlineStr">
        <is>
          <t/>
        </is>
      </c>
      <c r="W105" s="31" t="inlineStr">
        <is>
          <t/>
        </is>
      </c>
      <c r="X105" s="32" t="inlineStr">
        <is>
          <t/>
        </is>
      </c>
      <c r="Y105" s="33" t="inlineStr">
        <is>
          <t/>
        </is>
      </c>
      <c r="Z105" s="34" t="n">
        <v>-0.0714</v>
      </c>
      <c r="AA105" s="35" t="n">
        <v>-0.43734</v>
      </c>
      <c r="AB105" s="36" t="inlineStr">
        <is>
          <t/>
        </is>
      </c>
      <c r="AC105" s="37" t="n">
        <v>-0.41949</v>
      </c>
      <c r="AD105" s="38" t="inlineStr">
        <is>
          <t>FY 2016</t>
        </is>
      </c>
      <c r="AE105" s="39" t="inlineStr">
        <is>
          <t>116421-22P</t>
        </is>
      </c>
      <c r="AF105" s="40" t="inlineStr">
        <is>
          <t>Mads Olesen</t>
        </is>
      </c>
      <c r="AG105" s="41" t="inlineStr">
        <is>
          <t>Chairman</t>
        </is>
      </c>
      <c r="AH105" s="42" t="inlineStr">
        <is>
          <t/>
        </is>
      </c>
      <c r="AI105" s="43" t="inlineStr">
        <is>
          <t/>
        </is>
      </c>
      <c r="AJ105" s="44" t="inlineStr">
        <is>
          <t>Gentofte, Denmark</t>
        </is>
      </c>
      <c r="AK105" s="45" t="inlineStr">
        <is>
          <t>Jægersborg Alle 164</t>
        </is>
      </c>
      <c r="AL105" s="46" t="inlineStr">
        <is>
          <t/>
        </is>
      </c>
      <c r="AM105" s="47" t="inlineStr">
        <is>
          <t>Gentofte</t>
        </is>
      </c>
      <c r="AN105" s="48" t="inlineStr">
        <is>
          <t/>
        </is>
      </c>
      <c r="AO105" s="49" t="inlineStr">
        <is>
          <t>2820</t>
        </is>
      </c>
      <c r="AP105" s="50" t="inlineStr">
        <is>
          <t>Denmark</t>
        </is>
      </c>
      <c r="AQ105" s="51" t="inlineStr">
        <is>
          <t/>
        </is>
      </c>
      <c r="AR105" s="52" t="inlineStr">
        <is>
          <t/>
        </is>
      </c>
      <c r="AS105" s="53" t="inlineStr">
        <is>
          <t/>
        </is>
      </c>
      <c r="AT105" s="54" t="inlineStr">
        <is>
          <t>Europe</t>
        </is>
      </c>
      <c r="AU105" s="55" t="inlineStr">
        <is>
          <t>Northern Europe</t>
        </is>
      </c>
      <c r="AV105" s="56" t="inlineStr">
        <is>
          <t>The company raised EUR 10 million of Series A venture funding from Signet Healthcare Partners on October 8, 2015. The company intends to use the funding to increase its plant capacity and fund the development of hard-to-produce generic APIs.</t>
        </is>
      </c>
      <c r="AW105" s="57" t="inlineStr">
        <is>
          <t>Signet Healthcare Partners</t>
        </is>
      </c>
      <c r="AX105" s="58" t="n">
        <v>1.0</v>
      </c>
      <c r="AY105" s="59" t="inlineStr">
        <is>
          <t/>
        </is>
      </c>
      <c r="AZ105" s="60" t="inlineStr">
        <is>
          <t/>
        </is>
      </c>
      <c r="BA105" s="61" t="inlineStr">
        <is>
          <t/>
        </is>
      </c>
      <c r="BB105" s="62" t="inlineStr">
        <is>
          <t>Signet Healthcare Partners (www.signethealthcarepartners.com)</t>
        </is>
      </c>
      <c r="BC105" s="63" t="inlineStr">
        <is>
          <t/>
        </is>
      </c>
      <c r="BD105" s="64" t="inlineStr">
        <is>
          <t/>
        </is>
      </c>
      <c r="BE105" s="65" t="inlineStr">
        <is>
          <t>PwC (Auditor), Ronne &amp; Lundgren (Legal Advisor), Sydbank (General Business Banking)</t>
        </is>
      </c>
      <c r="BF105" s="66" t="inlineStr">
        <is>
          <t/>
        </is>
      </c>
      <c r="BG105" s="67" t="n">
        <v>42285.0</v>
      </c>
      <c r="BH105" s="68" t="n">
        <v>10.0</v>
      </c>
      <c r="BI105" s="69" t="inlineStr">
        <is>
          <t>Actual</t>
        </is>
      </c>
      <c r="BJ105" s="70" t="inlineStr">
        <is>
          <t/>
        </is>
      </c>
      <c r="BK105" s="71" t="inlineStr">
        <is>
          <t/>
        </is>
      </c>
      <c r="BL105" s="72" t="inlineStr">
        <is>
          <t>Early Stage VC</t>
        </is>
      </c>
      <c r="BM105" s="73" t="inlineStr">
        <is>
          <t>Series A</t>
        </is>
      </c>
      <c r="BN105" s="74" t="inlineStr">
        <is>
          <t/>
        </is>
      </c>
      <c r="BO105" s="75" t="inlineStr">
        <is>
          <t>Venture Capital</t>
        </is>
      </c>
      <c r="BP105" s="76" t="inlineStr">
        <is>
          <t/>
        </is>
      </c>
      <c r="BQ105" s="77" t="inlineStr">
        <is>
          <t/>
        </is>
      </c>
      <c r="BR105" s="78" t="inlineStr">
        <is>
          <t/>
        </is>
      </c>
      <c r="BS105" s="79" t="inlineStr">
        <is>
          <t>Completed</t>
        </is>
      </c>
      <c r="BT105" s="80" t="n">
        <v>42285.0</v>
      </c>
      <c r="BU105" s="81" t="n">
        <v>10.0</v>
      </c>
      <c r="BV105" s="82" t="inlineStr">
        <is>
          <t>Actual</t>
        </is>
      </c>
      <c r="BW105" s="83" t="inlineStr">
        <is>
          <t/>
        </is>
      </c>
      <c r="BX105" s="84" t="inlineStr">
        <is>
          <t/>
        </is>
      </c>
      <c r="BY105" s="85" t="inlineStr">
        <is>
          <t>Early Stage VC</t>
        </is>
      </c>
      <c r="BZ105" s="86" t="inlineStr">
        <is>
          <t>Series A</t>
        </is>
      </c>
      <c r="CA105" s="87" t="inlineStr">
        <is>
          <t/>
        </is>
      </c>
      <c r="CB105" s="88" t="inlineStr">
        <is>
          <t>Venture Capital</t>
        </is>
      </c>
      <c r="CC105" s="89" t="inlineStr">
        <is>
          <t/>
        </is>
      </c>
      <c r="CD105" s="90" t="inlineStr">
        <is>
          <t/>
        </is>
      </c>
      <c r="CE105" s="91" t="inlineStr">
        <is>
          <t/>
        </is>
      </c>
      <c r="CF105" s="92" t="inlineStr">
        <is>
          <t>Completed</t>
        </is>
      </c>
      <c r="CG105" s="93" t="inlineStr">
        <is>
          <t/>
        </is>
      </c>
      <c r="CH105" s="94" t="inlineStr">
        <is>
          <t/>
        </is>
      </c>
      <c r="CI105" s="95" t="inlineStr">
        <is>
          <t/>
        </is>
      </c>
      <c r="CJ105" s="96" t="inlineStr">
        <is>
          <t/>
        </is>
      </c>
      <c r="CK105" s="97" t="inlineStr">
        <is>
          <t/>
        </is>
      </c>
      <c r="CL105" s="98" t="inlineStr">
        <is>
          <t/>
        </is>
      </c>
      <c r="CM105" s="99" t="inlineStr">
        <is>
          <t/>
        </is>
      </c>
      <c r="CN105" s="100" t="inlineStr">
        <is>
          <t/>
        </is>
      </c>
      <c r="CO105" s="101" t="inlineStr">
        <is>
          <t/>
        </is>
      </c>
      <c r="CP105" s="102" t="inlineStr">
        <is>
          <t/>
        </is>
      </c>
      <c r="CQ105" s="103" t="inlineStr">
        <is>
          <t/>
        </is>
      </c>
      <c r="CR105" s="104" t="inlineStr">
        <is>
          <t/>
        </is>
      </c>
      <c r="CS105" s="105" t="inlineStr">
        <is>
          <t/>
        </is>
      </c>
      <c r="CT105" s="106" t="inlineStr">
        <is>
          <t/>
        </is>
      </c>
      <c r="CU105" s="107" t="inlineStr">
        <is>
          <t/>
        </is>
      </c>
      <c r="CV105" s="108" t="inlineStr">
        <is>
          <t/>
        </is>
      </c>
      <c r="CW105" s="109" t="inlineStr">
        <is>
          <t/>
        </is>
      </c>
      <c r="CX105" s="110" t="inlineStr">
        <is>
          <t/>
        </is>
      </c>
      <c r="CY105" s="111" t="inlineStr">
        <is>
          <t/>
        </is>
      </c>
      <c r="CZ105" s="112" t="inlineStr">
        <is>
          <t/>
        </is>
      </c>
      <c r="DA105" s="113" t="inlineStr">
        <is>
          <t/>
        </is>
      </c>
      <c r="DB105" s="114" t="inlineStr">
        <is>
          <t/>
        </is>
      </c>
      <c r="DC105" s="115" t="inlineStr">
        <is>
          <t/>
        </is>
      </c>
      <c r="DD105" s="116" t="inlineStr">
        <is>
          <t/>
        </is>
      </c>
      <c r="DE105" s="117" t="inlineStr">
        <is>
          <t/>
        </is>
      </c>
      <c r="DF105" s="118" t="inlineStr">
        <is>
          <t/>
        </is>
      </c>
      <c r="DG105" s="119" t="inlineStr">
        <is>
          <t/>
        </is>
      </c>
      <c r="DH105" s="120" t="inlineStr">
        <is>
          <t/>
        </is>
      </c>
      <c r="DI105" s="121" t="inlineStr">
        <is>
          <t/>
        </is>
      </c>
      <c r="DJ105" s="122" t="inlineStr">
        <is>
          <t/>
        </is>
      </c>
      <c r="DK105" s="123" t="inlineStr">
        <is>
          <t/>
        </is>
      </c>
      <c r="DL105" s="124" t="inlineStr">
        <is>
          <t/>
        </is>
      </c>
      <c r="DM105" s="125" t="inlineStr">
        <is>
          <t/>
        </is>
      </c>
      <c r="DN105" s="126" t="inlineStr">
        <is>
          <t/>
        </is>
      </c>
      <c r="DO105" s="127" t="inlineStr">
        <is>
          <t/>
        </is>
      </c>
      <c r="DP105" s="128" t="inlineStr">
        <is>
          <t/>
        </is>
      </c>
      <c r="DQ105" s="129" t="inlineStr">
        <is>
          <t/>
        </is>
      </c>
      <c r="DR105" s="130" t="inlineStr">
        <is>
          <t/>
        </is>
      </c>
      <c r="DS105" s="131" t="inlineStr">
        <is>
          <t/>
        </is>
      </c>
      <c r="DT105" s="132" t="inlineStr">
        <is>
          <t/>
        </is>
      </c>
      <c r="DU105" s="133" t="inlineStr">
        <is>
          <t/>
        </is>
      </c>
      <c r="DV105" s="134" t="inlineStr">
        <is>
          <t/>
        </is>
      </c>
      <c r="DW105" s="135" t="inlineStr">
        <is>
          <t/>
        </is>
      </c>
      <c r="DX105" s="136" t="inlineStr">
        <is>
          <t/>
        </is>
      </c>
      <c r="DY105" s="137" t="inlineStr">
        <is>
          <t>PitchBook Research</t>
        </is>
      </c>
      <c r="DZ105" s="785">
        <f>HYPERLINK("https://my.pitchbook.com?c=125555-50", "View company online")</f>
      </c>
    </row>
    <row r="106">
      <c r="A106" s="139" t="inlineStr">
        <is>
          <t>83559-25</t>
        </is>
      </c>
      <c r="B106" s="140" t="inlineStr">
        <is>
          <t>Chronext</t>
        </is>
      </c>
      <c r="C106" s="141" t="inlineStr">
        <is>
          <t/>
        </is>
      </c>
      <c r="D106" s="142" t="inlineStr">
        <is>
          <t/>
        </is>
      </c>
      <c r="E106" s="143" t="inlineStr">
        <is>
          <t>83559-25</t>
        </is>
      </c>
      <c r="F106" s="144" t="inlineStr">
        <is>
          <t>Provider of a global platform for buying and selling watches. The company operates an online marketplace for the sale and purchase of luxury timepieces.</t>
        </is>
      </c>
      <c r="G106" s="145" t="inlineStr">
        <is>
          <t>Consumer Products and Services (B2C)</t>
        </is>
      </c>
      <c r="H106" s="146" t="inlineStr">
        <is>
          <t>Retail</t>
        </is>
      </c>
      <c r="I106" s="147" t="inlineStr">
        <is>
          <t>Specialty Retail</t>
        </is>
      </c>
      <c r="J106" s="148" t="inlineStr">
        <is>
          <t>Specialty Retail*; Accessories; Luxury Goods</t>
        </is>
      </c>
      <c r="K106" s="149" t="inlineStr">
        <is>
          <t>E-Commerce</t>
        </is>
      </c>
      <c r="L106" s="150" t="inlineStr">
        <is>
          <t>Venture Capital-Backed</t>
        </is>
      </c>
      <c r="M106" s="151" t="n">
        <v>15.93</v>
      </c>
      <c r="N106" s="152" t="inlineStr">
        <is>
          <t>Generating Revenue</t>
        </is>
      </c>
      <c r="O106" s="153" t="inlineStr">
        <is>
          <t>Privately Held (backing)</t>
        </is>
      </c>
      <c r="P106" s="154" t="inlineStr">
        <is>
          <t>Venture Capital</t>
        </is>
      </c>
      <c r="Q106" s="155" t="inlineStr">
        <is>
          <t>www.chronext.com</t>
        </is>
      </c>
      <c r="R106" s="156" t="n">
        <v>51.0</v>
      </c>
      <c r="S106" s="157" t="inlineStr">
        <is>
          <t/>
        </is>
      </c>
      <c r="T106" s="158" t="inlineStr">
        <is>
          <t/>
        </is>
      </c>
      <c r="U106" s="159" t="n">
        <v>2013.0</v>
      </c>
      <c r="V106" s="160" t="inlineStr">
        <is>
          <t/>
        </is>
      </c>
      <c r="W106" s="161" t="inlineStr">
        <is>
          <t/>
        </is>
      </c>
      <c r="X106" s="162" t="inlineStr">
        <is>
          <t/>
        </is>
      </c>
      <c r="Y106" s="163" t="inlineStr">
        <is>
          <t/>
        </is>
      </c>
      <c r="Z106" s="164" t="inlineStr">
        <is>
          <t/>
        </is>
      </c>
      <c r="AA106" s="165" t="inlineStr">
        <is>
          <t/>
        </is>
      </c>
      <c r="AB106" s="166" t="inlineStr">
        <is>
          <t/>
        </is>
      </c>
      <c r="AC106" s="167" t="inlineStr">
        <is>
          <t/>
        </is>
      </c>
      <c r="AD106" s="168" t="inlineStr">
        <is>
          <t/>
        </is>
      </c>
      <c r="AE106" s="169" t="inlineStr">
        <is>
          <t>84939-67P</t>
        </is>
      </c>
      <c r="AF106" s="170" t="inlineStr">
        <is>
          <t>Philipp Man</t>
        </is>
      </c>
      <c r="AG106" s="171" t="inlineStr">
        <is>
          <t>Co-Founder, Chief Executive Officer &amp; Chairman</t>
        </is>
      </c>
      <c r="AH106" s="172" t="inlineStr">
        <is>
          <t>philipp.man@chronext.com</t>
        </is>
      </c>
      <c r="AI106" s="173" t="inlineStr">
        <is>
          <t>+49 (0)22 1975 8060 4</t>
        </is>
      </c>
      <c r="AJ106" s="174" t="inlineStr">
        <is>
          <t>Zug, Switzerland</t>
        </is>
      </c>
      <c r="AK106" s="175" t="inlineStr">
        <is>
          <t>Grafenauweg 10</t>
        </is>
      </c>
      <c r="AL106" s="176" t="inlineStr">
        <is>
          <t/>
        </is>
      </c>
      <c r="AM106" s="177" t="inlineStr">
        <is>
          <t>Zug</t>
        </is>
      </c>
      <c r="AN106" s="178" t="inlineStr">
        <is>
          <t/>
        </is>
      </c>
      <c r="AO106" s="179" t="inlineStr">
        <is>
          <t>6301</t>
        </is>
      </c>
      <c r="AP106" s="180" t="inlineStr">
        <is>
          <t>Switzerland</t>
        </is>
      </c>
      <c r="AQ106" s="181" t="inlineStr">
        <is>
          <t>+41 (0)41 588 0684</t>
        </is>
      </c>
      <c r="AR106" s="182" t="inlineStr">
        <is>
          <t/>
        </is>
      </c>
      <c r="AS106" s="183" t="inlineStr">
        <is>
          <t>info@chronext.com</t>
        </is>
      </c>
      <c r="AT106" s="184" t="inlineStr">
        <is>
          <t>Europe</t>
        </is>
      </c>
      <c r="AU106" s="185" t="inlineStr">
        <is>
          <t>Western Europe</t>
        </is>
      </c>
      <c r="AV106" s="186" t="inlineStr">
        <is>
          <t>The company raised EUR 11 million of Series C venture funding led by Partech Ventures on June 14, 2016. Octopus Ventures, Capnamic Ventures, NRW.BANK and InVenture Partners also participated. The company will use the funding to strengthen its growth in Germany and the UK and further expand internationally. Previously, the company raised $5.5 million of venture funding from Partech Ventures, InVenture Partners and MGO Digital Ventures on November 4, 2015.</t>
        </is>
      </c>
      <c r="AW106" s="187" t="inlineStr">
        <is>
          <t>Altus Capital Partners, Capnamic Ventures, David Khalil, InVenture Partners, JamJar Investments, MGO Digital Ventures, NRW.Bank, Octopus Ventures, Partech Ventures, Playfair Capital, Q Ventures, QVentures</t>
        </is>
      </c>
      <c r="AX106" s="188" t="n">
        <v>12.0</v>
      </c>
      <c r="AY106" s="189" t="inlineStr">
        <is>
          <t/>
        </is>
      </c>
      <c r="AZ106" s="190" t="inlineStr">
        <is>
          <t/>
        </is>
      </c>
      <c r="BA106" s="191" t="inlineStr">
        <is>
          <t/>
        </is>
      </c>
      <c r="BB106" s="192" t="inlineStr">
        <is>
          <t>Altus Capital Partners (www.altuscapitalpartners.com), Capnamic Ventures (www.capnamic.com), InVenture Partners (www.inventurepartners.com), JamJar Investments (www.jamjarinvestments.com), MGO Digital Ventures (www.mgo-ventures.de), NRW.Bank (www.nrwbank.de), Octopus Ventures (www.octopusventures.com), Partech Ventures (www.partechventures.com), Playfair Capital (www.playfaircapital.com), Q Ventures (www.qventures.co), QVentures (www.qventures.de)</t>
        </is>
      </c>
      <c r="BC106" s="193" t="inlineStr">
        <is>
          <t/>
        </is>
      </c>
      <c r="BD106" s="194" t="inlineStr">
        <is>
          <t/>
        </is>
      </c>
      <c r="BE106" s="195" t="inlineStr">
        <is>
          <t/>
        </is>
      </c>
      <c r="BF106" s="196" t="inlineStr">
        <is>
          <t/>
        </is>
      </c>
      <c r="BG106" s="197" t="n">
        <v>41957.0</v>
      </c>
      <c r="BH106" s="198" t="inlineStr">
        <is>
          <t/>
        </is>
      </c>
      <c r="BI106" s="199" t="inlineStr">
        <is>
          <t/>
        </is>
      </c>
      <c r="BJ106" s="200" t="inlineStr">
        <is>
          <t/>
        </is>
      </c>
      <c r="BK106" s="201" t="inlineStr">
        <is>
          <t/>
        </is>
      </c>
      <c r="BL106" s="202" t="inlineStr">
        <is>
          <t>Early Stage VC</t>
        </is>
      </c>
      <c r="BM106" s="203" t="inlineStr">
        <is>
          <t/>
        </is>
      </c>
      <c r="BN106" s="204" t="inlineStr">
        <is>
          <t/>
        </is>
      </c>
      <c r="BO106" s="205" t="inlineStr">
        <is>
          <t>Venture Capital</t>
        </is>
      </c>
      <c r="BP106" s="206" t="inlineStr">
        <is>
          <t/>
        </is>
      </c>
      <c r="BQ106" s="207" t="inlineStr">
        <is>
          <t/>
        </is>
      </c>
      <c r="BR106" s="208" t="inlineStr">
        <is>
          <t/>
        </is>
      </c>
      <c r="BS106" s="209" t="inlineStr">
        <is>
          <t>Completed</t>
        </is>
      </c>
      <c r="BT106" s="210" t="n">
        <v>42535.0</v>
      </c>
      <c r="BU106" s="211" t="n">
        <v>11.0</v>
      </c>
      <c r="BV106" s="212" t="inlineStr">
        <is>
          <t>Actual</t>
        </is>
      </c>
      <c r="BW106" s="213" t="inlineStr">
        <is>
          <t/>
        </is>
      </c>
      <c r="BX106" s="214" t="inlineStr">
        <is>
          <t/>
        </is>
      </c>
      <c r="BY106" s="215" t="inlineStr">
        <is>
          <t>Later Stage VC</t>
        </is>
      </c>
      <c r="BZ106" s="216" t="inlineStr">
        <is>
          <t>Series C</t>
        </is>
      </c>
      <c r="CA106" s="217" t="inlineStr">
        <is>
          <t/>
        </is>
      </c>
      <c r="CB106" s="218" t="inlineStr">
        <is>
          <t>Venture Capital</t>
        </is>
      </c>
      <c r="CC106" s="219" t="inlineStr">
        <is>
          <t/>
        </is>
      </c>
      <c r="CD106" s="220" t="inlineStr">
        <is>
          <t/>
        </is>
      </c>
      <c r="CE106" s="221" t="inlineStr">
        <is>
          <t/>
        </is>
      </c>
      <c r="CF106" s="222" t="inlineStr">
        <is>
          <t>Completed</t>
        </is>
      </c>
      <c r="CG106" s="223" t="inlineStr">
        <is>
          <t>0,71%</t>
        </is>
      </c>
      <c r="CH106" s="224" t="inlineStr">
        <is>
          <t>86</t>
        </is>
      </c>
      <c r="CI106" s="225" t="inlineStr">
        <is>
          <t>0,07%</t>
        </is>
      </c>
      <c r="CJ106" s="226" t="inlineStr">
        <is>
          <t>10,57%</t>
        </is>
      </c>
      <c r="CK106" s="227" t="inlineStr">
        <is>
          <t>1,43%</t>
        </is>
      </c>
      <c r="CL106" s="228" t="inlineStr">
        <is>
          <t>89</t>
        </is>
      </c>
      <c r="CM106" s="229" t="inlineStr">
        <is>
          <t>0,00%</t>
        </is>
      </c>
      <c r="CN106" s="230" t="inlineStr">
        <is>
          <t>19</t>
        </is>
      </c>
      <c r="CO106" s="231" t="inlineStr">
        <is>
          <t>-0,05%</t>
        </is>
      </c>
      <c r="CP106" s="232" t="inlineStr">
        <is>
          <t>25</t>
        </is>
      </c>
      <c r="CQ106" s="233" t="inlineStr">
        <is>
          <t>2,90%</t>
        </is>
      </c>
      <c r="CR106" s="234" t="inlineStr">
        <is>
          <t>92</t>
        </is>
      </c>
      <c r="CS106" s="235" t="inlineStr">
        <is>
          <t>0,01%</t>
        </is>
      </c>
      <c r="CT106" s="236" t="inlineStr">
        <is>
          <t>41</t>
        </is>
      </c>
      <c r="CU106" s="237" t="inlineStr">
        <is>
          <t>-0,01%</t>
        </is>
      </c>
      <c r="CV106" s="238" t="inlineStr">
        <is>
          <t>19</t>
        </is>
      </c>
      <c r="CW106" s="239" t="inlineStr">
        <is>
          <t>38,20x</t>
        </is>
      </c>
      <c r="CX106" s="240" t="inlineStr">
        <is>
          <t>95</t>
        </is>
      </c>
      <c r="CY106" s="241" t="inlineStr">
        <is>
          <t>0,68x</t>
        </is>
      </c>
      <c r="CZ106" s="242" t="inlineStr">
        <is>
          <t>1,82%</t>
        </is>
      </c>
      <c r="DA106" s="243" t="inlineStr">
        <is>
          <t>17,10x</t>
        </is>
      </c>
      <c r="DB106" s="244" t="inlineStr">
        <is>
          <t>91</t>
        </is>
      </c>
      <c r="DC106" s="245" t="inlineStr">
        <is>
          <t>59,31x</t>
        </is>
      </c>
      <c r="DD106" s="246" t="inlineStr">
        <is>
          <t>95</t>
        </is>
      </c>
      <c r="DE106" s="247" t="inlineStr">
        <is>
          <t>26,76x</t>
        </is>
      </c>
      <c r="DF106" s="248" t="inlineStr">
        <is>
          <t>90</t>
        </is>
      </c>
      <c r="DG106" s="249" t="inlineStr">
        <is>
          <t>7,44x</t>
        </is>
      </c>
      <c r="DH106" s="250" t="inlineStr">
        <is>
          <t>83</t>
        </is>
      </c>
      <c r="DI106" s="251" t="inlineStr">
        <is>
          <t>102,01x</t>
        </is>
      </c>
      <c r="DJ106" s="252" t="inlineStr">
        <is>
          <t>95</t>
        </is>
      </c>
      <c r="DK106" s="253" t="inlineStr">
        <is>
          <t>16,61x</t>
        </is>
      </c>
      <c r="DL106" s="254" t="inlineStr">
        <is>
          <t>90</t>
        </is>
      </c>
      <c r="DM106" s="255" t="inlineStr">
        <is>
          <t>16.403</t>
        </is>
      </c>
      <c r="DN106" s="256" t="inlineStr">
        <is>
          <t>156</t>
        </is>
      </c>
      <c r="DO106" s="257" t="inlineStr">
        <is>
          <t>0,96%</t>
        </is>
      </c>
      <c r="DP106" s="258" t="inlineStr">
        <is>
          <t>81.507</t>
        </is>
      </c>
      <c r="DQ106" s="259" t="inlineStr">
        <is>
          <t>-8</t>
        </is>
      </c>
      <c r="DR106" s="260" t="inlineStr">
        <is>
          <t>-0,01%</t>
        </is>
      </c>
      <c r="DS106" s="261" t="inlineStr">
        <is>
          <t>267</t>
        </is>
      </c>
      <c r="DT106" s="262" t="inlineStr">
        <is>
          <t>6</t>
        </is>
      </c>
      <c r="DU106" s="263" t="inlineStr">
        <is>
          <t>2,30%</t>
        </is>
      </c>
      <c r="DV106" s="264" t="inlineStr">
        <is>
          <t>5.694</t>
        </is>
      </c>
      <c r="DW106" s="265" t="inlineStr">
        <is>
          <t>0</t>
        </is>
      </c>
      <c r="DX106" s="266" t="inlineStr">
        <is>
          <t>0,00%</t>
        </is>
      </c>
      <c r="DY106" s="267" t="inlineStr">
        <is>
          <t>PitchBook Research</t>
        </is>
      </c>
      <c r="DZ106" s="786">
        <f>HYPERLINK("https://my.pitchbook.com?c=83559-25", "View company online")</f>
      </c>
    </row>
    <row r="107">
      <c r="A107" s="9" t="inlineStr">
        <is>
          <t>118308-43</t>
        </is>
      </c>
      <c r="B107" s="10" t="inlineStr">
        <is>
          <t>Chronocam</t>
        </is>
      </c>
      <c r="C107" s="11" t="inlineStr">
        <is>
          <t/>
        </is>
      </c>
      <c r="D107" s="12" t="inlineStr">
        <is>
          <t/>
        </is>
      </c>
      <c r="E107" s="13" t="inlineStr">
        <is>
          <t>118308-43</t>
        </is>
      </c>
      <c r="F107" s="14" t="inlineStr">
        <is>
          <t>Developer of biologically-inspired computer vision sensors and systems designed to help in autonomous navigation robotics. The company's computer vision sensors visually sense and process autonomous vehicles, connected devices, security and surveillance systems, enabling clients to detect and analyze high-speed transient visual events in real-time.</t>
        </is>
      </c>
      <c r="G107" s="15" t="inlineStr">
        <is>
          <t>Business Products and Services (B2B)</t>
        </is>
      </c>
      <c r="H107" s="16" t="inlineStr">
        <is>
          <t>Commercial Products</t>
        </is>
      </c>
      <c r="I107" s="17" t="inlineStr">
        <is>
          <t>Other Commercial Products</t>
        </is>
      </c>
      <c r="J107" s="18" t="inlineStr">
        <is>
          <t>Other Commercial Products*; Other Hardware; Other Software</t>
        </is>
      </c>
      <c r="K107" s="19" t="inlineStr">
        <is>
          <t>Artificial Intelligence &amp; Machine Learning, Robotics and Drones</t>
        </is>
      </c>
      <c r="L107" s="20" t="inlineStr">
        <is>
          <t>Venture Capital-Backed</t>
        </is>
      </c>
      <c r="M107" s="21" t="n">
        <v>14.33</v>
      </c>
      <c r="N107" s="22" t="inlineStr">
        <is>
          <t>Startup</t>
        </is>
      </c>
      <c r="O107" s="23" t="inlineStr">
        <is>
          <t>Privately Held (backing)</t>
        </is>
      </c>
      <c r="P107" s="24" t="inlineStr">
        <is>
          <t>Venture Capital</t>
        </is>
      </c>
      <c r="Q107" s="25" t="inlineStr">
        <is>
          <t>www.chronocam.com</t>
        </is>
      </c>
      <c r="R107" s="26" t="n">
        <v>11.0</v>
      </c>
      <c r="S107" s="27" t="inlineStr">
        <is>
          <t/>
        </is>
      </c>
      <c r="T107" s="28" t="inlineStr">
        <is>
          <t/>
        </is>
      </c>
      <c r="U107" s="29" t="n">
        <v>2014.0</v>
      </c>
      <c r="V107" s="30" t="inlineStr">
        <is>
          <t/>
        </is>
      </c>
      <c r="W107" s="31" t="inlineStr">
        <is>
          <t/>
        </is>
      </c>
      <c r="X107" s="32" t="inlineStr">
        <is>
          <t/>
        </is>
      </c>
      <c r="Y107" s="33" t="n">
        <v>0.09187</v>
      </c>
      <c r="Z107" s="34" t="inlineStr">
        <is>
          <t/>
        </is>
      </c>
      <c r="AA107" s="35" t="n">
        <v>-0.77173</v>
      </c>
      <c r="AB107" s="36" t="inlineStr">
        <is>
          <t/>
        </is>
      </c>
      <c r="AC107" s="37" t="inlineStr">
        <is>
          <t/>
        </is>
      </c>
      <c r="AD107" s="38" t="inlineStr">
        <is>
          <t>FY 2015</t>
        </is>
      </c>
      <c r="AE107" s="39" t="inlineStr">
        <is>
          <t>122749-03P</t>
        </is>
      </c>
      <c r="AF107" s="40" t="inlineStr">
        <is>
          <t>Luca Verre</t>
        </is>
      </c>
      <c r="AG107" s="41" t="inlineStr">
        <is>
          <t>Co-Founder &amp; Chief Executive Officer</t>
        </is>
      </c>
      <c r="AH107" s="42" t="inlineStr">
        <is>
          <t>lverre@chronocam.com</t>
        </is>
      </c>
      <c r="AI107" s="43" t="inlineStr">
        <is>
          <t>+33 (0)6 9598 1080</t>
        </is>
      </c>
      <c r="AJ107" s="44" t="inlineStr">
        <is>
          <t>Paris, France</t>
        </is>
      </c>
      <c r="AK107" s="45" t="inlineStr">
        <is>
          <t>74, rue du Faubourg Saint Antoine</t>
        </is>
      </c>
      <c r="AL107" s="46" t="inlineStr">
        <is>
          <t/>
        </is>
      </c>
      <c r="AM107" s="47" t="inlineStr">
        <is>
          <t>Paris</t>
        </is>
      </c>
      <c r="AN107" s="48" t="inlineStr">
        <is>
          <t/>
        </is>
      </c>
      <c r="AO107" s="49" t="inlineStr">
        <is>
          <t>75012</t>
        </is>
      </c>
      <c r="AP107" s="50" t="inlineStr">
        <is>
          <t>France</t>
        </is>
      </c>
      <c r="AQ107" s="51" t="inlineStr">
        <is>
          <t>+33 (0)1 85 73 27 33</t>
        </is>
      </c>
      <c r="AR107" s="52" t="inlineStr">
        <is>
          <t/>
        </is>
      </c>
      <c r="AS107" s="53" t="inlineStr">
        <is>
          <t>info@chronocam.com</t>
        </is>
      </c>
      <c r="AT107" s="54" t="inlineStr">
        <is>
          <t>Europe</t>
        </is>
      </c>
      <c r="AU107" s="55" t="inlineStr">
        <is>
          <t>Western Europe</t>
        </is>
      </c>
      <c r="AV107" s="56" t="inlineStr">
        <is>
          <t>The company raised $15 million of Series B venture funding led by Intel Capital on October 24, 2016. iBionext, Robert Bosch Venture Capital GmbH, 360 Capital, CEAi and Renault Group also participated. The company intends to use the funds to accelerate product development and commercialize its computer vision sensing and processing technology as well as to expand into key markets, including the US and Asia.</t>
        </is>
      </c>
      <c r="AW107" s="57" t="inlineStr">
        <is>
          <t>360 Capital Partners, CEA Investissement, iBionext, Intel Capital, Renault Retail Group (France), Robert Bosch Venture Capital</t>
        </is>
      </c>
      <c r="AX107" s="58" t="n">
        <v>6.0</v>
      </c>
      <c r="AY107" s="59" t="inlineStr">
        <is>
          <t/>
        </is>
      </c>
      <c r="AZ107" s="60" t="inlineStr">
        <is>
          <t/>
        </is>
      </c>
      <c r="BA107" s="61" t="inlineStr">
        <is>
          <t/>
        </is>
      </c>
      <c r="BB107" s="62" t="inlineStr">
        <is>
          <t>360 Capital Partners (www.360capitalpartners.com), CEA Investissement (www.cea-investissement.com), iBionext (www.ibionext.com), Intel Capital (www.intelcapital.com), Renault Retail Group (France) (www.renault-retail-group.fr), Robert Bosch Venture Capital (www.rbvc.com)</t>
        </is>
      </c>
      <c r="BC107" s="63" t="inlineStr">
        <is>
          <t/>
        </is>
      </c>
      <c r="BD107" s="64" t="inlineStr">
        <is>
          <t/>
        </is>
      </c>
      <c r="BE107" s="65" t="inlineStr">
        <is>
          <t/>
        </is>
      </c>
      <c r="BF107" s="66" t="inlineStr">
        <is>
          <t/>
        </is>
      </c>
      <c r="BG107" s="67" t="n">
        <v>42263.0</v>
      </c>
      <c r="BH107" s="68" t="n">
        <v>0.75</v>
      </c>
      <c r="BI107" s="69" t="inlineStr">
        <is>
          <t>Actual</t>
        </is>
      </c>
      <c r="BJ107" s="70" t="inlineStr">
        <is>
          <t/>
        </is>
      </c>
      <c r="BK107" s="71" t="inlineStr">
        <is>
          <t/>
        </is>
      </c>
      <c r="BL107" s="72" t="inlineStr">
        <is>
          <t>Seed Round</t>
        </is>
      </c>
      <c r="BM107" s="73" t="inlineStr">
        <is>
          <t>Seed</t>
        </is>
      </c>
      <c r="BN107" s="74" t="inlineStr">
        <is>
          <t/>
        </is>
      </c>
      <c r="BO107" s="75" t="inlineStr">
        <is>
          <t>Venture Capital</t>
        </is>
      </c>
      <c r="BP107" s="76" t="inlineStr">
        <is>
          <t/>
        </is>
      </c>
      <c r="BQ107" s="77" t="inlineStr">
        <is>
          <t/>
        </is>
      </c>
      <c r="BR107" s="78" t="inlineStr">
        <is>
          <t/>
        </is>
      </c>
      <c r="BS107" s="79" t="inlineStr">
        <is>
          <t>Completed</t>
        </is>
      </c>
      <c r="BT107" s="80" t="n">
        <v>42667.0</v>
      </c>
      <c r="BU107" s="81" t="n">
        <v>13.58</v>
      </c>
      <c r="BV107" s="82" t="inlineStr">
        <is>
          <t>Actual</t>
        </is>
      </c>
      <c r="BW107" s="83" t="inlineStr">
        <is>
          <t/>
        </is>
      </c>
      <c r="BX107" s="84" t="inlineStr">
        <is>
          <t/>
        </is>
      </c>
      <c r="BY107" s="85" t="inlineStr">
        <is>
          <t>Early Stage VC</t>
        </is>
      </c>
      <c r="BZ107" s="86" t="inlineStr">
        <is>
          <t>Series B</t>
        </is>
      </c>
      <c r="CA107" s="87" t="inlineStr">
        <is>
          <t/>
        </is>
      </c>
      <c r="CB107" s="88" t="inlineStr">
        <is>
          <t>Venture Capital</t>
        </is>
      </c>
      <c r="CC107" s="89" t="inlineStr">
        <is>
          <t/>
        </is>
      </c>
      <c r="CD107" s="90" t="inlineStr">
        <is>
          <t/>
        </is>
      </c>
      <c r="CE107" s="91" t="inlineStr">
        <is>
          <t/>
        </is>
      </c>
      <c r="CF107" s="92" t="inlineStr">
        <is>
          <t>Completed</t>
        </is>
      </c>
      <c r="CG107" s="93" t="inlineStr">
        <is>
          <t>-1,09%</t>
        </is>
      </c>
      <c r="CH107" s="94" t="inlineStr">
        <is>
          <t>5</t>
        </is>
      </c>
      <c r="CI107" s="95" t="inlineStr">
        <is>
          <t>0,12%</t>
        </is>
      </c>
      <c r="CJ107" s="96" t="inlineStr">
        <is>
          <t>10,22%</t>
        </is>
      </c>
      <c r="CK107" s="97" t="inlineStr">
        <is>
          <t>-3,43%</t>
        </is>
      </c>
      <c r="CL107" s="98" t="inlineStr">
        <is>
          <t>3</t>
        </is>
      </c>
      <c r="CM107" s="99" t="inlineStr">
        <is>
          <t>1,26%</t>
        </is>
      </c>
      <c r="CN107" s="100" t="inlineStr">
        <is>
          <t>97</t>
        </is>
      </c>
      <c r="CO107" s="101" t="inlineStr">
        <is>
          <t>-6,95%</t>
        </is>
      </c>
      <c r="CP107" s="102" t="inlineStr">
        <is>
          <t>4</t>
        </is>
      </c>
      <c r="CQ107" s="103" t="inlineStr">
        <is>
          <t>0,09%</t>
        </is>
      </c>
      <c r="CR107" s="104" t="inlineStr">
        <is>
          <t>83</t>
        </is>
      </c>
      <c r="CS107" s="105" t="inlineStr">
        <is>
          <t/>
        </is>
      </c>
      <c r="CT107" s="106" t="inlineStr">
        <is>
          <t/>
        </is>
      </c>
      <c r="CU107" s="107" t="inlineStr">
        <is>
          <t>1,26%</t>
        </is>
      </c>
      <c r="CV107" s="108" t="inlineStr">
        <is>
          <t>98</t>
        </is>
      </c>
      <c r="CW107" s="109" t="inlineStr">
        <is>
          <t>3,05x</t>
        </is>
      </c>
      <c r="CX107" s="110" t="inlineStr">
        <is>
          <t>72</t>
        </is>
      </c>
      <c r="CY107" s="111" t="inlineStr">
        <is>
          <t>0,06x</t>
        </is>
      </c>
      <c r="CZ107" s="112" t="inlineStr">
        <is>
          <t>2,17%</t>
        </is>
      </c>
      <c r="DA107" s="113" t="inlineStr">
        <is>
          <t>4,93x</t>
        </is>
      </c>
      <c r="DB107" s="114" t="inlineStr">
        <is>
          <t>80</t>
        </is>
      </c>
      <c r="DC107" s="115" t="inlineStr">
        <is>
          <t>1,17x</t>
        </is>
      </c>
      <c r="DD107" s="116" t="inlineStr">
        <is>
          <t>51</t>
        </is>
      </c>
      <c r="DE107" s="117" t="inlineStr">
        <is>
          <t>1,86x</t>
        </is>
      </c>
      <c r="DF107" s="118" t="inlineStr">
        <is>
          <t>62</t>
        </is>
      </c>
      <c r="DG107" s="119" t="inlineStr">
        <is>
          <t>8,00x</t>
        </is>
      </c>
      <c r="DH107" s="120" t="inlineStr">
        <is>
          <t>83</t>
        </is>
      </c>
      <c r="DI107" s="121" t="inlineStr">
        <is>
          <t/>
        </is>
      </c>
      <c r="DJ107" s="122" t="inlineStr">
        <is>
          <t/>
        </is>
      </c>
      <c r="DK107" s="123" t="inlineStr">
        <is>
          <t>1,17x</t>
        </is>
      </c>
      <c r="DL107" s="124" t="inlineStr">
        <is>
          <t>53</t>
        </is>
      </c>
      <c r="DM107" s="125" t="inlineStr">
        <is>
          <t>1.123</t>
        </is>
      </c>
      <c r="DN107" s="126" t="inlineStr">
        <is>
          <t>63</t>
        </is>
      </c>
      <c r="DO107" s="127" t="inlineStr">
        <is>
          <t>5,94%</t>
        </is>
      </c>
      <c r="DP107" s="128" t="inlineStr">
        <is>
          <t/>
        </is>
      </c>
      <c r="DQ107" s="129" t="inlineStr">
        <is>
          <t/>
        </is>
      </c>
      <c r="DR107" s="130" t="inlineStr">
        <is>
          <t/>
        </is>
      </c>
      <c r="DS107" s="131" t="inlineStr">
        <is>
          <t>288</t>
        </is>
      </c>
      <c r="DT107" s="132" t="inlineStr">
        <is>
          <t>-1</t>
        </is>
      </c>
      <c r="DU107" s="133" t="inlineStr">
        <is>
          <t>-0,35%</t>
        </is>
      </c>
      <c r="DV107" s="134" t="inlineStr">
        <is>
          <t>399</t>
        </is>
      </c>
      <c r="DW107" s="135" t="inlineStr">
        <is>
          <t>6</t>
        </is>
      </c>
      <c r="DX107" s="136" t="inlineStr">
        <is>
          <t>1,53%</t>
        </is>
      </c>
      <c r="DY107" s="137" t="inlineStr">
        <is>
          <t>PitchBook Research</t>
        </is>
      </c>
      <c r="DZ107" s="785">
        <f>HYPERLINK("https://my.pitchbook.com?c=118308-43", "View company online")</f>
      </c>
    </row>
    <row r="108">
      <c r="A108" s="139" t="inlineStr">
        <is>
          <t>163535-59</t>
        </is>
      </c>
      <c r="B108" s="140" t="inlineStr">
        <is>
          <t>Cityscoot</t>
        </is>
      </c>
      <c r="C108" s="141" t="inlineStr">
        <is>
          <t/>
        </is>
      </c>
      <c r="D108" s="142" t="inlineStr">
        <is>
          <t/>
        </is>
      </c>
      <c r="E108" s="143" t="inlineStr">
        <is>
          <t>163535-59</t>
        </is>
      </c>
      <c r="F108" s="144" t="inlineStr">
        <is>
          <t>Provider of electric scooter rental services in Paris. The company offers an on-demand rental system using a fleet of motorbikes that can be rented and secured through a four-digit code via the company's mobile application.</t>
        </is>
      </c>
      <c r="G108" s="145" t="inlineStr">
        <is>
          <t>Consumer Products and Services (B2C)</t>
        </is>
      </c>
      <c r="H108" s="146" t="inlineStr">
        <is>
          <t>Transportation</t>
        </is>
      </c>
      <c r="I108" s="147" t="inlineStr">
        <is>
          <t>Automotive</t>
        </is>
      </c>
      <c r="J108" s="148" t="inlineStr">
        <is>
          <t>Automotive*; Road; Social/Platform Software</t>
        </is>
      </c>
      <c r="K108" s="149" t="inlineStr">
        <is>
          <t>Mobile</t>
        </is>
      </c>
      <c r="L108" s="150" t="inlineStr">
        <is>
          <t>Venture Capital-Backed</t>
        </is>
      </c>
      <c r="M108" s="151" t="n">
        <v>15.0</v>
      </c>
      <c r="N108" s="152" t="inlineStr">
        <is>
          <t>Product Development</t>
        </is>
      </c>
      <c r="O108" s="153" t="inlineStr">
        <is>
          <t>Privately Held (backing)</t>
        </is>
      </c>
      <c r="P108" s="154" t="inlineStr">
        <is>
          <t>Venture Capital</t>
        </is>
      </c>
      <c r="Q108" s="155" t="inlineStr">
        <is>
          <t>www.cityscoot.eu</t>
        </is>
      </c>
      <c r="R108" s="156" t="inlineStr">
        <is>
          <t/>
        </is>
      </c>
      <c r="S108" s="157" t="inlineStr">
        <is>
          <t/>
        </is>
      </c>
      <c r="T108" s="158" t="inlineStr">
        <is>
          <t/>
        </is>
      </c>
      <c r="U108" s="159" t="n">
        <v>2014.0</v>
      </c>
      <c r="V108" s="160" t="inlineStr">
        <is>
          <t/>
        </is>
      </c>
      <c r="W108" s="161" t="inlineStr">
        <is>
          <t/>
        </is>
      </c>
      <c r="X108" s="162" t="inlineStr">
        <is>
          <t/>
        </is>
      </c>
      <c r="Y108" s="163" t="inlineStr">
        <is>
          <t/>
        </is>
      </c>
      <c r="Z108" s="164" t="inlineStr">
        <is>
          <t/>
        </is>
      </c>
      <c r="AA108" s="165" t="n">
        <v>-1.11166</v>
      </c>
      <c r="AB108" s="166" t="inlineStr">
        <is>
          <t/>
        </is>
      </c>
      <c r="AC108" s="167" t="n">
        <v>-0.90954</v>
      </c>
      <c r="AD108" s="168" t="inlineStr">
        <is>
          <t>FY 2015</t>
        </is>
      </c>
      <c r="AE108" s="169" t="inlineStr">
        <is>
          <t>148681-27P</t>
        </is>
      </c>
      <c r="AF108" s="170" t="inlineStr">
        <is>
          <t>Bertrand Fleurose</t>
        </is>
      </c>
      <c r="AG108" s="171" t="inlineStr">
        <is>
          <t>Founder &amp; Chief Executive Officer</t>
        </is>
      </c>
      <c r="AH108" s="172" t="inlineStr">
        <is>
          <t>b.fleurose@cityscoot.eu</t>
        </is>
      </c>
      <c r="AI108" s="173" t="inlineStr">
        <is>
          <t>+33 (0)1 58 05 05 05</t>
        </is>
      </c>
      <c r="AJ108" s="174" t="inlineStr">
        <is>
          <t>Paris, France</t>
        </is>
      </c>
      <c r="AK108" s="175" t="inlineStr">
        <is>
          <t>37, rue des Acacias</t>
        </is>
      </c>
      <c r="AL108" s="176" t="inlineStr">
        <is>
          <t/>
        </is>
      </c>
      <c r="AM108" s="177" t="inlineStr">
        <is>
          <t>Paris</t>
        </is>
      </c>
      <c r="AN108" s="178" t="inlineStr">
        <is>
          <t/>
        </is>
      </c>
      <c r="AO108" s="179" t="inlineStr">
        <is>
          <t>75017</t>
        </is>
      </c>
      <c r="AP108" s="180" t="inlineStr">
        <is>
          <t>France</t>
        </is>
      </c>
      <c r="AQ108" s="181" t="inlineStr">
        <is>
          <t>+33 (0)1 58 05 05 05</t>
        </is>
      </c>
      <c r="AR108" s="182" t="inlineStr">
        <is>
          <t/>
        </is>
      </c>
      <c r="AS108" s="183" t="inlineStr">
        <is>
          <t>contact@cityscoot.eu</t>
        </is>
      </c>
      <c r="AT108" s="184" t="inlineStr">
        <is>
          <t>Europe</t>
        </is>
      </c>
      <c r="AU108" s="185" t="inlineStr">
        <is>
          <t>Western Europe</t>
        </is>
      </c>
      <c r="AV108" s="186" t="inlineStr">
        <is>
          <t>The company received an undisclosed amount of venture funding from Caisse des Depots Group on October 24, 2016. Previously, the company raised $15 million of Series A venture funding from Société de Développement Professionnel Pierre Esnée and LeasePlan on July 1, 2016.</t>
        </is>
      </c>
      <c r="AW108" s="187" t="inlineStr">
        <is>
          <t>Caisse des Dépôts Group, LeasePlan, Société de Développement Professionnel Pierre Esnée</t>
        </is>
      </c>
      <c r="AX108" s="188" t="n">
        <v>3.0</v>
      </c>
      <c r="AY108" s="189" t="inlineStr">
        <is>
          <t/>
        </is>
      </c>
      <c r="AZ108" s="190" t="inlineStr">
        <is>
          <t/>
        </is>
      </c>
      <c r="BA108" s="191" t="inlineStr">
        <is>
          <t/>
        </is>
      </c>
      <c r="BB108" s="192" t="inlineStr">
        <is>
          <t>Caisse des Dépôts Group (www.caissedesdepots.fr), LeasePlan (www.leaseplan.com), Société de Développement Professionnel Pierre Esnée (www.sd2p.com)</t>
        </is>
      </c>
      <c r="BC108" s="193" t="inlineStr">
        <is>
          <t/>
        </is>
      </c>
      <c r="BD108" s="194" t="inlineStr">
        <is>
          <t/>
        </is>
      </c>
      <c r="BE108" s="195" t="inlineStr">
        <is>
          <t/>
        </is>
      </c>
      <c r="BF108" s="196" t="inlineStr">
        <is>
          <t>CMS Bureau Francis Lefebvre (Legal Advisor), Avolta Partners (Placement Agent)</t>
        </is>
      </c>
      <c r="BG108" s="197" t="n">
        <v>42552.0</v>
      </c>
      <c r="BH108" s="198" t="n">
        <v>15.0</v>
      </c>
      <c r="BI108" s="199" t="inlineStr">
        <is>
          <t>Actual</t>
        </is>
      </c>
      <c r="BJ108" s="200" t="inlineStr">
        <is>
          <t/>
        </is>
      </c>
      <c r="BK108" s="201" t="inlineStr">
        <is>
          <t/>
        </is>
      </c>
      <c r="BL108" s="202" t="inlineStr">
        <is>
          <t>Early Stage VC</t>
        </is>
      </c>
      <c r="BM108" s="203" t="inlineStr">
        <is>
          <t>Series A</t>
        </is>
      </c>
      <c r="BN108" s="204" t="inlineStr">
        <is>
          <t/>
        </is>
      </c>
      <c r="BO108" s="205" t="inlineStr">
        <is>
          <t>Venture Capital</t>
        </is>
      </c>
      <c r="BP108" s="206" t="inlineStr">
        <is>
          <t/>
        </is>
      </c>
      <c r="BQ108" s="207" t="inlineStr">
        <is>
          <t/>
        </is>
      </c>
      <c r="BR108" s="208" t="inlineStr">
        <is>
          <t/>
        </is>
      </c>
      <c r="BS108" s="209" t="inlineStr">
        <is>
          <t>Completed</t>
        </is>
      </c>
      <c r="BT108" s="210" t="n">
        <v>42667.0</v>
      </c>
      <c r="BU108" s="211" t="inlineStr">
        <is>
          <t/>
        </is>
      </c>
      <c r="BV108" s="212" t="inlineStr">
        <is>
          <t/>
        </is>
      </c>
      <c r="BW108" s="213" t="inlineStr">
        <is>
          <t/>
        </is>
      </c>
      <c r="BX108" s="214" t="inlineStr">
        <is>
          <t/>
        </is>
      </c>
      <c r="BY108" s="215" t="inlineStr">
        <is>
          <t>Early Stage VC</t>
        </is>
      </c>
      <c r="BZ108" s="216" t="inlineStr">
        <is>
          <t/>
        </is>
      </c>
      <c r="CA108" s="217" t="inlineStr">
        <is>
          <t/>
        </is>
      </c>
      <c r="CB108" s="218" t="inlineStr">
        <is>
          <t>Venture Capital</t>
        </is>
      </c>
      <c r="CC108" s="219" t="inlineStr">
        <is>
          <t/>
        </is>
      </c>
      <c r="CD108" s="220" t="inlineStr">
        <is>
          <t/>
        </is>
      </c>
      <c r="CE108" s="221" t="inlineStr">
        <is>
          <t/>
        </is>
      </c>
      <c r="CF108" s="222" t="inlineStr">
        <is>
          <t>Completed</t>
        </is>
      </c>
      <c r="CG108" s="223" t="inlineStr">
        <is>
          <t>-0,23%</t>
        </is>
      </c>
      <c r="CH108" s="224" t="inlineStr">
        <is>
          <t>12</t>
        </is>
      </c>
      <c r="CI108" s="225" t="inlineStr">
        <is>
          <t>-0,03%</t>
        </is>
      </c>
      <c r="CJ108" s="226" t="inlineStr">
        <is>
          <t>-15,13%</t>
        </is>
      </c>
      <c r="CK108" s="227" t="inlineStr">
        <is>
          <t>-1,31%</t>
        </is>
      </c>
      <c r="CL108" s="228" t="inlineStr">
        <is>
          <t>7</t>
        </is>
      </c>
      <c r="CM108" s="229" t="inlineStr">
        <is>
          <t>0,86%</t>
        </is>
      </c>
      <c r="CN108" s="230" t="inlineStr">
        <is>
          <t>95</t>
        </is>
      </c>
      <c r="CO108" s="231" t="inlineStr">
        <is>
          <t>-4,57%</t>
        </is>
      </c>
      <c r="CP108" s="232" t="inlineStr">
        <is>
          <t>8</t>
        </is>
      </c>
      <c r="CQ108" s="233" t="inlineStr">
        <is>
          <t>1,94%</t>
        </is>
      </c>
      <c r="CR108" s="234" t="inlineStr">
        <is>
          <t>91</t>
        </is>
      </c>
      <c r="CS108" s="235" t="inlineStr">
        <is>
          <t>0,16%</t>
        </is>
      </c>
      <c r="CT108" s="236" t="inlineStr">
        <is>
          <t>66</t>
        </is>
      </c>
      <c r="CU108" s="237" t="inlineStr">
        <is>
          <t>1,56%</t>
        </is>
      </c>
      <c r="CV108" s="238" t="inlineStr">
        <is>
          <t>99</t>
        </is>
      </c>
      <c r="CW108" s="239" t="inlineStr">
        <is>
          <t>14,66x</t>
        </is>
      </c>
      <c r="CX108" s="240" t="inlineStr">
        <is>
          <t>90</t>
        </is>
      </c>
      <c r="CY108" s="241" t="inlineStr">
        <is>
          <t>0,19x</t>
        </is>
      </c>
      <c r="CZ108" s="242" t="inlineStr">
        <is>
          <t>1,29%</t>
        </is>
      </c>
      <c r="DA108" s="243" t="inlineStr">
        <is>
          <t>18,57x</t>
        </is>
      </c>
      <c r="DB108" s="244" t="inlineStr">
        <is>
          <t>92</t>
        </is>
      </c>
      <c r="DC108" s="245" t="inlineStr">
        <is>
          <t>10,76x</t>
        </is>
      </c>
      <c r="DD108" s="246" t="inlineStr">
        <is>
          <t>85</t>
        </is>
      </c>
      <c r="DE108" s="247" t="inlineStr">
        <is>
          <t>27,49x</t>
        </is>
      </c>
      <c r="DF108" s="248" t="inlineStr">
        <is>
          <t>90</t>
        </is>
      </c>
      <c r="DG108" s="249" t="inlineStr">
        <is>
          <t>9,64x</t>
        </is>
      </c>
      <c r="DH108" s="250" t="inlineStr">
        <is>
          <t>86</t>
        </is>
      </c>
      <c r="DI108" s="251" t="inlineStr">
        <is>
          <t>17,06x</t>
        </is>
      </c>
      <c r="DJ108" s="252" t="inlineStr">
        <is>
          <t>87</t>
        </is>
      </c>
      <c r="DK108" s="253" t="inlineStr">
        <is>
          <t>4,47x</t>
        </is>
      </c>
      <c r="DL108" s="254" t="inlineStr">
        <is>
          <t>76</t>
        </is>
      </c>
      <c r="DM108" s="255" t="inlineStr">
        <is>
          <t>17.285</t>
        </is>
      </c>
      <c r="DN108" s="256" t="inlineStr">
        <is>
          <t>-1.131</t>
        </is>
      </c>
      <c r="DO108" s="257" t="inlineStr">
        <is>
          <t>-6,14%</t>
        </is>
      </c>
      <c r="DP108" s="258" t="inlineStr">
        <is>
          <t>13.621</t>
        </is>
      </c>
      <c r="DQ108" s="259" t="inlineStr">
        <is>
          <t>27</t>
        </is>
      </c>
      <c r="DR108" s="260" t="inlineStr">
        <is>
          <t>0,20%</t>
        </is>
      </c>
      <c r="DS108" s="261" t="inlineStr">
        <is>
          <t>348</t>
        </is>
      </c>
      <c r="DT108" s="262" t="inlineStr">
        <is>
          <t>3</t>
        </is>
      </c>
      <c r="DU108" s="263" t="inlineStr">
        <is>
          <t>0,87%</t>
        </is>
      </c>
      <c r="DV108" s="264" t="inlineStr">
        <is>
          <t>1.521</t>
        </is>
      </c>
      <c r="DW108" s="265" t="inlineStr">
        <is>
          <t>32</t>
        </is>
      </c>
      <c r="DX108" s="266" t="inlineStr">
        <is>
          <t>2,15%</t>
        </is>
      </c>
      <c r="DY108" s="267" t="inlineStr">
        <is>
          <t>PitchBook Research</t>
        </is>
      </c>
      <c r="DZ108" s="786">
        <f>HYPERLINK("https://my.pitchbook.com?c=163535-59", "View company online")</f>
      </c>
    </row>
    <row r="109">
      <c r="A109" s="9" t="inlineStr">
        <is>
          <t>173893-96</t>
        </is>
      </c>
      <c r="B109" s="10" t="inlineStr">
        <is>
          <t>Civiciti</t>
        </is>
      </c>
      <c r="C109" s="11" t="inlineStr">
        <is>
          <t>OpenSeneca</t>
        </is>
      </c>
      <c r="D109" s="12" t="inlineStr">
        <is>
          <t/>
        </is>
      </c>
      <c r="E109" s="13" t="inlineStr">
        <is>
          <t>173893-96</t>
        </is>
      </c>
      <c r="F109" s="14" t="inlineStr">
        <is>
          <t>Provider of an open online platform intended to create a connection between citizens and their elected representatives. The company's open online platform offers a secure channel through which citizens and their elected representatives can engage, debate and deliberate in order to to advance democratic participation, enabling citizens to provide consultation and drive public transparency.</t>
        </is>
      </c>
      <c r="G109" s="15" t="inlineStr">
        <is>
          <t>Business Products and Services (B2B)</t>
        </is>
      </c>
      <c r="H109" s="16" t="inlineStr">
        <is>
          <t>Commercial Services</t>
        </is>
      </c>
      <c r="I109" s="17" t="inlineStr">
        <is>
          <t>Media and Information Services (B2B)</t>
        </is>
      </c>
      <c r="J109" s="18" t="inlineStr">
        <is>
          <t>Media and Information Services (B2B)*; Application Software; Social/Platform Software</t>
        </is>
      </c>
      <c r="K109" s="19" t="inlineStr">
        <is>
          <t>Mobile, SaaS</t>
        </is>
      </c>
      <c r="L109" s="20" t="inlineStr">
        <is>
          <t>Venture Capital-Backed</t>
        </is>
      </c>
      <c r="M109" s="21" t="n">
        <v>35.0</v>
      </c>
      <c r="N109" s="22" t="inlineStr">
        <is>
          <t>Generating Revenue</t>
        </is>
      </c>
      <c r="O109" s="23" t="inlineStr">
        <is>
          <t>Privately Held (backing)</t>
        </is>
      </c>
      <c r="P109" s="24" t="inlineStr">
        <is>
          <t>Venture Capital</t>
        </is>
      </c>
      <c r="Q109" s="25" t="inlineStr">
        <is>
          <t>io.civiciti.com</t>
        </is>
      </c>
      <c r="R109" s="26" t="inlineStr">
        <is>
          <t/>
        </is>
      </c>
      <c r="S109" s="27" t="inlineStr">
        <is>
          <t/>
        </is>
      </c>
      <c r="T109" s="28" t="inlineStr">
        <is>
          <t/>
        </is>
      </c>
      <c r="U109" s="29" t="n">
        <v>2016.0</v>
      </c>
      <c r="V109" s="30" t="inlineStr">
        <is>
          <t/>
        </is>
      </c>
      <c r="W109" s="31" t="inlineStr">
        <is>
          <t/>
        </is>
      </c>
      <c r="X109" s="32" t="inlineStr">
        <is>
          <t/>
        </is>
      </c>
      <c r="Y109" s="33" t="inlineStr">
        <is>
          <t/>
        </is>
      </c>
      <c r="Z109" s="34" t="inlineStr">
        <is>
          <t/>
        </is>
      </c>
      <c r="AA109" s="35" t="inlineStr">
        <is>
          <t/>
        </is>
      </c>
      <c r="AB109" s="36" t="inlineStr">
        <is>
          <t/>
        </is>
      </c>
      <c r="AC109" s="37" t="inlineStr">
        <is>
          <t/>
        </is>
      </c>
      <c r="AD109" s="38" t="inlineStr">
        <is>
          <t/>
        </is>
      </c>
      <c r="AE109" s="39" t="inlineStr">
        <is>
          <t>162629-38P</t>
        </is>
      </c>
      <c r="AF109" s="40" t="inlineStr">
        <is>
          <t>Pablo Saris</t>
        </is>
      </c>
      <c r="AG109" s="41" t="inlineStr">
        <is>
          <t>Chief Executive Officer &amp; Founder</t>
        </is>
      </c>
      <c r="AH109" s="42" t="inlineStr">
        <is>
          <t>pablo.sarrias@civiciti.com</t>
        </is>
      </c>
      <c r="AI109" s="43" t="inlineStr">
        <is>
          <t/>
        </is>
      </c>
      <c r="AJ109" s="44" t="inlineStr">
        <is>
          <t>Barcelona, Spain</t>
        </is>
      </c>
      <c r="AK109" s="45" t="inlineStr">
        <is>
          <t>15 Beethoven Street</t>
        </is>
      </c>
      <c r="AL109" s="46" t="inlineStr">
        <is>
          <t/>
        </is>
      </c>
      <c r="AM109" s="47" t="inlineStr">
        <is>
          <t>Barcelona</t>
        </is>
      </c>
      <c r="AN109" s="48" t="inlineStr">
        <is>
          <t/>
        </is>
      </c>
      <c r="AO109" s="49" t="inlineStr">
        <is>
          <t>08021</t>
        </is>
      </c>
      <c r="AP109" s="50" t="inlineStr">
        <is>
          <t>Spain</t>
        </is>
      </c>
      <c r="AQ109" s="51" t="inlineStr">
        <is>
          <t/>
        </is>
      </c>
      <c r="AR109" s="52" t="inlineStr">
        <is>
          <t/>
        </is>
      </c>
      <c r="AS109" s="53" t="inlineStr">
        <is>
          <t>hello@civiciti.com</t>
        </is>
      </c>
      <c r="AT109" s="54" t="inlineStr">
        <is>
          <t>Europe</t>
        </is>
      </c>
      <c r="AU109" s="55" t="inlineStr">
        <is>
          <t>Southern Europe</t>
        </is>
      </c>
      <c r="AV109" s="56" t="inlineStr">
        <is>
          <t>The company raised EUR 35 million of venture funding from Scytl and Telefonica Open Future on February 24, 2016.</t>
        </is>
      </c>
      <c r="AW109" s="57" t="inlineStr">
        <is>
          <t>Scytl, Telefonica Open Future</t>
        </is>
      </c>
      <c r="AX109" s="58" t="n">
        <v>2.0</v>
      </c>
      <c r="AY109" s="59" t="inlineStr">
        <is>
          <t/>
        </is>
      </c>
      <c r="AZ109" s="60" t="inlineStr">
        <is>
          <t/>
        </is>
      </c>
      <c r="BA109" s="61" t="inlineStr">
        <is>
          <t/>
        </is>
      </c>
      <c r="BB109" s="62" t="inlineStr">
        <is>
          <t>Scytl (www.scytl.com), Telefonica Open Future (www.openfuture.org)</t>
        </is>
      </c>
      <c r="BC109" s="63" t="inlineStr">
        <is>
          <t/>
        </is>
      </c>
      <c r="BD109" s="64" t="inlineStr">
        <is>
          <t/>
        </is>
      </c>
      <c r="BE109" s="65" t="inlineStr">
        <is>
          <t/>
        </is>
      </c>
      <c r="BF109" s="66" t="inlineStr">
        <is>
          <t/>
        </is>
      </c>
      <c r="BG109" s="67" t="n">
        <v>42424.0</v>
      </c>
      <c r="BH109" s="68" t="n">
        <v>35.0</v>
      </c>
      <c r="BI109" s="69" t="inlineStr">
        <is>
          <t>Actual</t>
        </is>
      </c>
      <c r="BJ109" s="70" t="inlineStr">
        <is>
          <t/>
        </is>
      </c>
      <c r="BK109" s="71" t="inlineStr">
        <is>
          <t/>
        </is>
      </c>
      <c r="BL109" s="72" t="inlineStr">
        <is>
          <t>Early Stage VC</t>
        </is>
      </c>
      <c r="BM109" s="73" t="inlineStr">
        <is>
          <t/>
        </is>
      </c>
      <c r="BN109" s="74" t="inlineStr">
        <is>
          <t/>
        </is>
      </c>
      <c r="BO109" s="75" t="inlineStr">
        <is>
          <t>Venture Capital</t>
        </is>
      </c>
      <c r="BP109" s="76" t="inlineStr">
        <is>
          <t/>
        </is>
      </c>
      <c r="BQ109" s="77" t="inlineStr">
        <is>
          <t/>
        </is>
      </c>
      <c r="BR109" s="78" t="inlineStr">
        <is>
          <t/>
        </is>
      </c>
      <c r="BS109" s="79" t="inlineStr">
        <is>
          <t>Completed</t>
        </is>
      </c>
      <c r="BT109" s="80" t="n">
        <v>42424.0</v>
      </c>
      <c r="BU109" s="81" t="n">
        <v>35.0</v>
      </c>
      <c r="BV109" s="82" t="inlineStr">
        <is>
          <t>Actual</t>
        </is>
      </c>
      <c r="BW109" s="83" t="inlineStr">
        <is>
          <t/>
        </is>
      </c>
      <c r="BX109" s="84" t="inlineStr">
        <is>
          <t/>
        </is>
      </c>
      <c r="BY109" s="85" t="inlineStr">
        <is>
          <t>Early Stage VC</t>
        </is>
      </c>
      <c r="BZ109" s="86" t="inlineStr">
        <is>
          <t/>
        </is>
      </c>
      <c r="CA109" s="87" t="inlineStr">
        <is>
          <t/>
        </is>
      </c>
      <c r="CB109" s="88" t="inlineStr">
        <is>
          <t>Venture Capital</t>
        </is>
      </c>
      <c r="CC109" s="89" t="inlineStr">
        <is>
          <t/>
        </is>
      </c>
      <c r="CD109" s="90" t="inlineStr">
        <is>
          <t/>
        </is>
      </c>
      <c r="CE109" s="91" t="inlineStr">
        <is>
          <t/>
        </is>
      </c>
      <c r="CF109" s="92" t="inlineStr">
        <is>
          <t>Completed</t>
        </is>
      </c>
      <c r="CG109" s="93" t="inlineStr">
        <is>
          <t>0,26%</t>
        </is>
      </c>
      <c r="CH109" s="94" t="inlineStr">
        <is>
          <t>80</t>
        </is>
      </c>
      <c r="CI109" s="95" t="inlineStr">
        <is>
          <t>0,05%</t>
        </is>
      </c>
      <c r="CJ109" s="96" t="inlineStr">
        <is>
          <t>21,97%</t>
        </is>
      </c>
      <c r="CK109" s="97" t="inlineStr">
        <is>
          <t>0,00%</t>
        </is>
      </c>
      <c r="CL109" s="98" t="inlineStr">
        <is>
          <t>18</t>
        </is>
      </c>
      <c r="CM109" s="99" t="inlineStr">
        <is>
          <t>0,52%</t>
        </is>
      </c>
      <c r="CN109" s="100" t="inlineStr">
        <is>
          <t>90</t>
        </is>
      </c>
      <c r="CO109" s="101" t="inlineStr">
        <is>
          <t>0,00%</t>
        </is>
      </c>
      <c r="CP109" s="102" t="inlineStr">
        <is>
          <t>26</t>
        </is>
      </c>
      <c r="CQ109" s="103" t="inlineStr">
        <is>
          <t/>
        </is>
      </c>
      <c r="CR109" s="104" t="inlineStr">
        <is>
          <t/>
        </is>
      </c>
      <c r="CS109" s="105" t="inlineStr">
        <is>
          <t>0,00%</t>
        </is>
      </c>
      <c r="CT109" s="106" t="inlineStr">
        <is>
          <t>18</t>
        </is>
      </c>
      <c r="CU109" s="107" t="inlineStr">
        <is>
          <t>1,05%</t>
        </is>
      </c>
      <c r="CV109" s="108" t="inlineStr">
        <is>
          <t>97</t>
        </is>
      </c>
      <c r="CW109" s="109" t="inlineStr">
        <is>
          <t>0,43x</t>
        </is>
      </c>
      <c r="CX109" s="110" t="inlineStr">
        <is>
          <t>30</t>
        </is>
      </c>
      <c r="CY109" s="111" t="inlineStr">
        <is>
          <t>0,02x</t>
        </is>
      </c>
      <c r="CZ109" s="112" t="inlineStr">
        <is>
          <t>3,94%</t>
        </is>
      </c>
      <c r="DA109" s="113" t="inlineStr">
        <is>
          <t>0,23x</t>
        </is>
      </c>
      <c r="DB109" s="114" t="inlineStr">
        <is>
          <t>22</t>
        </is>
      </c>
      <c r="DC109" s="115" t="inlineStr">
        <is>
          <t>0,63x</t>
        </is>
      </c>
      <c r="DD109" s="116" t="inlineStr">
        <is>
          <t>40</t>
        </is>
      </c>
      <c r="DE109" s="117" t="inlineStr">
        <is>
          <t>0,23x</t>
        </is>
      </c>
      <c r="DF109" s="118" t="inlineStr">
        <is>
          <t>21</t>
        </is>
      </c>
      <c r="DG109" s="119" t="inlineStr">
        <is>
          <t/>
        </is>
      </c>
      <c r="DH109" s="120" t="inlineStr">
        <is>
          <t/>
        </is>
      </c>
      <c r="DI109" s="121" t="inlineStr">
        <is>
          <t>0,12x</t>
        </is>
      </c>
      <c r="DJ109" s="122" t="inlineStr">
        <is>
          <t>16</t>
        </is>
      </c>
      <c r="DK109" s="123" t="inlineStr">
        <is>
          <t>1,15x</t>
        </is>
      </c>
      <c r="DL109" s="124" t="inlineStr">
        <is>
          <t>53</t>
        </is>
      </c>
      <c r="DM109" s="125" t="inlineStr">
        <is>
          <t>142</t>
        </is>
      </c>
      <c r="DN109" s="126" t="inlineStr">
        <is>
          <t>-10</t>
        </is>
      </c>
      <c r="DO109" s="127" t="inlineStr">
        <is>
          <t>-6,58%</t>
        </is>
      </c>
      <c r="DP109" s="128" t="inlineStr">
        <is>
          <t>89</t>
        </is>
      </c>
      <c r="DQ109" s="129" t="inlineStr">
        <is>
          <t>12</t>
        </is>
      </c>
      <c r="DR109" s="130" t="inlineStr">
        <is>
          <t>15,58%</t>
        </is>
      </c>
      <c r="DS109" s="131" t="inlineStr">
        <is>
          <t/>
        </is>
      </c>
      <c r="DT109" s="132" t="inlineStr">
        <is>
          <t/>
        </is>
      </c>
      <c r="DU109" s="133" t="inlineStr">
        <is>
          <t/>
        </is>
      </c>
      <c r="DV109" s="134" t="inlineStr">
        <is>
          <t>389</t>
        </is>
      </c>
      <c r="DW109" s="135" t="inlineStr">
        <is>
          <t>10</t>
        </is>
      </c>
      <c r="DX109" s="136" t="inlineStr">
        <is>
          <t>2,64%</t>
        </is>
      </c>
      <c r="DY109" s="137" t="inlineStr">
        <is>
          <t>PitchBook Research</t>
        </is>
      </c>
      <c r="DZ109" s="785">
        <f>HYPERLINK("https://my.pitchbook.com?c=173893-96", "View company online")</f>
      </c>
    </row>
    <row r="110">
      <c r="A110" s="139" t="inlineStr">
        <is>
          <t>94275-55</t>
        </is>
      </c>
      <c r="B110" s="140" t="inlineStr">
        <is>
          <t>Claned</t>
        </is>
      </c>
      <c r="C110" s="141" t="inlineStr">
        <is>
          <t>TribaLearning</t>
        </is>
      </c>
      <c r="D110" s="142" t="inlineStr">
        <is>
          <t/>
        </is>
      </c>
      <c r="E110" s="143" t="inlineStr">
        <is>
          <t>94275-55</t>
        </is>
      </c>
      <c r="F110" s="144" t="inlineStr">
        <is>
          <t>Operator of an online educational platform. The company provides an e-learning platform that combines both educational data mining and learning analytics in Finland.</t>
        </is>
      </c>
      <c r="G110" s="145" t="inlineStr">
        <is>
          <t>Information Technology</t>
        </is>
      </c>
      <c r="H110" s="146" t="inlineStr">
        <is>
          <t>Software</t>
        </is>
      </c>
      <c r="I110" s="147" t="inlineStr">
        <is>
          <t>Educational Software</t>
        </is>
      </c>
      <c r="J110" s="148" t="inlineStr">
        <is>
          <t>Educational Software*</t>
        </is>
      </c>
      <c r="K110" s="149" t="inlineStr">
        <is>
          <t>EdTech</t>
        </is>
      </c>
      <c r="L110" s="150" t="inlineStr">
        <is>
          <t>Venture Capital-Backed</t>
        </is>
      </c>
      <c r="M110" s="151" t="n">
        <v>8.45</v>
      </c>
      <c r="N110" s="152" t="inlineStr">
        <is>
          <t>Stealth</t>
        </is>
      </c>
      <c r="O110" s="153" t="inlineStr">
        <is>
          <t>Privately Held (backing)</t>
        </is>
      </c>
      <c r="P110" s="154" t="inlineStr">
        <is>
          <t>Venture Capital</t>
        </is>
      </c>
      <c r="Q110" s="155" t="inlineStr">
        <is>
          <t>www.claned.com</t>
        </is>
      </c>
      <c r="R110" s="156" t="n">
        <v>15.0</v>
      </c>
      <c r="S110" s="157" t="inlineStr">
        <is>
          <t/>
        </is>
      </c>
      <c r="T110" s="158" t="inlineStr">
        <is>
          <t/>
        </is>
      </c>
      <c r="U110" s="159" t="n">
        <v>2013.0</v>
      </c>
      <c r="V110" s="160" t="inlineStr">
        <is>
          <t/>
        </is>
      </c>
      <c r="W110" s="161" t="inlineStr">
        <is>
          <t/>
        </is>
      </c>
      <c r="X110" s="162" t="inlineStr">
        <is>
          <t/>
        </is>
      </c>
      <c r="Y110" s="163" t="n">
        <v>2.20073</v>
      </c>
      <c r="Z110" s="164" t="inlineStr">
        <is>
          <t/>
        </is>
      </c>
      <c r="AA110" s="165" t="inlineStr">
        <is>
          <t/>
        </is>
      </c>
      <c r="AB110" s="166" t="inlineStr">
        <is>
          <t/>
        </is>
      </c>
      <c r="AC110" s="167" t="inlineStr">
        <is>
          <t/>
        </is>
      </c>
      <c r="AD110" s="168" t="inlineStr">
        <is>
          <t>FY 2016</t>
        </is>
      </c>
      <c r="AE110" s="169" t="inlineStr">
        <is>
          <t>91770-76P</t>
        </is>
      </c>
      <c r="AF110" s="170" t="inlineStr">
        <is>
          <t>Mervi Palander</t>
        </is>
      </c>
      <c r="AG110" s="171" t="inlineStr">
        <is>
          <t>Chief Executive Officer and Partner</t>
        </is>
      </c>
      <c r="AH110" s="172" t="inlineStr">
        <is>
          <t>mervi.palander@tribalearning.com</t>
        </is>
      </c>
      <c r="AI110" s="173" t="inlineStr">
        <is>
          <t>+358 (0)40 702 6998</t>
        </is>
      </c>
      <c r="AJ110" s="174" t="inlineStr">
        <is>
          <t>Helsinki, Finland</t>
        </is>
      </c>
      <c r="AK110" s="175" t="inlineStr">
        <is>
          <t>Hietalahdenranta 11 A 8</t>
        </is>
      </c>
      <c r="AL110" s="176" t="inlineStr">
        <is>
          <t/>
        </is>
      </c>
      <c r="AM110" s="177" t="inlineStr">
        <is>
          <t>Helsinki</t>
        </is>
      </c>
      <c r="AN110" s="178" t="inlineStr">
        <is>
          <t/>
        </is>
      </c>
      <c r="AO110" s="179" t="inlineStr">
        <is>
          <t>00180</t>
        </is>
      </c>
      <c r="AP110" s="180" t="inlineStr">
        <is>
          <t>Finland</t>
        </is>
      </c>
      <c r="AQ110" s="181" t="inlineStr">
        <is>
          <t>+358 (0)40 702 6998</t>
        </is>
      </c>
      <c r="AR110" s="182" t="inlineStr">
        <is>
          <t/>
        </is>
      </c>
      <c r="AS110" s="183" t="inlineStr">
        <is>
          <t>info@tribalearning.com</t>
        </is>
      </c>
      <c r="AT110" s="184" t="inlineStr">
        <is>
          <t>Europe</t>
        </is>
      </c>
      <c r="AU110" s="185" t="inlineStr">
        <is>
          <t>Northern Europe</t>
        </is>
      </c>
      <c r="AV110" s="186" t="inlineStr">
        <is>
          <t>The company raised EUR 750,000 of angel funding via crowdfunding platform Invesdor on May 30, 2016, putting the company's pre money valuation at EUR 12.94 million. Previously, the company raised EUR 1.3 million of seed funding from lead investor Cross Border Angels on May 18, 2016. Other undisclosed investors also participated.</t>
        </is>
      </c>
      <c r="AW110" s="187" t="inlineStr">
        <is>
          <t>Berit Virtanen-Thewlis, Cross Border Angels</t>
        </is>
      </c>
      <c r="AX110" s="188" t="n">
        <v>2.0</v>
      </c>
      <c r="AY110" s="189" t="inlineStr">
        <is>
          <t/>
        </is>
      </c>
      <c r="AZ110" s="190" t="inlineStr">
        <is>
          <t/>
        </is>
      </c>
      <c r="BA110" s="191" t="inlineStr">
        <is>
          <t/>
        </is>
      </c>
      <c r="BB110" s="192" t="inlineStr">
        <is>
          <t>Cross Border Angels (www.crossborderangels.com)</t>
        </is>
      </c>
      <c r="BC110" s="193" t="inlineStr">
        <is>
          <t/>
        </is>
      </c>
      <c r="BD110" s="194" t="inlineStr">
        <is>
          <t/>
        </is>
      </c>
      <c r="BE110" s="195" t="inlineStr">
        <is>
          <t/>
        </is>
      </c>
      <c r="BF110" s="196" t="inlineStr">
        <is>
          <t>Invesdor (Lead Manager or Arranger), Tofte &amp; Company (Advisor)</t>
        </is>
      </c>
      <c r="BG110" s="197" t="n">
        <v>41275.0</v>
      </c>
      <c r="BH110" s="198" t="n">
        <v>0.9</v>
      </c>
      <c r="BI110" s="199" t="inlineStr">
        <is>
          <t>Actual</t>
        </is>
      </c>
      <c r="BJ110" s="200" t="inlineStr">
        <is>
          <t/>
        </is>
      </c>
      <c r="BK110" s="201" t="inlineStr">
        <is>
          <t/>
        </is>
      </c>
      <c r="BL110" s="202" t="inlineStr">
        <is>
          <t>Grant</t>
        </is>
      </c>
      <c r="BM110" s="203" t="inlineStr">
        <is>
          <t/>
        </is>
      </c>
      <c r="BN110" s="204" t="inlineStr">
        <is>
          <t/>
        </is>
      </c>
      <c r="BO110" s="205" t="inlineStr">
        <is>
          <t>Other</t>
        </is>
      </c>
      <c r="BP110" s="206" t="inlineStr">
        <is>
          <t/>
        </is>
      </c>
      <c r="BQ110" s="207" t="inlineStr">
        <is>
          <t/>
        </is>
      </c>
      <c r="BR110" s="208" t="inlineStr">
        <is>
          <t/>
        </is>
      </c>
      <c r="BS110" s="209" t="inlineStr">
        <is>
          <t>Completed</t>
        </is>
      </c>
      <c r="BT110" s="210" t="n">
        <v>42520.0</v>
      </c>
      <c r="BU110" s="211" t="n">
        <v>0.75</v>
      </c>
      <c r="BV110" s="212" t="inlineStr">
        <is>
          <t>Estimated</t>
        </is>
      </c>
      <c r="BW110" s="213" t="n">
        <v>13.7</v>
      </c>
      <c r="BX110" s="214" t="inlineStr">
        <is>
          <t>Actual</t>
        </is>
      </c>
      <c r="BY110" s="215" t="inlineStr">
        <is>
          <t>Angel (individual)</t>
        </is>
      </c>
      <c r="BZ110" s="216" t="inlineStr">
        <is>
          <t>Angel</t>
        </is>
      </c>
      <c r="CA110" s="217" t="inlineStr">
        <is>
          <t/>
        </is>
      </c>
      <c r="CB110" s="218" t="inlineStr">
        <is>
          <t>Individual</t>
        </is>
      </c>
      <c r="CC110" s="219" t="inlineStr">
        <is>
          <t/>
        </is>
      </c>
      <c r="CD110" s="220" t="inlineStr">
        <is>
          <t/>
        </is>
      </c>
      <c r="CE110" s="221" t="inlineStr">
        <is>
          <t/>
        </is>
      </c>
      <c r="CF110" s="222" t="inlineStr">
        <is>
          <t>Completed</t>
        </is>
      </c>
      <c r="CG110" s="223" t="inlineStr">
        <is>
          <t>0,41%</t>
        </is>
      </c>
      <c r="CH110" s="224" t="inlineStr">
        <is>
          <t>83</t>
        </is>
      </c>
      <c r="CI110" s="225" t="inlineStr">
        <is>
          <t>0,01%</t>
        </is>
      </c>
      <c r="CJ110" s="226" t="inlineStr">
        <is>
          <t>3,52%</t>
        </is>
      </c>
      <c r="CK110" s="227" t="inlineStr">
        <is>
          <t>-0,03%</t>
        </is>
      </c>
      <c r="CL110" s="228" t="inlineStr">
        <is>
          <t>18</t>
        </is>
      </c>
      <c r="CM110" s="229" t="inlineStr">
        <is>
          <t>0,85%</t>
        </is>
      </c>
      <c r="CN110" s="230" t="inlineStr">
        <is>
          <t>95</t>
        </is>
      </c>
      <c r="CO110" s="231" t="inlineStr">
        <is>
          <t>-0,89%</t>
        </is>
      </c>
      <c r="CP110" s="232" t="inlineStr">
        <is>
          <t>21</t>
        </is>
      </c>
      <c r="CQ110" s="233" t="inlineStr">
        <is>
          <t>0,83%</t>
        </is>
      </c>
      <c r="CR110" s="234" t="inlineStr">
        <is>
          <t>88</t>
        </is>
      </c>
      <c r="CS110" s="235" t="inlineStr">
        <is>
          <t>0,65%</t>
        </is>
      </c>
      <c r="CT110" s="236" t="inlineStr">
        <is>
          <t>91</t>
        </is>
      </c>
      <c r="CU110" s="237" t="inlineStr">
        <is>
          <t>1,05%</t>
        </is>
      </c>
      <c r="CV110" s="238" t="inlineStr">
        <is>
          <t>97</t>
        </is>
      </c>
      <c r="CW110" s="239" t="inlineStr">
        <is>
          <t>3,13x</t>
        </is>
      </c>
      <c r="CX110" s="240" t="inlineStr">
        <is>
          <t>72</t>
        </is>
      </c>
      <c r="CY110" s="241" t="inlineStr">
        <is>
          <t>0,08x</t>
        </is>
      </c>
      <c r="CZ110" s="242" t="inlineStr">
        <is>
          <t>2,52%</t>
        </is>
      </c>
      <c r="DA110" s="243" t="inlineStr">
        <is>
          <t>2,25x</t>
        </is>
      </c>
      <c r="DB110" s="244" t="inlineStr">
        <is>
          <t>68</t>
        </is>
      </c>
      <c r="DC110" s="245" t="inlineStr">
        <is>
          <t>4,01x</t>
        </is>
      </c>
      <c r="DD110" s="246" t="inlineStr">
        <is>
          <t>73</t>
        </is>
      </c>
      <c r="DE110" s="247" t="inlineStr">
        <is>
          <t>1,45x</t>
        </is>
      </c>
      <c r="DF110" s="248" t="inlineStr">
        <is>
          <t>58</t>
        </is>
      </c>
      <c r="DG110" s="249" t="inlineStr">
        <is>
          <t>3,06x</t>
        </is>
      </c>
      <c r="DH110" s="250" t="inlineStr">
        <is>
          <t>72</t>
        </is>
      </c>
      <c r="DI110" s="251" t="inlineStr">
        <is>
          <t>5,14x</t>
        </is>
      </c>
      <c r="DJ110" s="252" t="inlineStr">
        <is>
          <t>75</t>
        </is>
      </c>
      <c r="DK110" s="253" t="inlineStr">
        <is>
          <t>2,89x</t>
        </is>
      </c>
      <c r="DL110" s="254" t="inlineStr">
        <is>
          <t>69</t>
        </is>
      </c>
      <c r="DM110" s="255" t="inlineStr">
        <is>
          <t>910</t>
        </is>
      </c>
      <c r="DN110" s="256" t="inlineStr">
        <is>
          <t>-56</t>
        </is>
      </c>
      <c r="DO110" s="257" t="inlineStr">
        <is>
          <t>-5,80%</t>
        </is>
      </c>
      <c r="DP110" s="258" t="inlineStr">
        <is>
          <t>4.097</t>
        </is>
      </c>
      <c r="DQ110" s="259" t="inlineStr">
        <is>
          <t>11</t>
        </is>
      </c>
      <c r="DR110" s="260" t="inlineStr">
        <is>
          <t>0,27%</t>
        </is>
      </c>
      <c r="DS110" s="261" t="inlineStr">
        <is>
          <t>110</t>
        </is>
      </c>
      <c r="DT110" s="262" t="inlineStr">
        <is>
          <t>1</t>
        </is>
      </c>
      <c r="DU110" s="263" t="inlineStr">
        <is>
          <t>0,92%</t>
        </is>
      </c>
      <c r="DV110" s="264" t="inlineStr">
        <is>
          <t>983</t>
        </is>
      </c>
      <c r="DW110" s="265" t="inlineStr">
        <is>
          <t>12</t>
        </is>
      </c>
      <c r="DX110" s="266" t="inlineStr">
        <is>
          <t>1,24%</t>
        </is>
      </c>
      <c r="DY110" s="267" t="inlineStr">
        <is>
          <t>PitchBook Research</t>
        </is>
      </c>
      <c r="DZ110" s="786">
        <f>HYPERLINK("https://my.pitchbook.com?c=94275-55", "View company online")</f>
      </c>
    </row>
    <row r="111">
      <c r="A111" s="9" t="inlineStr">
        <is>
          <t>115640-11</t>
        </is>
      </c>
      <c r="B111" s="10" t="inlineStr">
        <is>
          <t>Clark (Digital Insurance Platform)</t>
        </is>
      </c>
      <c r="C111" s="11" t="inlineStr">
        <is>
          <t/>
        </is>
      </c>
      <c r="D111" s="12" t="inlineStr">
        <is>
          <t/>
        </is>
      </c>
      <c r="E111" s="13" t="inlineStr">
        <is>
          <t>115640-11</t>
        </is>
      </c>
      <c r="F111" s="14" t="inlineStr">
        <is>
          <t>Developer of a digital insurance platform designed to make the complex world of insurance easy, comprehensible and transparent to users. The company's insurance platform allows users to assess their insurance status through an iOS and Android application or website as well as provides analysis on the customers' insurance situation and automatically proposes optimization opportunities by searching for tariffs from different insurance companies, enabling users to manage their insurance transparently and at low cost and save money.</t>
        </is>
      </c>
      <c r="G111" s="15" t="inlineStr">
        <is>
          <t>Information Technology</t>
        </is>
      </c>
      <c r="H111" s="16" t="inlineStr">
        <is>
          <t>Software</t>
        </is>
      </c>
      <c r="I111" s="17" t="inlineStr">
        <is>
          <t>Application Software</t>
        </is>
      </c>
      <c r="J111" s="18" t="inlineStr">
        <is>
          <t>Application Software*; Information Services (B2C); Other Insurance</t>
        </is>
      </c>
      <c r="K111" s="19" t="inlineStr">
        <is>
          <t>FinTech, Mobile</t>
        </is>
      </c>
      <c r="L111" s="20" t="inlineStr">
        <is>
          <t>Venture Capital-Backed</t>
        </is>
      </c>
      <c r="M111" s="21" t="n">
        <v>13.2</v>
      </c>
      <c r="N111" s="22" t="inlineStr">
        <is>
          <t>Generating Revenue</t>
        </is>
      </c>
      <c r="O111" s="23" t="inlineStr">
        <is>
          <t>Privately Held (backing)</t>
        </is>
      </c>
      <c r="P111" s="24" t="inlineStr">
        <is>
          <t>Venture Capital</t>
        </is>
      </c>
      <c r="Q111" s="25" t="inlineStr">
        <is>
          <t>www.clark.de</t>
        </is>
      </c>
      <c r="R111" s="26" t="n">
        <v>20.0</v>
      </c>
      <c r="S111" s="27" t="inlineStr">
        <is>
          <t/>
        </is>
      </c>
      <c r="T111" s="28" t="inlineStr">
        <is>
          <t/>
        </is>
      </c>
      <c r="U111" s="29" t="n">
        <v>2015.0</v>
      </c>
      <c r="V111" s="30" t="inlineStr">
        <is>
          <t/>
        </is>
      </c>
      <c r="W111" s="31" t="inlineStr">
        <is>
          <t/>
        </is>
      </c>
      <c r="X111" s="32" t="inlineStr">
        <is>
          <t/>
        </is>
      </c>
      <c r="Y111" s="33" t="inlineStr">
        <is>
          <t/>
        </is>
      </c>
      <c r="Z111" s="34" t="inlineStr">
        <is>
          <t/>
        </is>
      </c>
      <c r="AA111" s="35" t="inlineStr">
        <is>
          <t/>
        </is>
      </c>
      <c r="AB111" s="36" t="inlineStr">
        <is>
          <t/>
        </is>
      </c>
      <c r="AC111" s="37" t="inlineStr">
        <is>
          <t/>
        </is>
      </c>
      <c r="AD111" s="38" t="inlineStr">
        <is>
          <t/>
        </is>
      </c>
      <c r="AE111" s="39" t="inlineStr">
        <is>
          <t>104505-04P</t>
        </is>
      </c>
      <c r="AF111" s="40" t="inlineStr">
        <is>
          <t>Steffen Glomb</t>
        </is>
      </c>
      <c r="AG111" s="41" t="inlineStr">
        <is>
          <t>Co-Founder &amp; Chief Technology Officer</t>
        </is>
      </c>
      <c r="AH111" s="42" t="inlineStr">
        <is>
          <t>steffen.glomb@clark.de</t>
        </is>
      </c>
      <c r="AI111" s="43" t="inlineStr">
        <is>
          <t>+49 (0)69 1532 2933 9</t>
        </is>
      </c>
      <c r="AJ111" s="44" t="inlineStr">
        <is>
          <t>Frankfurt, Germany</t>
        </is>
      </c>
      <c r="AK111" s="45" t="inlineStr">
        <is>
          <t>Vilbeler Str. 29</t>
        </is>
      </c>
      <c r="AL111" s="46" t="inlineStr">
        <is>
          <t/>
        </is>
      </c>
      <c r="AM111" s="47" t="inlineStr">
        <is>
          <t>Frankfurt</t>
        </is>
      </c>
      <c r="AN111" s="48" t="inlineStr">
        <is>
          <t/>
        </is>
      </c>
      <c r="AO111" s="49" t="inlineStr">
        <is>
          <t>60313</t>
        </is>
      </c>
      <c r="AP111" s="50" t="inlineStr">
        <is>
          <t>Germany</t>
        </is>
      </c>
      <c r="AQ111" s="51" t="inlineStr">
        <is>
          <t>+49 (0)69 1532 2933 9</t>
        </is>
      </c>
      <c r="AR111" s="52" t="inlineStr">
        <is>
          <t/>
        </is>
      </c>
      <c r="AS111" s="53" t="inlineStr">
        <is>
          <t>service@clark.de</t>
        </is>
      </c>
      <c r="AT111" s="54" t="inlineStr">
        <is>
          <t>Europe</t>
        </is>
      </c>
      <c r="AU111" s="55" t="inlineStr">
        <is>
          <t>Western Europe</t>
        </is>
      </c>
      <c r="AV111" s="56" t="inlineStr">
        <is>
          <t>Target Global sold its stake in the company to an undisclosed investor for EUR 1 million on May 11, 2017. Previously, the company raised EUR 13.2 million of Series A venture funding from FinLeap, SevenVentures and Axel Springer on August 2, 2016.</t>
        </is>
      </c>
      <c r="AW111" s="57" t="inlineStr">
        <is>
          <t>Axel Springer, Coparion, FinLeap, German Media Pool, HitFox Group, Karl-Heinz Flother, Kulczyk Investments, Maria Pennanen, Portag3 Ventures, ProSiebenSat.1 Accelerator, SevenVentures, TA Ventures, Tenderloin Ventures, Thomas Noth, yabeo Capital</t>
        </is>
      </c>
      <c r="AX111" s="58" t="n">
        <v>15.0</v>
      </c>
      <c r="AY111" s="59" t="inlineStr">
        <is>
          <t/>
        </is>
      </c>
      <c r="AZ111" s="60" t="inlineStr">
        <is>
          <t>Target Global</t>
        </is>
      </c>
      <c r="BA111" s="61" t="inlineStr">
        <is>
          <t/>
        </is>
      </c>
      <c r="BB111" s="62" t="inlineStr">
        <is>
          <t>Axel Springer (www.axelspringer.de), Coparion (www.coparion.vc), FinLeap (www.finleap.com), German Media Pool (www.germanmediapool.com), HitFox Group (www.hitfoxgroup.com), Kulczyk Investments (www.kulczykinvestments.com), Portag3 Ventures (www.p3vc.com), ProSiebenSat.1 Accelerator (www.p7s1accelerator.com), SevenVentures (www.sevenventures.de), TA Ventures (www.taventures.vc), Tenderloin Ventures (tenderloin.ch), yabeo Capital (www.yabeo.de)</t>
        </is>
      </c>
      <c r="BC111" s="63" t="inlineStr">
        <is>
          <t>Target Global (www.targetglobal.vc)</t>
        </is>
      </c>
      <c r="BD111" s="64" t="inlineStr">
        <is>
          <t/>
        </is>
      </c>
      <c r="BE111" s="65" t="inlineStr">
        <is>
          <t/>
        </is>
      </c>
      <c r="BF111" s="66" t="inlineStr">
        <is>
          <t/>
        </is>
      </c>
      <c r="BG111" s="67" t="inlineStr">
        <is>
          <t/>
        </is>
      </c>
      <c r="BH111" s="68" t="inlineStr">
        <is>
          <t/>
        </is>
      </c>
      <c r="BI111" s="69" t="inlineStr">
        <is>
          <t/>
        </is>
      </c>
      <c r="BJ111" s="70" t="inlineStr">
        <is>
          <t/>
        </is>
      </c>
      <c r="BK111" s="71" t="inlineStr">
        <is>
          <t/>
        </is>
      </c>
      <c r="BL111" s="72" t="inlineStr">
        <is>
          <t>Early Stage VC</t>
        </is>
      </c>
      <c r="BM111" s="73" t="inlineStr">
        <is>
          <t/>
        </is>
      </c>
      <c r="BN111" s="74" t="inlineStr">
        <is>
          <t/>
        </is>
      </c>
      <c r="BO111" s="75" t="inlineStr">
        <is>
          <t>Venture Capital</t>
        </is>
      </c>
      <c r="BP111" s="76" t="inlineStr">
        <is>
          <t/>
        </is>
      </c>
      <c r="BQ111" s="77" t="inlineStr">
        <is>
          <t/>
        </is>
      </c>
      <c r="BR111" s="78" t="inlineStr">
        <is>
          <t/>
        </is>
      </c>
      <c r="BS111" s="79" t="inlineStr">
        <is>
          <t>Completed</t>
        </is>
      </c>
      <c r="BT111" s="80" t="n">
        <v>42866.0</v>
      </c>
      <c r="BU111" s="81" t="n">
        <v>1.0</v>
      </c>
      <c r="BV111" s="82" t="inlineStr">
        <is>
          <t>Estimated</t>
        </is>
      </c>
      <c r="BW111" s="83" t="inlineStr">
        <is>
          <t/>
        </is>
      </c>
      <c r="BX111" s="84" t="inlineStr">
        <is>
          <t/>
        </is>
      </c>
      <c r="BY111" s="85" t="inlineStr">
        <is>
          <t>Secondary Transaction - Private</t>
        </is>
      </c>
      <c r="BZ111" s="86" t="inlineStr">
        <is>
          <t/>
        </is>
      </c>
      <c r="CA111" s="87" t="inlineStr">
        <is>
          <t/>
        </is>
      </c>
      <c r="CB111" s="88" t="inlineStr">
        <is>
          <t>Venture Capital</t>
        </is>
      </c>
      <c r="CC111" s="89" t="inlineStr">
        <is>
          <t/>
        </is>
      </c>
      <c r="CD111" s="90" t="inlineStr">
        <is>
          <t/>
        </is>
      </c>
      <c r="CE111" s="91" t="inlineStr">
        <is>
          <t/>
        </is>
      </c>
      <c r="CF111" s="92" t="inlineStr">
        <is>
          <t>Completed</t>
        </is>
      </c>
      <c r="CG111" s="93" t="inlineStr">
        <is>
          <t>-1,07%</t>
        </is>
      </c>
      <c r="CH111" s="94" t="inlineStr">
        <is>
          <t>5</t>
        </is>
      </c>
      <c r="CI111" s="95" t="inlineStr">
        <is>
          <t>0,02%</t>
        </is>
      </c>
      <c r="CJ111" s="96" t="inlineStr">
        <is>
          <t>1,42%</t>
        </is>
      </c>
      <c r="CK111" s="97" t="inlineStr">
        <is>
          <t>-2,79%</t>
        </is>
      </c>
      <c r="CL111" s="98" t="inlineStr">
        <is>
          <t>3</t>
        </is>
      </c>
      <c r="CM111" s="99" t="inlineStr">
        <is>
          <t>0,65%</t>
        </is>
      </c>
      <c r="CN111" s="100" t="inlineStr">
        <is>
          <t>93</t>
        </is>
      </c>
      <c r="CO111" s="101" t="inlineStr">
        <is>
          <t>-5,49%</t>
        </is>
      </c>
      <c r="CP111" s="102" t="inlineStr">
        <is>
          <t>6</t>
        </is>
      </c>
      <c r="CQ111" s="103" t="inlineStr">
        <is>
          <t>-0,08%</t>
        </is>
      </c>
      <c r="CR111" s="104" t="inlineStr">
        <is>
          <t>12</t>
        </is>
      </c>
      <c r="CS111" s="105" t="inlineStr">
        <is>
          <t>0,54%</t>
        </is>
      </c>
      <c r="CT111" s="106" t="inlineStr">
        <is>
          <t>88</t>
        </is>
      </c>
      <c r="CU111" s="107" t="inlineStr">
        <is>
          <t>0,75%</t>
        </is>
      </c>
      <c r="CV111" s="108" t="inlineStr">
        <is>
          <t>95</t>
        </is>
      </c>
      <c r="CW111" s="109" t="inlineStr">
        <is>
          <t>9,47x</t>
        </is>
      </c>
      <c r="CX111" s="110" t="inlineStr">
        <is>
          <t>86</t>
        </is>
      </c>
      <c r="CY111" s="111" t="inlineStr">
        <is>
          <t>0,13x</t>
        </is>
      </c>
      <c r="CZ111" s="112" t="inlineStr">
        <is>
          <t>1,39%</t>
        </is>
      </c>
      <c r="DA111" s="113" t="inlineStr">
        <is>
          <t>14,77x</t>
        </is>
      </c>
      <c r="DB111" s="114" t="inlineStr">
        <is>
          <t>91</t>
        </is>
      </c>
      <c r="DC111" s="115" t="inlineStr">
        <is>
          <t>4,16x</t>
        </is>
      </c>
      <c r="DD111" s="116" t="inlineStr">
        <is>
          <t>73</t>
        </is>
      </c>
      <c r="DE111" s="117" t="inlineStr">
        <is>
          <t>21,84x</t>
        </is>
      </c>
      <c r="DF111" s="118" t="inlineStr">
        <is>
          <t>89</t>
        </is>
      </c>
      <c r="DG111" s="119" t="inlineStr">
        <is>
          <t>7,69x</t>
        </is>
      </c>
      <c r="DH111" s="120" t="inlineStr">
        <is>
          <t>83</t>
        </is>
      </c>
      <c r="DI111" s="121" t="inlineStr">
        <is>
          <t>4,34x</t>
        </is>
      </c>
      <c r="DJ111" s="122" t="inlineStr">
        <is>
          <t>73</t>
        </is>
      </c>
      <c r="DK111" s="123" t="inlineStr">
        <is>
          <t>3,99x</t>
        </is>
      </c>
      <c r="DL111" s="124" t="inlineStr">
        <is>
          <t>75</t>
        </is>
      </c>
      <c r="DM111" s="125" t="inlineStr">
        <is>
          <t>13.883</t>
        </is>
      </c>
      <c r="DN111" s="126" t="inlineStr">
        <is>
          <t>-1.350</t>
        </is>
      </c>
      <c r="DO111" s="127" t="inlineStr">
        <is>
          <t>-8,86%</t>
        </is>
      </c>
      <c r="DP111" s="128" t="inlineStr">
        <is>
          <t>3.462</t>
        </is>
      </c>
      <c r="DQ111" s="129" t="inlineStr">
        <is>
          <t>23</t>
        </is>
      </c>
      <c r="DR111" s="130" t="inlineStr">
        <is>
          <t>0,67%</t>
        </is>
      </c>
      <c r="DS111" s="131" t="inlineStr">
        <is>
          <t>276</t>
        </is>
      </c>
      <c r="DT111" s="132" t="inlineStr">
        <is>
          <t>2</t>
        </is>
      </c>
      <c r="DU111" s="133" t="inlineStr">
        <is>
          <t>0,73%</t>
        </is>
      </c>
      <c r="DV111" s="134" t="inlineStr">
        <is>
          <t>1.357</t>
        </is>
      </c>
      <c r="DW111" s="135" t="inlineStr">
        <is>
          <t>13</t>
        </is>
      </c>
      <c r="DX111" s="136" t="inlineStr">
        <is>
          <t>0,97%</t>
        </is>
      </c>
      <c r="DY111" s="137" t="inlineStr">
        <is>
          <t>PitchBook Research</t>
        </is>
      </c>
      <c r="DZ111" s="785">
        <f>HYPERLINK("https://my.pitchbook.com?c=115640-11", "View company online")</f>
      </c>
    </row>
    <row r="112">
      <c r="A112" s="139" t="inlineStr">
        <is>
          <t>121415-77</t>
        </is>
      </c>
      <c r="B112" s="140" t="inlineStr">
        <is>
          <t>ClearScore</t>
        </is>
      </c>
      <c r="C112" s="141" t="inlineStr">
        <is>
          <t/>
        </is>
      </c>
      <c r="D112" s="142" t="inlineStr">
        <is>
          <t/>
        </is>
      </c>
      <c r="E112" s="143" t="inlineStr">
        <is>
          <t>121415-77</t>
        </is>
      </c>
      <c r="F112" s="144" t="inlineStr">
        <is>
          <t>Provider of free access to credit scores and reports intended to help users achieve greater financial well being. The company's ClearScore application helps users to consolidate their personal debts and repay them via a low-interest, fixed rate loan enabling them to plan better for the future and make more informed and responsible decisions about how they manage their debt.</t>
        </is>
      </c>
      <c r="G112" s="145" t="inlineStr">
        <is>
          <t>Information Technology</t>
        </is>
      </c>
      <c r="H112" s="146" t="inlineStr">
        <is>
          <t>Software</t>
        </is>
      </c>
      <c r="I112" s="147" t="inlineStr">
        <is>
          <t>Financial Software</t>
        </is>
      </c>
      <c r="J112" s="148" t="inlineStr">
        <is>
          <t>Financial Software*; Other Consumer Products and Services</t>
        </is>
      </c>
      <c r="K112" s="149" t="inlineStr">
        <is>
          <t>FinTech, Mobile</t>
        </is>
      </c>
      <c r="L112" s="150" t="inlineStr">
        <is>
          <t>Venture Capital-Backed</t>
        </is>
      </c>
      <c r="M112" s="151" t="n">
        <v>14.13</v>
      </c>
      <c r="N112" s="152" t="inlineStr">
        <is>
          <t>Generating Revenue</t>
        </is>
      </c>
      <c r="O112" s="153" t="inlineStr">
        <is>
          <t>Privately Held (backing)</t>
        </is>
      </c>
      <c r="P112" s="154" t="inlineStr">
        <is>
          <t>Venture Capital</t>
        </is>
      </c>
      <c r="Q112" s="155" t="inlineStr">
        <is>
          <t>www.clearscore.com</t>
        </is>
      </c>
      <c r="R112" s="156" t="n">
        <v>20.0</v>
      </c>
      <c r="S112" s="157" t="inlineStr">
        <is>
          <t/>
        </is>
      </c>
      <c r="T112" s="158" t="inlineStr">
        <is>
          <t/>
        </is>
      </c>
      <c r="U112" s="159" t="n">
        <v>2014.0</v>
      </c>
      <c r="V112" s="160" t="inlineStr">
        <is>
          <t/>
        </is>
      </c>
      <c r="W112" s="161" t="inlineStr">
        <is>
          <t/>
        </is>
      </c>
      <c r="X112" s="162" t="inlineStr">
        <is>
          <t/>
        </is>
      </c>
      <c r="Y112" s="163" t="inlineStr">
        <is>
          <t/>
        </is>
      </c>
      <c r="Z112" s="164" t="inlineStr">
        <is>
          <t/>
        </is>
      </c>
      <c r="AA112" s="165" t="inlineStr">
        <is>
          <t/>
        </is>
      </c>
      <c r="AB112" s="166" t="inlineStr">
        <is>
          <t/>
        </is>
      </c>
      <c r="AC112" s="167" t="inlineStr">
        <is>
          <t/>
        </is>
      </c>
      <c r="AD112" s="168" t="inlineStr">
        <is>
          <t/>
        </is>
      </c>
      <c r="AE112" s="169" t="inlineStr">
        <is>
          <t>110788-39P</t>
        </is>
      </c>
      <c r="AF112" s="170" t="inlineStr">
        <is>
          <t>Justin Basini</t>
        </is>
      </c>
      <c r="AG112" s="171" t="inlineStr">
        <is>
          <t>Co-Founder, Board Member &amp; Chief Executive Officer</t>
        </is>
      </c>
      <c r="AH112" s="172" t="inlineStr">
        <is>
          <t>justin@clearscore.com</t>
        </is>
      </c>
      <c r="AI112" s="173" t="inlineStr">
        <is>
          <t/>
        </is>
      </c>
      <c r="AJ112" s="174" t="inlineStr">
        <is>
          <t>London, United Kingdom</t>
        </is>
      </c>
      <c r="AK112" s="175" t="inlineStr">
        <is>
          <t>47 Durham Street</t>
        </is>
      </c>
      <c r="AL112" s="176" t="inlineStr">
        <is>
          <t/>
        </is>
      </c>
      <c r="AM112" s="177" t="inlineStr">
        <is>
          <t>London</t>
        </is>
      </c>
      <c r="AN112" s="178" t="inlineStr">
        <is>
          <t>England</t>
        </is>
      </c>
      <c r="AO112" s="179" t="inlineStr">
        <is>
          <t>SE11 5JA</t>
        </is>
      </c>
      <c r="AP112" s="180" t="inlineStr">
        <is>
          <t>United Kingdom</t>
        </is>
      </c>
      <c r="AQ112" s="181" t="inlineStr">
        <is>
          <t/>
        </is>
      </c>
      <c r="AR112" s="182" t="inlineStr">
        <is>
          <t/>
        </is>
      </c>
      <c r="AS112" s="183" t="inlineStr">
        <is>
          <t>help@clearscore.com</t>
        </is>
      </c>
      <c r="AT112" s="184" t="inlineStr">
        <is>
          <t>Europe</t>
        </is>
      </c>
      <c r="AU112" s="185" t="inlineStr">
        <is>
          <t>Western Europe</t>
        </is>
      </c>
      <c r="AV112" s="186" t="inlineStr">
        <is>
          <t>The company raised an estimated GBP 10 million in venture funding from Brightbridge Ventures on July 16, 2015.</t>
        </is>
      </c>
      <c r="AW112" s="187" t="inlineStr">
        <is>
          <t>Blenheim Chalcot, Brightbridge Ventures, Lead Edge Capital, QED Investors</t>
        </is>
      </c>
      <c r="AX112" s="188" t="n">
        <v>4.0</v>
      </c>
      <c r="AY112" s="189" t="inlineStr">
        <is>
          <t/>
        </is>
      </c>
      <c r="AZ112" s="190" t="inlineStr">
        <is>
          <t/>
        </is>
      </c>
      <c r="BA112" s="191" t="inlineStr">
        <is>
          <t/>
        </is>
      </c>
      <c r="BB112" s="192" t="inlineStr">
        <is>
          <t>Blenheim Chalcot (www.blenheimchalcot.com), Brightbridge Ventures (www.brightbridgeventures.com), Lead Edge Capital (www.leadedgecapital.com), QED Investors (www.qedinvestors.com)</t>
        </is>
      </c>
      <c r="BC112" s="193" t="inlineStr">
        <is>
          <t/>
        </is>
      </c>
      <c r="BD112" s="194" t="inlineStr">
        <is>
          <t/>
        </is>
      </c>
      <c r="BE112" s="195" t="inlineStr">
        <is>
          <t>Future Fifty (Consulting)</t>
        </is>
      </c>
      <c r="BF112" s="196" t="inlineStr">
        <is>
          <t/>
        </is>
      </c>
      <c r="BG112" s="197" t="inlineStr">
        <is>
          <t/>
        </is>
      </c>
      <c r="BH112" s="198" t="inlineStr">
        <is>
          <t/>
        </is>
      </c>
      <c r="BI112" s="199" t="inlineStr">
        <is>
          <t/>
        </is>
      </c>
      <c r="BJ112" s="200" t="inlineStr">
        <is>
          <t/>
        </is>
      </c>
      <c r="BK112" s="201" t="inlineStr">
        <is>
          <t/>
        </is>
      </c>
      <c r="BL112" s="202" t="inlineStr">
        <is>
          <t>Early Stage VC</t>
        </is>
      </c>
      <c r="BM112" s="203" t="inlineStr">
        <is>
          <t/>
        </is>
      </c>
      <c r="BN112" s="204" t="inlineStr">
        <is>
          <t/>
        </is>
      </c>
      <c r="BO112" s="205" t="inlineStr">
        <is>
          <t>Venture Capital</t>
        </is>
      </c>
      <c r="BP112" s="206" t="inlineStr">
        <is>
          <t/>
        </is>
      </c>
      <c r="BQ112" s="207" t="inlineStr">
        <is>
          <t/>
        </is>
      </c>
      <c r="BR112" s="208" t="inlineStr">
        <is>
          <t/>
        </is>
      </c>
      <c r="BS112" s="209" t="inlineStr">
        <is>
          <t>Completed</t>
        </is>
      </c>
      <c r="BT112" s="210" t="n">
        <v>42201.0</v>
      </c>
      <c r="BU112" s="211" t="n">
        <v>14.13</v>
      </c>
      <c r="BV112" s="212" t="inlineStr">
        <is>
          <t>Actual</t>
        </is>
      </c>
      <c r="BW112" s="213" t="inlineStr">
        <is>
          <t/>
        </is>
      </c>
      <c r="BX112" s="214" t="inlineStr">
        <is>
          <t/>
        </is>
      </c>
      <c r="BY112" s="215" t="inlineStr">
        <is>
          <t>Early Stage VC</t>
        </is>
      </c>
      <c r="BZ112" s="216" t="inlineStr">
        <is>
          <t/>
        </is>
      </c>
      <c r="CA112" s="217" t="inlineStr">
        <is>
          <t/>
        </is>
      </c>
      <c r="CB112" s="218" t="inlineStr">
        <is>
          <t>Venture Capital</t>
        </is>
      </c>
      <c r="CC112" s="219" t="inlineStr">
        <is>
          <t/>
        </is>
      </c>
      <c r="CD112" s="220" t="inlineStr">
        <is>
          <t/>
        </is>
      </c>
      <c r="CE112" s="221" t="inlineStr">
        <is>
          <t/>
        </is>
      </c>
      <c r="CF112" s="222" t="inlineStr">
        <is>
          <t>Completed</t>
        </is>
      </c>
      <c r="CG112" s="223" t="inlineStr">
        <is>
          <t>1,06%</t>
        </is>
      </c>
      <c r="CH112" s="224" t="inlineStr">
        <is>
          <t>89</t>
        </is>
      </c>
      <c r="CI112" s="225" t="inlineStr">
        <is>
          <t>-0,11%</t>
        </is>
      </c>
      <c r="CJ112" s="226" t="inlineStr">
        <is>
          <t>-9,08%</t>
        </is>
      </c>
      <c r="CK112" s="227" t="inlineStr">
        <is>
          <t>1,11%</t>
        </is>
      </c>
      <c r="CL112" s="228" t="inlineStr">
        <is>
          <t>87</t>
        </is>
      </c>
      <c r="CM112" s="229" t="inlineStr">
        <is>
          <t>1,00%</t>
        </is>
      </c>
      <c r="CN112" s="230" t="inlineStr">
        <is>
          <t>96</t>
        </is>
      </c>
      <c r="CO112" s="231" t="inlineStr">
        <is>
          <t>1,64%</t>
        </is>
      </c>
      <c r="CP112" s="232" t="inlineStr">
        <is>
          <t>88</t>
        </is>
      </c>
      <c r="CQ112" s="233" t="inlineStr">
        <is>
          <t>0,58%</t>
        </is>
      </c>
      <c r="CR112" s="234" t="inlineStr">
        <is>
          <t>87</t>
        </is>
      </c>
      <c r="CS112" s="235" t="inlineStr">
        <is>
          <t>1,08%</t>
        </is>
      </c>
      <c r="CT112" s="236" t="inlineStr">
        <is>
          <t>95</t>
        </is>
      </c>
      <c r="CU112" s="237" t="inlineStr">
        <is>
          <t>0,93%</t>
        </is>
      </c>
      <c r="CV112" s="238" t="inlineStr">
        <is>
          <t>97</t>
        </is>
      </c>
      <c r="CW112" s="239" t="inlineStr">
        <is>
          <t>215,70x</t>
        </is>
      </c>
      <c r="CX112" s="240" t="inlineStr">
        <is>
          <t>99</t>
        </is>
      </c>
      <c r="CY112" s="241" t="inlineStr">
        <is>
          <t>0,15x</t>
        </is>
      </c>
      <c r="CZ112" s="242" t="inlineStr">
        <is>
          <t>0,07%</t>
        </is>
      </c>
      <c r="DA112" s="243" t="inlineStr">
        <is>
          <t>426,82x</t>
        </is>
      </c>
      <c r="DB112" s="244" t="inlineStr">
        <is>
          <t>100</t>
        </is>
      </c>
      <c r="DC112" s="245" t="inlineStr">
        <is>
          <t>4,59x</t>
        </is>
      </c>
      <c r="DD112" s="246" t="inlineStr">
        <is>
          <t>75</t>
        </is>
      </c>
      <c r="DE112" s="247" t="inlineStr">
        <is>
          <t>836,39x</t>
        </is>
      </c>
      <c r="DF112" s="248" t="inlineStr">
        <is>
          <t>99</t>
        </is>
      </c>
      <c r="DG112" s="249" t="inlineStr">
        <is>
          <t>17,25x</t>
        </is>
      </c>
      <c r="DH112" s="250" t="inlineStr">
        <is>
          <t>91</t>
        </is>
      </c>
      <c r="DI112" s="251" t="inlineStr">
        <is>
          <t>3,37x</t>
        </is>
      </c>
      <c r="DJ112" s="252" t="inlineStr">
        <is>
          <t>70</t>
        </is>
      </c>
      <c r="DK112" s="253" t="inlineStr">
        <is>
          <t>5,80x</t>
        </is>
      </c>
      <c r="DL112" s="254" t="inlineStr">
        <is>
          <t>80</t>
        </is>
      </c>
      <c r="DM112" s="255" t="inlineStr">
        <is>
          <t>512.550</t>
        </is>
      </c>
      <c r="DN112" s="256" t="inlineStr">
        <is>
          <t>5.487</t>
        </is>
      </c>
      <c r="DO112" s="257" t="inlineStr">
        <is>
          <t>1,08%</t>
        </is>
      </c>
      <c r="DP112" s="258" t="inlineStr">
        <is>
          <t>2.684</t>
        </is>
      </c>
      <c r="DQ112" s="259" t="inlineStr">
        <is>
          <t>11</t>
        </is>
      </c>
      <c r="DR112" s="260" t="inlineStr">
        <is>
          <t>0,41%</t>
        </is>
      </c>
      <c r="DS112" s="261" t="inlineStr">
        <is>
          <t>622</t>
        </is>
      </c>
      <c r="DT112" s="262" t="inlineStr">
        <is>
          <t>-3</t>
        </is>
      </c>
      <c r="DU112" s="263" t="inlineStr">
        <is>
          <t>-0,48%</t>
        </is>
      </c>
      <c r="DV112" s="264" t="inlineStr">
        <is>
          <t>1.984</t>
        </is>
      </c>
      <c r="DW112" s="265" t="inlineStr">
        <is>
          <t>7</t>
        </is>
      </c>
      <c r="DX112" s="266" t="inlineStr">
        <is>
          <t>0,35%</t>
        </is>
      </c>
      <c r="DY112" s="267" t="inlineStr">
        <is>
          <t>PitchBook Research</t>
        </is>
      </c>
      <c r="DZ112" s="786">
        <f>HYPERLINK("https://my.pitchbook.com?c=121415-77", "View company online")</f>
      </c>
    </row>
    <row r="113">
      <c r="A113" s="9" t="inlineStr">
        <is>
          <t>57825-91</t>
        </is>
      </c>
      <c r="B113" s="10" t="inlineStr">
        <is>
          <t>Clue</t>
        </is>
      </c>
      <c r="C113" s="11" t="inlineStr">
        <is>
          <t/>
        </is>
      </c>
      <c r="D113" s="12" t="inlineStr">
        <is>
          <t/>
        </is>
      </c>
      <c r="E113" s="13" t="inlineStr">
        <is>
          <t>57825-91</t>
        </is>
      </c>
      <c r="F113" s="14" t="inlineStr">
        <is>
          <t>Developer of a mobile application for tracking female health. The company enables women users to track their monthly cycle by entering data on various segments.</t>
        </is>
      </c>
      <c r="G113" s="15" t="inlineStr">
        <is>
          <t>Information Technology</t>
        </is>
      </c>
      <c r="H113" s="16" t="inlineStr">
        <is>
          <t>Software</t>
        </is>
      </c>
      <c r="I113" s="17" t="inlineStr">
        <is>
          <t>Application Software</t>
        </is>
      </c>
      <c r="J113" s="18" t="inlineStr">
        <is>
          <t>Application Software*; Information Services (B2C)</t>
        </is>
      </c>
      <c r="K113" s="19" t="inlineStr">
        <is>
          <t>Mobile</t>
        </is>
      </c>
      <c r="L113" s="20" t="inlineStr">
        <is>
          <t>Venture Capital-Backed</t>
        </is>
      </c>
      <c r="M113" s="21" t="n">
        <v>27.59</v>
      </c>
      <c r="N113" s="22" t="inlineStr">
        <is>
          <t>Generating Revenue</t>
        </is>
      </c>
      <c r="O113" s="23" t="inlineStr">
        <is>
          <t>Privately Held (backing)</t>
        </is>
      </c>
      <c r="P113" s="24" t="inlineStr">
        <is>
          <t>Venture Capital</t>
        </is>
      </c>
      <c r="Q113" s="25" t="inlineStr">
        <is>
          <t>www.helloclue.com</t>
        </is>
      </c>
      <c r="R113" s="26" t="n">
        <v>17.0</v>
      </c>
      <c r="S113" s="27" t="inlineStr">
        <is>
          <t/>
        </is>
      </c>
      <c r="T113" s="28" t="inlineStr">
        <is>
          <t/>
        </is>
      </c>
      <c r="U113" s="29" t="n">
        <v>2013.0</v>
      </c>
      <c r="V113" s="30" t="inlineStr">
        <is>
          <t/>
        </is>
      </c>
      <c r="W113" s="31" t="inlineStr">
        <is>
          <t/>
        </is>
      </c>
      <c r="X113" s="32" t="inlineStr">
        <is>
          <t/>
        </is>
      </c>
      <c r="Y113" s="33" t="inlineStr">
        <is>
          <t/>
        </is>
      </c>
      <c r="Z113" s="34" t="inlineStr">
        <is>
          <t/>
        </is>
      </c>
      <c r="AA113" s="35" t="inlineStr">
        <is>
          <t/>
        </is>
      </c>
      <c r="AB113" s="36" t="inlineStr">
        <is>
          <t/>
        </is>
      </c>
      <c r="AC113" s="37" t="inlineStr">
        <is>
          <t/>
        </is>
      </c>
      <c r="AD113" s="38" t="inlineStr">
        <is>
          <t/>
        </is>
      </c>
      <c r="AE113" s="39" t="inlineStr">
        <is>
          <t>51342-58P</t>
        </is>
      </c>
      <c r="AF113" s="40" t="inlineStr">
        <is>
          <t>Ida Tin</t>
        </is>
      </c>
      <c r="AG113" s="41" t="inlineStr">
        <is>
          <t>Chief Executive Officer, Managing Directors &amp; Co-Founder</t>
        </is>
      </c>
      <c r="AH113" s="42" t="inlineStr">
        <is>
          <t>ida@helloclue.com</t>
        </is>
      </c>
      <c r="AI113" s="43" t="inlineStr">
        <is>
          <t>+49 (0)17 8133 5585</t>
        </is>
      </c>
      <c r="AJ113" s="44" t="inlineStr">
        <is>
          <t>Berlin, Germany</t>
        </is>
      </c>
      <c r="AK113" s="45" t="inlineStr">
        <is>
          <t>Adalbertstraße 7-8</t>
        </is>
      </c>
      <c r="AL113" s="46" t="inlineStr">
        <is>
          <t/>
        </is>
      </c>
      <c r="AM113" s="47" t="inlineStr">
        <is>
          <t>Berlin</t>
        </is>
      </c>
      <c r="AN113" s="48" t="inlineStr">
        <is>
          <t/>
        </is>
      </c>
      <c r="AO113" s="49" t="inlineStr">
        <is>
          <t>10999</t>
        </is>
      </c>
      <c r="AP113" s="50" t="inlineStr">
        <is>
          <t>Germany</t>
        </is>
      </c>
      <c r="AQ113" s="51" t="inlineStr">
        <is>
          <t>+49 (0)17 8133 5585</t>
        </is>
      </c>
      <c r="AR113" s="52" t="inlineStr">
        <is>
          <t/>
        </is>
      </c>
      <c r="AS113" s="53" t="inlineStr">
        <is>
          <t>hello@helloclue.com</t>
        </is>
      </c>
      <c r="AT113" s="54" t="inlineStr">
        <is>
          <t>Europe</t>
        </is>
      </c>
      <c r="AU113" s="55" t="inlineStr">
        <is>
          <t>Western Europe</t>
        </is>
      </c>
      <c r="AV113" s="56" t="inlineStr">
        <is>
          <t>The company raised $20 million of Series B venture funding in a deal led by Nokia Growth Partners on November 30, 2016. Union Square Ventures, Draper Esprit, Mosaic Ventures, Brigitte Mohn and Christophe Maire, Giving Wings and Fabrice Grinda also participated in this round. The funding will be used by the company to further develop the application, expand its Berlin team and to boost its presence in Europe and markets like the US.</t>
        </is>
      </c>
      <c r="AW113" s="57" t="inlineStr">
        <is>
          <t>Andreas Ehn, Arndt Kwiatkowski, Atlantic Labs, Brigitte Mohn, Christophe Maire, Dr. Kade Pharmazeutische Fabrik, Draper Esprit, Eric Wahlforss, Fabrice Grinda, Giving Wings, Groupe Arnault, Hampus Jakobsson, Hoxton Ventures, Joanne Wilson, Luminary Labs, Marianne Voigt, Mosaic Ventures, Niko Waesche, Nokia Growth Partners, Sriram Krishnan, Thomas Madsen-Mygdal, Tigerlabs Health, Union Square Ventures</t>
        </is>
      </c>
      <c r="AX113" s="58" t="n">
        <v>23.0</v>
      </c>
      <c r="AY113" s="59" t="inlineStr">
        <is>
          <t/>
        </is>
      </c>
      <c r="AZ113" s="60" t="inlineStr">
        <is>
          <t/>
        </is>
      </c>
      <c r="BA113" s="61" t="inlineStr">
        <is>
          <t/>
        </is>
      </c>
      <c r="BB113" s="62" t="inlineStr">
        <is>
          <t>Atlantic Labs (www.atlanticlabs.de), Dr. Kade Pharmazeutische Fabrik (www.kade.de), Draper Esprit (www.draperesprit.com), Eric Wahlforss (eric.wahlforss.com), Fabrice Grinda (www.fabricegrinda.com), Hoxton Ventures (www.hoxtonventures.com), Joanne Wilson (www.gothamgal.com), Luminary Labs (www.luminary-labs.com), Mosaic Ventures (www.mosaicventures.com), Niko Waesche (www.cafelido.com), Nokia Growth Partners (www.nokiagrowthpartners.com), Tigerlabs Health (www.tigerlabs.co), Union Square Ventures (www.usv.com)</t>
        </is>
      </c>
      <c r="BC113" s="63" t="inlineStr">
        <is>
          <t/>
        </is>
      </c>
      <c r="BD113" s="64" t="inlineStr">
        <is>
          <t/>
        </is>
      </c>
      <c r="BE113" s="65" t="inlineStr">
        <is>
          <t/>
        </is>
      </c>
      <c r="BF113" s="66" t="inlineStr">
        <is>
          <t/>
        </is>
      </c>
      <c r="BG113" s="67" t="n">
        <v>41462.0</v>
      </c>
      <c r="BH113" s="68" t="inlineStr">
        <is>
          <t/>
        </is>
      </c>
      <c r="BI113" s="69" t="inlineStr">
        <is>
          <t/>
        </is>
      </c>
      <c r="BJ113" s="70" t="inlineStr">
        <is>
          <t/>
        </is>
      </c>
      <c r="BK113" s="71" t="inlineStr">
        <is>
          <t/>
        </is>
      </c>
      <c r="BL113" s="72" t="inlineStr">
        <is>
          <t>Seed Round</t>
        </is>
      </c>
      <c r="BM113" s="73" t="inlineStr">
        <is>
          <t>Seed</t>
        </is>
      </c>
      <c r="BN113" s="74" t="inlineStr">
        <is>
          <t/>
        </is>
      </c>
      <c r="BO113" s="75" t="inlineStr">
        <is>
          <t>Venture Capital</t>
        </is>
      </c>
      <c r="BP113" s="76" t="inlineStr">
        <is>
          <t/>
        </is>
      </c>
      <c r="BQ113" s="77" t="inlineStr">
        <is>
          <t/>
        </is>
      </c>
      <c r="BR113" s="78" t="inlineStr">
        <is>
          <t/>
        </is>
      </c>
      <c r="BS113" s="79" t="inlineStr">
        <is>
          <t>Completed</t>
        </is>
      </c>
      <c r="BT113" s="80" t="n">
        <v>42704.0</v>
      </c>
      <c r="BU113" s="81" t="n">
        <v>18.51</v>
      </c>
      <c r="BV113" s="82" t="inlineStr">
        <is>
          <t>Actual</t>
        </is>
      </c>
      <c r="BW113" s="83" t="inlineStr">
        <is>
          <t/>
        </is>
      </c>
      <c r="BX113" s="84" t="inlineStr">
        <is>
          <t/>
        </is>
      </c>
      <c r="BY113" s="85" t="inlineStr">
        <is>
          <t>Early Stage VC</t>
        </is>
      </c>
      <c r="BZ113" s="86" t="inlineStr">
        <is>
          <t>Series B</t>
        </is>
      </c>
      <c r="CA113" s="87" t="inlineStr">
        <is>
          <t/>
        </is>
      </c>
      <c r="CB113" s="88" t="inlineStr">
        <is>
          <t>Venture Capital</t>
        </is>
      </c>
      <c r="CC113" s="89" t="inlineStr">
        <is>
          <t/>
        </is>
      </c>
      <c r="CD113" s="90" t="inlineStr">
        <is>
          <t/>
        </is>
      </c>
      <c r="CE113" s="91" t="inlineStr">
        <is>
          <t/>
        </is>
      </c>
      <c r="CF113" s="92" t="inlineStr">
        <is>
          <t>Completed</t>
        </is>
      </c>
      <c r="CG113" s="93" t="inlineStr">
        <is>
          <t>1,27%</t>
        </is>
      </c>
      <c r="CH113" s="94" t="inlineStr">
        <is>
          <t>90</t>
        </is>
      </c>
      <c r="CI113" s="95" t="inlineStr">
        <is>
          <t>-0,11%</t>
        </is>
      </c>
      <c r="CJ113" s="96" t="inlineStr">
        <is>
          <t>-7,84%</t>
        </is>
      </c>
      <c r="CK113" s="97" t="inlineStr">
        <is>
          <t>0,37%</t>
        </is>
      </c>
      <c r="CL113" s="98" t="inlineStr">
        <is>
          <t>83</t>
        </is>
      </c>
      <c r="CM113" s="99" t="inlineStr">
        <is>
          <t>0,87%</t>
        </is>
      </c>
      <c r="CN113" s="100" t="inlineStr">
        <is>
          <t>95</t>
        </is>
      </c>
      <c r="CO113" s="101" t="inlineStr">
        <is>
          <t>-0,11%</t>
        </is>
      </c>
      <c r="CP113" s="102" t="inlineStr">
        <is>
          <t>25</t>
        </is>
      </c>
      <c r="CQ113" s="103" t="inlineStr">
        <is>
          <t>0,85%</t>
        </is>
      </c>
      <c r="CR113" s="104" t="inlineStr">
        <is>
          <t>88</t>
        </is>
      </c>
      <c r="CS113" s="105" t="inlineStr">
        <is>
          <t>1,38%</t>
        </is>
      </c>
      <c r="CT113" s="106" t="inlineStr">
        <is>
          <t>96</t>
        </is>
      </c>
      <c r="CU113" s="107" t="inlineStr">
        <is>
          <t>0,36%</t>
        </is>
      </c>
      <c r="CV113" s="108" t="inlineStr">
        <is>
          <t>87</t>
        </is>
      </c>
      <c r="CW113" s="109" t="inlineStr">
        <is>
          <t>154,34x</t>
        </is>
      </c>
      <c r="CX113" s="110" t="inlineStr">
        <is>
          <t>98</t>
        </is>
      </c>
      <c r="CY113" s="111" t="inlineStr">
        <is>
          <t>2,48x</t>
        </is>
      </c>
      <c r="CZ113" s="112" t="inlineStr">
        <is>
          <t>1,63%</t>
        </is>
      </c>
      <c r="DA113" s="113" t="inlineStr">
        <is>
          <t>52,24x</t>
        </is>
      </c>
      <c r="DB113" s="114" t="inlineStr">
        <is>
          <t>96</t>
        </is>
      </c>
      <c r="DC113" s="115" t="inlineStr">
        <is>
          <t>22,82x</t>
        </is>
      </c>
      <c r="DD113" s="116" t="inlineStr">
        <is>
          <t>91</t>
        </is>
      </c>
      <c r="DE113" s="117" t="inlineStr">
        <is>
          <t>59,59x</t>
        </is>
      </c>
      <c r="DF113" s="118" t="inlineStr">
        <is>
          <t>94</t>
        </is>
      </c>
      <c r="DG113" s="119" t="inlineStr">
        <is>
          <t>44,89x</t>
        </is>
      </c>
      <c r="DH113" s="120" t="inlineStr">
        <is>
          <t>97</t>
        </is>
      </c>
      <c r="DI113" s="121" t="inlineStr">
        <is>
          <t>45,22x</t>
        </is>
      </c>
      <c r="DJ113" s="122" t="inlineStr">
        <is>
          <t>92</t>
        </is>
      </c>
      <c r="DK113" s="123" t="inlineStr">
        <is>
          <t>0,41x</t>
        </is>
      </c>
      <c r="DL113" s="124" t="inlineStr">
        <is>
          <t>35</t>
        </is>
      </c>
      <c r="DM113" s="125" t="inlineStr">
        <is>
          <t>36.568</t>
        </is>
      </c>
      <c r="DN113" s="126" t="inlineStr">
        <is>
          <t>232</t>
        </is>
      </c>
      <c r="DO113" s="127" t="inlineStr">
        <is>
          <t>0,64%</t>
        </is>
      </c>
      <c r="DP113" s="128" t="inlineStr">
        <is>
          <t>35.784</t>
        </is>
      </c>
      <c r="DQ113" s="129" t="inlineStr">
        <is>
          <t>720</t>
        </is>
      </c>
      <c r="DR113" s="130" t="inlineStr">
        <is>
          <t>2,05%</t>
        </is>
      </c>
      <c r="DS113" s="131" t="inlineStr">
        <is>
          <t>1.617</t>
        </is>
      </c>
      <c r="DT113" s="132" t="inlineStr">
        <is>
          <t>-1</t>
        </is>
      </c>
      <c r="DU113" s="133" t="inlineStr">
        <is>
          <t>-0,06%</t>
        </is>
      </c>
      <c r="DV113" s="134" t="inlineStr">
        <is>
          <t>142</t>
        </is>
      </c>
      <c r="DW113" s="135" t="inlineStr">
        <is>
          <t>1</t>
        </is>
      </c>
      <c r="DX113" s="136" t="inlineStr">
        <is>
          <t>0,71%</t>
        </is>
      </c>
      <c r="DY113" s="137" t="inlineStr">
        <is>
          <t>PitchBook Research</t>
        </is>
      </c>
      <c r="DZ113" s="785">
        <f>HYPERLINK("https://my.pitchbook.com?c=57825-91", "View company online")</f>
      </c>
    </row>
    <row r="114">
      <c r="A114" s="139" t="inlineStr">
        <is>
          <t>98677-90</t>
        </is>
      </c>
      <c r="B114" s="140" t="inlineStr">
        <is>
          <t>Clustree</t>
        </is>
      </c>
      <c r="C114" s="141" t="inlineStr">
        <is>
          <t/>
        </is>
      </c>
      <c r="D114" s="142" t="inlineStr">
        <is>
          <t/>
        </is>
      </c>
      <c r="E114" s="143" t="inlineStr">
        <is>
          <t>98677-90</t>
        </is>
      </c>
      <c r="F114" s="144" t="inlineStr">
        <is>
          <t>Developer of human resource management software designed to turn data into evidence-based recommendations. The company's human resource management software, Clustree, provides services like talent management, data management and internal mobility strategies by using big data analysis and job sourcing, enabling companies to make better human capital decisions through machine learning.</t>
        </is>
      </c>
      <c r="G114" s="145" t="inlineStr">
        <is>
          <t>Business Products and Services (B2B)</t>
        </is>
      </c>
      <c r="H114" s="146" t="inlineStr">
        <is>
          <t>Commercial Services</t>
        </is>
      </c>
      <c r="I114" s="147" t="inlineStr">
        <is>
          <t>Human Capital Services</t>
        </is>
      </c>
      <c r="J114" s="148" t="inlineStr">
        <is>
          <t>Human Capital Services*; Database Software</t>
        </is>
      </c>
      <c r="K114" s="149" t="inlineStr">
        <is>
          <t>Artificial Intelligence &amp; Machine Learning, Big Data</t>
        </is>
      </c>
      <c r="L114" s="150" t="inlineStr">
        <is>
          <t>Venture Capital-Backed</t>
        </is>
      </c>
      <c r="M114" s="151" t="n">
        <v>10.18</v>
      </c>
      <c r="N114" s="152" t="inlineStr">
        <is>
          <t>Generating Revenue</t>
        </is>
      </c>
      <c r="O114" s="153" t="inlineStr">
        <is>
          <t>Privately Held (backing)</t>
        </is>
      </c>
      <c r="P114" s="154" t="inlineStr">
        <is>
          <t>Venture Capital</t>
        </is>
      </c>
      <c r="Q114" s="155" t="inlineStr">
        <is>
          <t>www.clustree.com</t>
        </is>
      </c>
      <c r="R114" s="156" t="n">
        <v>12.0</v>
      </c>
      <c r="S114" s="157" t="inlineStr">
        <is>
          <t/>
        </is>
      </c>
      <c r="T114" s="158" t="inlineStr">
        <is>
          <t/>
        </is>
      </c>
      <c r="U114" s="159" t="n">
        <v>2013.0</v>
      </c>
      <c r="V114" s="160" t="inlineStr">
        <is>
          <t/>
        </is>
      </c>
      <c r="W114" s="161" t="inlineStr">
        <is>
          <t/>
        </is>
      </c>
      <c r="X114" s="162" t="inlineStr">
        <is>
          <t/>
        </is>
      </c>
      <c r="Y114" s="163" t="inlineStr">
        <is>
          <t/>
        </is>
      </c>
      <c r="Z114" s="164" t="inlineStr">
        <is>
          <t/>
        </is>
      </c>
      <c r="AA114" s="165" t="inlineStr">
        <is>
          <t/>
        </is>
      </c>
      <c r="AB114" s="166" t="inlineStr">
        <is>
          <t/>
        </is>
      </c>
      <c r="AC114" s="167" t="inlineStr">
        <is>
          <t/>
        </is>
      </c>
      <c r="AD114" s="168" t="inlineStr">
        <is>
          <t/>
        </is>
      </c>
      <c r="AE114" s="169" t="inlineStr">
        <is>
          <t>82538-65P</t>
        </is>
      </c>
      <c r="AF114" s="170" t="inlineStr">
        <is>
          <t>Bénédicte De Raphélis Soissan</t>
        </is>
      </c>
      <c r="AG114" s="171" t="inlineStr">
        <is>
          <t>Founder, Board Member &amp; Chief Executive Officer</t>
        </is>
      </c>
      <c r="AH114" s="172" t="inlineStr">
        <is>
          <t>raphelis@clustree.com</t>
        </is>
      </c>
      <c r="AI114" s="173" t="inlineStr">
        <is>
          <t>+33 (0)9 72 41 09 54</t>
        </is>
      </c>
      <c r="AJ114" s="174" t="inlineStr">
        <is>
          <t>Paris, France</t>
        </is>
      </c>
      <c r="AK114" s="175" t="inlineStr">
        <is>
          <t>10 rue de la Victoire</t>
        </is>
      </c>
      <c r="AL114" s="176" t="inlineStr">
        <is>
          <t/>
        </is>
      </c>
      <c r="AM114" s="177" t="inlineStr">
        <is>
          <t>Paris</t>
        </is>
      </c>
      <c r="AN114" s="178" t="inlineStr">
        <is>
          <t/>
        </is>
      </c>
      <c r="AO114" s="179" t="inlineStr">
        <is>
          <t>75009</t>
        </is>
      </c>
      <c r="AP114" s="180" t="inlineStr">
        <is>
          <t>France</t>
        </is>
      </c>
      <c r="AQ114" s="181" t="inlineStr">
        <is>
          <t>+33 (0)9 72 41 09 54</t>
        </is>
      </c>
      <c r="AR114" s="182" t="inlineStr">
        <is>
          <t/>
        </is>
      </c>
      <c r="AS114" s="183" t="inlineStr">
        <is>
          <t>contact@clustree.com</t>
        </is>
      </c>
      <c r="AT114" s="184" t="inlineStr">
        <is>
          <t>Europe</t>
        </is>
      </c>
      <c r="AU114" s="185" t="inlineStr">
        <is>
          <t>Western Europe</t>
        </is>
      </c>
      <c r="AV114" s="186" t="inlineStr">
        <is>
          <t>The company raised EUR 7 million of Series A venture funding in a round led by Creandum on June 6, 2017. Idinvest Partners and Alven Capital Partners also participated in this round. The funding will allow the company to develop its sales, marketing, engineering and product teams, consolidate its market position in France and prepare for international expansion.</t>
        </is>
      </c>
      <c r="AW114" s="187" t="inlineStr">
        <is>
          <t>Alven Capital Partners, Creandum, Florian Douetteau, Frederic Montagnon, IdInvest Partners, Jean-David Blanc, Xavier Niel</t>
        </is>
      </c>
      <c r="AX114" s="188" t="n">
        <v>7.0</v>
      </c>
      <c r="AY114" s="189" t="inlineStr">
        <is>
          <t/>
        </is>
      </c>
      <c r="AZ114" s="190" t="inlineStr">
        <is>
          <t/>
        </is>
      </c>
      <c r="BA114" s="191" t="inlineStr">
        <is>
          <t/>
        </is>
      </c>
      <c r="BB114" s="192" t="inlineStr">
        <is>
          <t>Alven Capital Partners (www.alven.co), Creandum (www.creandum.com), Frederic Montagnon (fred.overblog.com), IdInvest Partners (www.idinvest.com)</t>
        </is>
      </c>
      <c r="BC114" s="193" t="inlineStr">
        <is>
          <t/>
        </is>
      </c>
      <c r="BD114" s="194" t="inlineStr">
        <is>
          <t/>
        </is>
      </c>
      <c r="BE114" s="195" t="inlineStr">
        <is>
          <t>Orrick Herrington &amp; Sutcliffe (Legal Advisor)</t>
        </is>
      </c>
      <c r="BF114" s="196" t="inlineStr">
        <is>
          <t>Jones Day (Legal Advisor)</t>
        </is>
      </c>
      <c r="BG114" s="197" t="n">
        <v>41927.0</v>
      </c>
      <c r="BH114" s="198" t="n">
        <v>0.6</v>
      </c>
      <c r="BI114" s="199" t="inlineStr">
        <is>
          <t>Actual</t>
        </is>
      </c>
      <c r="BJ114" s="200" t="inlineStr">
        <is>
          <t/>
        </is>
      </c>
      <c r="BK114" s="201" t="inlineStr">
        <is>
          <t/>
        </is>
      </c>
      <c r="BL114" s="202" t="inlineStr">
        <is>
          <t>Early Stage VC</t>
        </is>
      </c>
      <c r="BM114" s="203" t="inlineStr">
        <is>
          <t/>
        </is>
      </c>
      <c r="BN114" s="204" t="inlineStr">
        <is>
          <t/>
        </is>
      </c>
      <c r="BO114" s="205" t="inlineStr">
        <is>
          <t>Venture Capital</t>
        </is>
      </c>
      <c r="BP114" s="206" t="inlineStr">
        <is>
          <t/>
        </is>
      </c>
      <c r="BQ114" s="207" t="inlineStr">
        <is>
          <t/>
        </is>
      </c>
      <c r="BR114" s="208" t="inlineStr">
        <is>
          <t/>
        </is>
      </c>
      <c r="BS114" s="209" t="inlineStr">
        <is>
          <t>Completed</t>
        </is>
      </c>
      <c r="BT114" s="210" t="n">
        <v>42892.0</v>
      </c>
      <c r="BU114" s="211" t="n">
        <v>7.0</v>
      </c>
      <c r="BV114" s="212" t="inlineStr">
        <is>
          <t>Actual</t>
        </is>
      </c>
      <c r="BW114" s="213" t="inlineStr">
        <is>
          <t/>
        </is>
      </c>
      <c r="BX114" s="214" t="inlineStr">
        <is>
          <t/>
        </is>
      </c>
      <c r="BY114" s="215" t="inlineStr">
        <is>
          <t>Early Stage VC</t>
        </is>
      </c>
      <c r="BZ114" s="216" t="inlineStr">
        <is>
          <t>Series A</t>
        </is>
      </c>
      <c r="CA114" s="217" t="inlineStr">
        <is>
          <t/>
        </is>
      </c>
      <c r="CB114" s="218" t="inlineStr">
        <is>
          <t>Venture Capital</t>
        </is>
      </c>
      <c r="CC114" s="219" t="inlineStr">
        <is>
          <t/>
        </is>
      </c>
      <c r="CD114" s="220" t="inlineStr">
        <is>
          <t/>
        </is>
      </c>
      <c r="CE114" s="221" t="inlineStr">
        <is>
          <t/>
        </is>
      </c>
      <c r="CF114" s="222" t="inlineStr">
        <is>
          <t>Completed</t>
        </is>
      </c>
      <c r="CG114" s="223" t="inlineStr">
        <is>
          <t>-13,52%</t>
        </is>
      </c>
      <c r="CH114" s="224" t="inlineStr">
        <is>
          <t>1</t>
        </is>
      </c>
      <c r="CI114" s="225" t="inlineStr">
        <is>
          <t>0,00%</t>
        </is>
      </c>
      <c r="CJ114" s="226" t="inlineStr">
        <is>
          <t>0,02%</t>
        </is>
      </c>
      <c r="CK114" s="227" t="inlineStr">
        <is>
          <t>-27,35%</t>
        </is>
      </c>
      <c r="CL114" s="228" t="inlineStr">
        <is>
          <t>1</t>
        </is>
      </c>
      <c r="CM114" s="229" t="inlineStr">
        <is>
          <t>0,31%</t>
        </is>
      </c>
      <c r="CN114" s="230" t="inlineStr">
        <is>
          <t>82</t>
        </is>
      </c>
      <c r="CO114" s="231" t="inlineStr">
        <is>
          <t>-27,35%</t>
        </is>
      </c>
      <c r="CP114" s="232" t="inlineStr">
        <is>
          <t>1</t>
        </is>
      </c>
      <c r="CQ114" s="233" t="inlineStr">
        <is>
          <t/>
        </is>
      </c>
      <c r="CR114" s="234" t="inlineStr">
        <is>
          <t/>
        </is>
      </c>
      <c r="CS114" s="235" t="inlineStr">
        <is>
          <t>0,33%</t>
        </is>
      </c>
      <c r="CT114" s="236" t="inlineStr">
        <is>
          <t>80</t>
        </is>
      </c>
      <c r="CU114" s="237" t="inlineStr">
        <is>
          <t>0,29%</t>
        </is>
      </c>
      <c r="CV114" s="238" t="inlineStr">
        <is>
          <t>84</t>
        </is>
      </c>
      <c r="CW114" s="239" t="inlineStr">
        <is>
          <t>2,65x</t>
        </is>
      </c>
      <c r="CX114" s="240" t="inlineStr">
        <is>
          <t>69</t>
        </is>
      </c>
      <c r="CY114" s="241" t="inlineStr">
        <is>
          <t>0,04x</t>
        </is>
      </c>
      <c r="CZ114" s="242" t="inlineStr">
        <is>
          <t>1,55%</t>
        </is>
      </c>
      <c r="DA114" s="243" t="inlineStr">
        <is>
          <t>1,72x</t>
        </is>
      </c>
      <c r="DB114" s="244" t="inlineStr">
        <is>
          <t>63</t>
        </is>
      </c>
      <c r="DC114" s="245" t="inlineStr">
        <is>
          <t>3,59x</t>
        </is>
      </c>
      <c r="DD114" s="246" t="inlineStr">
        <is>
          <t>71</t>
        </is>
      </c>
      <c r="DE114" s="247" t="inlineStr">
        <is>
          <t>1,72x</t>
        </is>
      </c>
      <c r="DF114" s="248" t="inlineStr">
        <is>
          <t>61</t>
        </is>
      </c>
      <c r="DG114" s="249" t="inlineStr">
        <is>
          <t/>
        </is>
      </c>
      <c r="DH114" s="250" t="inlineStr">
        <is>
          <t/>
        </is>
      </c>
      <c r="DI114" s="251" t="inlineStr">
        <is>
          <t>1,49x</t>
        </is>
      </c>
      <c r="DJ114" s="252" t="inlineStr">
        <is>
          <t>57</t>
        </is>
      </c>
      <c r="DK114" s="253" t="inlineStr">
        <is>
          <t>5,68x</t>
        </is>
      </c>
      <c r="DL114" s="254" t="inlineStr">
        <is>
          <t>80</t>
        </is>
      </c>
      <c r="DM114" s="255" t="inlineStr">
        <is>
          <t>1.231</t>
        </is>
      </c>
      <c r="DN114" s="256" t="inlineStr">
        <is>
          <t>-522</t>
        </is>
      </c>
      <c r="DO114" s="257" t="inlineStr">
        <is>
          <t>-29,78%</t>
        </is>
      </c>
      <c r="DP114" s="258" t="inlineStr">
        <is>
          <t>1.187</t>
        </is>
      </c>
      <c r="DQ114" s="259" t="inlineStr">
        <is>
          <t>4</t>
        </is>
      </c>
      <c r="DR114" s="260" t="inlineStr">
        <is>
          <t>0,34%</t>
        </is>
      </c>
      <c r="DS114" s="261" t="inlineStr">
        <is>
          <t/>
        </is>
      </c>
      <c r="DT114" s="262" t="inlineStr">
        <is>
          <t/>
        </is>
      </c>
      <c r="DU114" s="263" t="inlineStr">
        <is>
          <t/>
        </is>
      </c>
      <c r="DV114" s="264" t="inlineStr">
        <is>
          <t>1.947</t>
        </is>
      </c>
      <c r="DW114" s="265" t="inlineStr">
        <is>
          <t>8</t>
        </is>
      </c>
      <c r="DX114" s="266" t="inlineStr">
        <is>
          <t>0,41%</t>
        </is>
      </c>
      <c r="DY114" s="267" t="inlineStr">
        <is>
          <t>PitchBook Research</t>
        </is>
      </c>
      <c r="DZ114" s="786">
        <f>HYPERLINK("https://my.pitchbook.com?c=98677-90", "View company online")</f>
      </c>
    </row>
    <row r="115">
      <c r="A115" s="9" t="inlineStr">
        <is>
          <t>111766-96</t>
        </is>
      </c>
      <c r="B115" s="10" t="inlineStr">
        <is>
          <t>COBI</t>
        </is>
      </c>
      <c r="C115" s="11" t="inlineStr">
        <is>
          <t/>
        </is>
      </c>
      <c r="D115" s="12" t="inlineStr">
        <is>
          <t>Connected Biking</t>
        </is>
      </c>
      <c r="E115" s="13" t="inlineStr">
        <is>
          <t>111766-96</t>
        </is>
      </c>
      <c r="F115" s="14" t="inlineStr">
        <is>
          <t>Provider of a smart connected biking system designed to turn any bike into a smart bike. The company's smart connected biking system revolutionize the overall cycling experience by connecting smartphones to the bike, enabling users to avail more safety, convenience and fun on any trail or bike path.</t>
        </is>
      </c>
      <c r="G115" s="15" t="inlineStr">
        <is>
          <t>Consumer Products and Services (B2C)</t>
        </is>
      </c>
      <c r="H115" s="16" t="inlineStr">
        <is>
          <t>Consumer Durables</t>
        </is>
      </c>
      <c r="I115" s="17" t="inlineStr">
        <is>
          <t>Electronics (B2C)</t>
        </is>
      </c>
      <c r="J115" s="18" t="inlineStr">
        <is>
          <t>Electronics (B2C)*; Application Software</t>
        </is>
      </c>
      <c r="K115" s="19" t="inlineStr">
        <is>
          <t>Internet of Things, Mobile, SaaS, Wearables &amp; Quantified Self</t>
        </is>
      </c>
      <c r="L115" s="20" t="inlineStr">
        <is>
          <t>Venture Capital-Backed</t>
        </is>
      </c>
      <c r="M115" s="21" t="n">
        <v>10.01</v>
      </c>
      <c r="N115" s="22" t="inlineStr">
        <is>
          <t>Generating Revenue</t>
        </is>
      </c>
      <c r="O115" s="23" t="inlineStr">
        <is>
          <t>Privately Held (backing)</t>
        </is>
      </c>
      <c r="P115" s="24" t="inlineStr">
        <is>
          <t>Venture Capital</t>
        </is>
      </c>
      <c r="Q115" s="25" t="inlineStr">
        <is>
          <t>www.cobi.bike</t>
        </is>
      </c>
      <c r="R115" s="26" t="n">
        <v>50.0</v>
      </c>
      <c r="S115" s="27" t="inlineStr">
        <is>
          <t/>
        </is>
      </c>
      <c r="T115" s="28" t="inlineStr">
        <is>
          <t/>
        </is>
      </c>
      <c r="U115" s="29" t="n">
        <v>2014.0</v>
      </c>
      <c r="V115" s="30" t="inlineStr">
        <is>
          <t/>
        </is>
      </c>
      <c r="W115" s="31" t="inlineStr">
        <is>
          <t/>
        </is>
      </c>
      <c r="X115" s="32" t="inlineStr">
        <is>
          <t/>
        </is>
      </c>
      <c r="Y115" s="33" t="inlineStr">
        <is>
          <t/>
        </is>
      </c>
      <c r="Z115" s="34" t="inlineStr">
        <is>
          <t/>
        </is>
      </c>
      <c r="AA115" s="35" t="inlineStr">
        <is>
          <t/>
        </is>
      </c>
      <c r="AB115" s="36" t="inlineStr">
        <is>
          <t/>
        </is>
      </c>
      <c r="AC115" s="37" t="inlineStr">
        <is>
          <t/>
        </is>
      </c>
      <c r="AD115" s="38" t="inlineStr">
        <is>
          <t/>
        </is>
      </c>
      <c r="AE115" s="39" t="inlineStr">
        <is>
          <t>98206-30P</t>
        </is>
      </c>
      <c r="AF115" s="40" t="inlineStr">
        <is>
          <t>Andreas Gahlert</t>
        </is>
      </c>
      <c r="AG115" s="41" t="inlineStr">
        <is>
          <t>Co-Founder &amp; Chief Executive Officer</t>
        </is>
      </c>
      <c r="AH115" s="42" t="inlineStr">
        <is>
          <t>andreas.gahlert@cobi.bike</t>
        </is>
      </c>
      <c r="AI115" s="43" t="inlineStr">
        <is>
          <t/>
        </is>
      </c>
      <c r="AJ115" s="44" t="inlineStr">
        <is>
          <t>Frankfurt, Germany</t>
        </is>
      </c>
      <c r="AK115" s="45" t="inlineStr">
        <is>
          <t>Solmsstraße 4</t>
        </is>
      </c>
      <c r="AL115" s="46" t="inlineStr">
        <is>
          <t/>
        </is>
      </c>
      <c r="AM115" s="47" t="inlineStr">
        <is>
          <t>Frankfurt</t>
        </is>
      </c>
      <c r="AN115" s="48" t="inlineStr">
        <is>
          <t/>
        </is>
      </c>
      <c r="AO115" s="49" t="inlineStr">
        <is>
          <t>60486</t>
        </is>
      </c>
      <c r="AP115" s="50" t="inlineStr">
        <is>
          <t>Germany</t>
        </is>
      </c>
      <c r="AQ115" s="51" t="inlineStr">
        <is>
          <t/>
        </is>
      </c>
      <c r="AR115" s="52" t="inlineStr">
        <is>
          <t/>
        </is>
      </c>
      <c r="AS115" s="53" t="inlineStr">
        <is>
          <t/>
        </is>
      </c>
      <c r="AT115" s="54" t="inlineStr">
        <is>
          <t>Europe</t>
        </is>
      </c>
      <c r="AU115" s="55" t="inlineStr">
        <is>
          <t>Western Europe</t>
        </is>
      </c>
      <c r="AV115" s="56" t="inlineStr">
        <is>
          <t>The company raised EUR 6.3 million of venture funding from Munich Venture Partners, Creathor Venture and Meinders &amp; Elstermann - International Print &amp; Mediaservices on January 25, 2016. Capnamic Ventures also participated in the round. The company will use the funding for international expansion and development of new products. Previously, the company raised $4 million of seed funding from Creathor Venture, Iris Capital Management and Capnamic Ventures on April 15, 2015. Julien-David Nitlech and other undisclosed investors also participated in the round.</t>
        </is>
      </c>
      <c r="AW115" s="57" t="inlineStr">
        <is>
          <t>Capnamic Ventures, Creathor Venture, Iris Capital Management, Julien-David Nitlech, Meinders &amp; Elstermann - International Print &amp; Mediaservices, Munich Venture Partners</t>
        </is>
      </c>
      <c r="AX115" s="58" t="n">
        <v>6.0</v>
      </c>
      <c r="AY115" s="59" t="inlineStr">
        <is>
          <t/>
        </is>
      </c>
      <c r="AZ115" s="60" t="inlineStr">
        <is>
          <t/>
        </is>
      </c>
      <c r="BA115" s="61" t="inlineStr">
        <is>
          <t/>
        </is>
      </c>
      <c r="BB115" s="62" t="inlineStr">
        <is>
          <t>Capnamic Ventures (www.capnamic.com), Creathor Venture (www.creathor.com), Iris Capital Management (www.iriscapital.com), Meinders &amp; Elstermann - International Print &amp; Mediaservices (www.me-druckhaus.de), Munich Venture Partners (www.munichvp.com)</t>
        </is>
      </c>
      <c r="BC115" s="63" t="inlineStr">
        <is>
          <t/>
        </is>
      </c>
      <c r="BD115" s="64" t="inlineStr">
        <is>
          <t/>
        </is>
      </c>
      <c r="BE115" s="65" t="inlineStr">
        <is>
          <t/>
        </is>
      </c>
      <c r="BF115" s="66" t="inlineStr">
        <is>
          <t>Kickstarter (Lead Manager or Arranger), Digital Capital Advisors (Advisor)</t>
        </is>
      </c>
      <c r="BG115" s="67" t="n">
        <v>41977.0</v>
      </c>
      <c r="BH115" s="68" t="n">
        <v>0.32</v>
      </c>
      <c r="BI115" s="69" t="inlineStr">
        <is>
          <t>Actual</t>
        </is>
      </c>
      <c r="BJ115" s="70" t="inlineStr">
        <is>
          <t/>
        </is>
      </c>
      <c r="BK115" s="71" t="inlineStr">
        <is>
          <t/>
        </is>
      </c>
      <c r="BL115" s="72" t="inlineStr">
        <is>
          <t>Product Crowdfunding</t>
        </is>
      </c>
      <c r="BM115" s="73" t="inlineStr">
        <is>
          <t/>
        </is>
      </c>
      <c r="BN115" s="74" t="inlineStr">
        <is>
          <t/>
        </is>
      </c>
      <c r="BO115" s="75" t="inlineStr">
        <is>
          <t>Individual</t>
        </is>
      </c>
      <c r="BP115" s="76" t="inlineStr">
        <is>
          <t/>
        </is>
      </c>
      <c r="BQ115" s="77" t="inlineStr">
        <is>
          <t/>
        </is>
      </c>
      <c r="BR115" s="78" t="inlineStr">
        <is>
          <t/>
        </is>
      </c>
      <c r="BS115" s="79" t="inlineStr">
        <is>
          <t>Completed</t>
        </is>
      </c>
      <c r="BT115" s="80" t="n">
        <v>42394.0</v>
      </c>
      <c r="BU115" s="81" t="n">
        <v>6.3</v>
      </c>
      <c r="BV115" s="82" t="inlineStr">
        <is>
          <t>Estimated</t>
        </is>
      </c>
      <c r="BW115" s="83" t="inlineStr">
        <is>
          <t/>
        </is>
      </c>
      <c r="BX115" s="84" t="inlineStr">
        <is>
          <t/>
        </is>
      </c>
      <c r="BY115" s="85" t="inlineStr">
        <is>
          <t>Early Stage VC</t>
        </is>
      </c>
      <c r="BZ115" s="86" t="inlineStr">
        <is>
          <t/>
        </is>
      </c>
      <c r="CA115" s="87" t="inlineStr">
        <is>
          <t/>
        </is>
      </c>
      <c r="CB115" s="88" t="inlineStr">
        <is>
          <t>Venture Capital</t>
        </is>
      </c>
      <c r="CC115" s="89" t="inlineStr">
        <is>
          <t/>
        </is>
      </c>
      <c r="CD115" s="90" t="inlineStr">
        <is>
          <t/>
        </is>
      </c>
      <c r="CE115" s="91" t="inlineStr">
        <is>
          <t/>
        </is>
      </c>
      <c r="CF115" s="92" t="inlineStr">
        <is>
          <t>Completed</t>
        </is>
      </c>
      <c r="CG115" s="93" t="inlineStr">
        <is>
          <t>-0,24%</t>
        </is>
      </c>
      <c r="CH115" s="94" t="inlineStr">
        <is>
          <t>12</t>
        </is>
      </c>
      <c r="CI115" s="95" t="inlineStr">
        <is>
          <t>-0,06%</t>
        </is>
      </c>
      <c r="CJ115" s="96" t="inlineStr">
        <is>
          <t>-36,06%</t>
        </is>
      </c>
      <c r="CK115" s="97" t="inlineStr">
        <is>
          <t>-0,67%</t>
        </is>
      </c>
      <c r="CL115" s="98" t="inlineStr">
        <is>
          <t>11</t>
        </is>
      </c>
      <c r="CM115" s="99" t="inlineStr">
        <is>
          <t>0,18%</t>
        </is>
      </c>
      <c r="CN115" s="100" t="inlineStr">
        <is>
          <t>71</t>
        </is>
      </c>
      <c r="CO115" s="101" t="inlineStr">
        <is>
          <t>-1,12%</t>
        </is>
      </c>
      <c r="CP115" s="102" t="inlineStr">
        <is>
          <t>19</t>
        </is>
      </c>
      <c r="CQ115" s="103" t="inlineStr">
        <is>
          <t>-0,23%</t>
        </is>
      </c>
      <c r="CR115" s="104" t="inlineStr">
        <is>
          <t>10</t>
        </is>
      </c>
      <c r="CS115" s="105" t="inlineStr">
        <is>
          <t>0,23%</t>
        </is>
      </c>
      <c r="CT115" s="106" t="inlineStr">
        <is>
          <t>73</t>
        </is>
      </c>
      <c r="CU115" s="107" t="inlineStr">
        <is>
          <t>0,14%</t>
        </is>
      </c>
      <c r="CV115" s="108" t="inlineStr">
        <is>
          <t>72</t>
        </is>
      </c>
      <c r="CW115" s="109" t="inlineStr">
        <is>
          <t>12,05x</t>
        </is>
      </c>
      <c r="CX115" s="110" t="inlineStr">
        <is>
          <t>88</t>
        </is>
      </c>
      <c r="CY115" s="111" t="inlineStr">
        <is>
          <t>0,19x</t>
        </is>
      </c>
      <c r="CZ115" s="112" t="inlineStr">
        <is>
          <t>1,57%</t>
        </is>
      </c>
      <c r="DA115" s="113" t="inlineStr">
        <is>
          <t>12,36x</t>
        </is>
      </c>
      <c r="DB115" s="114" t="inlineStr">
        <is>
          <t>89</t>
        </is>
      </c>
      <c r="DC115" s="115" t="inlineStr">
        <is>
          <t>11,74x</t>
        </is>
      </c>
      <c r="DD115" s="116" t="inlineStr">
        <is>
          <t>85</t>
        </is>
      </c>
      <c r="DE115" s="117" t="inlineStr">
        <is>
          <t>14,23x</t>
        </is>
      </c>
      <c r="DF115" s="118" t="inlineStr">
        <is>
          <t>86</t>
        </is>
      </c>
      <c r="DG115" s="119" t="inlineStr">
        <is>
          <t>10,50x</t>
        </is>
      </c>
      <c r="DH115" s="120" t="inlineStr">
        <is>
          <t>87</t>
        </is>
      </c>
      <c r="DI115" s="121" t="inlineStr">
        <is>
          <t>18,97x</t>
        </is>
      </c>
      <c r="DJ115" s="122" t="inlineStr">
        <is>
          <t>87</t>
        </is>
      </c>
      <c r="DK115" s="123" t="inlineStr">
        <is>
          <t>4,50x</t>
        </is>
      </c>
      <c r="DL115" s="124" t="inlineStr">
        <is>
          <t>77</t>
        </is>
      </c>
      <c r="DM115" s="125" t="inlineStr">
        <is>
          <t>8.782</t>
        </is>
      </c>
      <c r="DN115" s="126" t="inlineStr">
        <is>
          <t>-98</t>
        </is>
      </c>
      <c r="DO115" s="127" t="inlineStr">
        <is>
          <t>-1,10%</t>
        </is>
      </c>
      <c r="DP115" s="128" t="inlineStr">
        <is>
          <t>15.143</t>
        </is>
      </c>
      <c r="DQ115" s="129" t="inlineStr">
        <is>
          <t>38</t>
        </is>
      </c>
      <c r="DR115" s="130" t="inlineStr">
        <is>
          <t>0,25%</t>
        </is>
      </c>
      <c r="DS115" s="131" t="inlineStr">
        <is>
          <t>379</t>
        </is>
      </c>
      <c r="DT115" s="132" t="inlineStr">
        <is>
          <t>-2</t>
        </is>
      </c>
      <c r="DU115" s="133" t="inlineStr">
        <is>
          <t>-0,52%</t>
        </is>
      </c>
      <c r="DV115" s="134" t="inlineStr">
        <is>
          <t>1.543</t>
        </is>
      </c>
      <c r="DW115" s="135" t="inlineStr">
        <is>
          <t>6</t>
        </is>
      </c>
      <c r="DX115" s="136" t="inlineStr">
        <is>
          <t>0,39%</t>
        </is>
      </c>
      <c r="DY115" s="137" t="inlineStr">
        <is>
          <t>PitchBook Research</t>
        </is>
      </c>
      <c r="DZ115" s="785">
        <f>HYPERLINK("https://my.pitchbook.com?c=111766-96", "View company online")</f>
      </c>
    </row>
    <row r="116">
      <c r="A116" s="139" t="inlineStr">
        <is>
          <t>153411-49</t>
        </is>
      </c>
      <c r="B116" s="140" t="inlineStr">
        <is>
          <t>CognitiveLogic</t>
        </is>
      </c>
      <c r="C116" s="141" t="inlineStr">
        <is>
          <t/>
        </is>
      </c>
      <c r="D116" s="142" t="inlineStr">
        <is>
          <t/>
        </is>
      </c>
      <c r="E116" s="143" t="inlineStr">
        <is>
          <t>153411-49</t>
        </is>
      </c>
      <c r="F116" s="144" t="inlineStr">
        <is>
          <t>Developer of a business analytic software designed to rebuild how databases deal with consumer information. The company's business analytic software provides a system that processes, aggregates and connects the numerous pools of consumer data available with them keeping privacy intact, enabling enterprises to identify key trends and insights into the behavior of their customers and prospects.</t>
        </is>
      </c>
      <c r="G116" s="145" t="inlineStr">
        <is>
          <t>Information Technology</t>
        </is>
      </c>
      <c r="H116" s="146" t="inlineStr">
        <is>
          <t>Software</t>
        </is>
      </c>
      <c r="I116" s="147" t="inlineStr">
        <is>
          <t>Network Management Software</t>
        </is>
      </c>
      <c r="J116" s="148" t="inlineStr">
        <is>
          <t>Network Management Software*; Media and Information Services (B2B); Other IT Services</t>
        </is>
      </c>
      <c r="K116" s="149" t="inlineStr">
        <is>
          <t>Big Data, Cybersecurity</t>
        </is>
      </c>
      <c r="L116" s="150" t="inlineStr">
        <is>
          <t>Venture Capital-Backed</t>
        </is>
      </c>
      <c r="M116" s="151" t="n">
        <v>7.38</v>
      </c>
      <c r="N116" s="152" t="inlineStr">
        <is>
          <t>Startup</t>
        </is>
      </c>
      <c r="O116" s="153" t="inlineStr">
        <is>
          <t>Privately Held (backing)</t>
        </is>
      </c>
      <c r="P116" s="154" t="inlineStr">
        <is>
          <t>Venture Capital</t>
        </is>
      </c>
      <c r="Q116" s="155" t="inlineStr">
        <is>
          <t>www.cognitivelogic.com</t>
        </is>
      </c>
      <c r="R116" s="156" t="n">
        <v>4.0</v>
      </c>
      <c r="S116" s="157" t="inlineStr">
        <is>
          <t/>
        </is>
      </c>
      <c r="T116" s="158" t="inlineStr">
        <is>
          <t/>
        </is>
      </c>
      <c r="U116" s="159" t="n">
        <v>2015.0</v>
      </c>
      <c r="V116" s="160" t="inlineStr">
        <is>
          <t/>
        </is>
      </c>
      <c r="W116" s="161" t="inlineStr">
        <is>
          <t/>
        </is>
      </c>
      <c r="X116" s="162" t="inlineStr">
        <is>
          <t/>
        </is>
      </c>
      <c r="Y116" s="163" t="inlineStr">
        <is>
          <t/>
        </is>
      </c>
      <c r="Z116" s="164" t="inlineStr">
        <is>
          <t/>
        </is>
      </c>
      <c r="AA116" s="165" t="inlineStr">
        <is>
          <t/>
        </is>
      </c>
      <c r="AB116" s="166" t="inlineStr">
        <is>
          <t/>
        </is>
      </c>
      <c r="AC116" s="167" t="inlineStr">
        <is>
          <t/>
        </is>
      </c>
      <c r="AD116" s="168" t="inlineStr">
        <is>
          <t/>
        </is>
      </c>
      <c r="AE116" s="169" t="inlineStr">
        <is>
          <t>40643-38P</t>
        </is>
      </c>
      <c r="AF116" s="170" t="inlineStr">
        <is>
          <t>Nicholas Halstead</t>
        </is>
      </c>
      <c r="AG116" s="171" t="inlineStr">
        <is>
          <t>Founder, Chief Executive Officer &amp; Board Member</t>
        </is>
      </c>
      <c r="AH116" s="172" t="inlineStr">
        <is>
          <t>nick@cognitivelogic.com</t>
        </is>
      </c>
      <c r="AI116" s="173" t="inlineStr">
        <is>
          <t>+44 (0)79 8541 1011</t>
        </is>
      </c>
      <c r="AJ116" s="174" t="inlineStr">
        <is>
          <t>Basingstoke, United Kingdom</t>
        </is>
      </c>
      <c r="AK116" s="175" t="inlineStr">
        <is>
          <t>Clifton House</t>
        </is>
      </c>
      <c r="AL116" s="176" t="inlineStr">
        <is>
          <t>Bunnian Place</t>
        </is>
      </c>
      <c r="AM116" s="177" t="inlineStr">
        <is>
          <t>Basingstoke</t>
        </is>
      </c>
      <c r="AN116" s="178" t="inlineStr">
        <is>
          <t>England</t>
        </is>
      </c>
      <c r="AO116" s="179" t="inlineStr">
        <is>
          <t>RG21 7JE</t>
        </is>
      </c>
      <c r="AP116" s="180" t="inlineStr">
        <is>
          <t>United Kingdom</t>
        </is>
      </c>
      <c r="AQ116" s="181" t="inlineStr">
        <is>
          <t>+44 (0)79 8541 1011</t>
        </is>
      </c>
      <c r="AR116" s="182" t="inlineStr">
        <is>
          <t/>
        </is>
      </c>
      <c r="AS116" s="183" t="inlineStr">
        <is>
          <t/>
        </is>
      </c>
      <c r="AT116" s="184" t="inlineStr">
        <is>
          <t>Europe</t>
        </is>
      </c>
      <c r="AU116" s="185" t="inlineStr">
        <is>
          <t>Western Europe</t>
        </is>
      </c>
      <c r="AV116" s="186" t="inlineStr">
        <is>
          <t>The company raised $4.99 million of Series Seed 2 funding from undisclosed investors on April 3, 2017.</t>
        </is>
      </c>
      <c r="AW116" s="187" t="inlineStr">
        <is>
          <t>IA Ventures, Upfront Ventures</t>
        </is>
      </c>
      <c r="AX116" s="188" t="n">
        <v>2.0</v>
      </c>
      <c r="AY116" s="189" t="inlineStr">
        <is>
          <t/>
        </is>
      </c>
      <c r="AZ116" s="190" t="inlineStr">
        <is>
          <t/>
        </is>
      </c>
      <c r="BA116" s="191" t="inlineStr">
        <is>
          <t/>
        </is>
      </c>
      <c r="BB116" s="192" t="inlineStr">
        <is>
          <t>IA Ventures (www.iaventures.com), Upfront Ventures (www.upfront.com)</t>
        </is>
      </c>
      <c r="BC116" s="193" t="inlineStr">
        <is>
          <t/>
        </is>
      </c>
      <c r="BD116" s="194" t="inlineStr">
        <is>
          <t/>
        </is>
      </c>
      <c r="BE116" s="195" t="inlineStr">
        <is>
          <t>Orrick Herrington &amp; Sutcliffe (Legal Advisor)</t>
        </is>
      </c>
      <c r="BF116" s="196" t="inlineStr">
        <is>
          <t>Orrick Herrington &amp; Sutcliffe (Legal Advisor)</t>
        </is>
      </c>
      <c r="BG116" s="197" t="n">
        <v>42409.0</v>
      </c>
      <c r="BH116" s="198" t="n">
        <v>2.7</v>
      </c>
      <c r="BI116" s="199" t="inlineStr">
        <is>
          <t>Actual</t>
        </is>
      </c>
      <c r="BJ116" s="200" t="inlineStr">
        <is>
          <t/>
        </is>
      </c>
      <c r="BK116" s="201" t="inlineStr">
        <is>
          <t/>
        </is>
      </c>
      <c r="BL116" s="202" t="inlineStr">
        <is>
          <t>Seed Round</t>
        </is>
      </c>
      <c r="BM116" s="203" t="inlineStr">
        <is>
          <t>Seed</t>
        </is>
      </c>
      <c r="BN116" s="204" t="inlineStr">
        <is>
          <t/>
        </is>
      </c>
      <c r="BO116" s="205" t="inlineStr">
        <is>
          <t>Venture Capital</t>
        </is>
      </c>
      <c r="BP116" s="206" t="inlineStr">
        <is>
          <t/>
        </is>
      </c>
      <c r="BQ116" s="207" t="inlineStr">
        <is>
          <t/>
        </is>
      </c>
      <c r="BR116" s="208" t="inlineStr">
        <is>
          <t/>
        </is>
      </c>
      <c r="BS116" s="209" t="inlineStr">
        <is>
          <t>Completed</t>
        </is>
      </c>
      <c r="BT116" s="210" t="n">
        <v>42828.0</v>
      </c>
      <c r="BU116" s="211" t="n">
        <v>4.67</v>
      </c>
      <c r="BV116" s="212" t="inlineStr">
        <is>
          <t>Actual</t>
        </is>
      </c>
      <c r="BW116" s="213" t="inlineStr">
        <is>
          <t/>
        </is>
      </c>
      <c r="BX116" s="214" t="inlineStr">
        <is>
          <t/>
        </is>
      </c>
      <c r="BY116" s="215" t="inlineStr">
        <is>
          <t>Seed Round</t>
        </is>
      </c>
      <c r="BZ116" s="216" t="inlineStr">
        <is>
          <t>Series 2</t>
        </is>
      </c>
      <c r="CA116" s="217" t="inlineStr">
        <is>
          <t/>
        </is>
      </c>
      <c r="CB116" s="218" t="inlineStr">
        <is>
          <t>Venture Capital</t>
        </is>
      </c>
      <c r="CC116" s="219" t="inlineStr">
        <is>
          <t/>
        </is>
      </c>
      <c r="CD116" s="220" t="inlineStr">
        <is>
          <t/>
        </is>
      </c>
      <c r="CE116" s="221" t="inlineStr">
        <is>
          <t/>
        </is>
      </c>
      <c r="CF116" s="222" t="inlineStr">
        <is>
          <t>Completed</t>
        </is>
      </c>
      <c r="CG116" s="223" t="inlineStr">
        <is>
          <t>0,16%</t>
        </is>
      </c>
      <c r="CH116" s="224" t="inlineStr">
        <is>
          <t>76</t>
        </is>
      </c>
      <c r="CI116" s="225" t="inlineStr">
        <is>
          <t>0,00%</t>
        </is>
      </c>
      <c r="CJ116" s="226" t="inlineStr">
        <is>
          <t>0,00%</t>
        </is>
      </c>
      <c r="CK116" s="227" t="inlineStr">
        <is>
          <t>0,00%</t>
        </is>
      </c>
      <c r="CL116" s="228" t="inlineStr">
        <is>
          <t>18</t>
        </is>
      </c>
      <c r="CM116" s="229" t="inlineStr">
        <is>
          <t>0,33%</t>
        </is>
      </c>
      <c r="CN116" s="230" t="inlineStr">
        <is>
          <t>83</t>
        </is>
      </c>
      <c r="CO116" s="231" t="inlineStr">
        <is>
          <t>0,00%</t>
        </is>
      </c>
      <c r="CP116" s="232" t="inlineStr">
        <is>
          <t>26</t>
        </is>
      </c>
      <c r="CQ116" s="233" t="inlineStr">
        <is>
          <t>0,00%</t>
        </is>
      </c>
      <c r="CR116" s="234" t="inlineStr">
        <is>
          <t>13</t>
        </is>
      </c>
      <c r="CS116" s="235" t="inlineStr">
        <is>
          <t>0,00%</t>
        </is>
      </c>
      <c r="CT116" s="236" t="inlineStr">
        <is>
          <t>18</t>
        </is>
      </c>
      <c r="CU116" s="237" t="inlineStr">
        <is>
          <t>0,65%</t>
        </is>
      </c>
      <c r="CV116" s="238" t="inlineStr">
        <is>
          <t>94</t>
        </is>
      </c>
      <c r="CW116" s="239" t="inlineStr">
        <is>
          <t>0,70x</t>
        </is>
      </c>
      <c r="CX116" s="240" t="inlineStr">
        <is>
          <t>41</t>
        </is>
      </c>
      <c r="CY116" s="241" t="inlineStr">
        <is>
          <t>0,01x</t>
        </is>
      </c>
      <c r="CZ116" s="242" t="inlineStr">
        <is>
          <t>1,81%</t>
        </is>
      </c>
      <c r="DA116" s="243" t="inlineStr">
        <is>
          <t>0,91x</t>
        </is>
      </c>
      <c r="DB116" s="244" t="inlineStr">
        <is>
          <t>50</t>
        </is>
      </c>
      <c r="DC116" s="245" t="inlineStr">
        <is>
          <t>0,48x</t>
        </is>
      </c>
      <c r="DD116" s="246" t="inlineStr">
        <is>
          <t>35</t>
        </is>
      </c>
      <c r="DE116" s="247" t="inlineStr">
        <is>
          <t>0,71x</t>
        </is>
      </c>
      <c r="DF116" s="248" t="inlineStr">
        <is>
          <t>43</t>
        </is>
      </c>
      <c r="DG116" s="249" t="inlineStr">
        <is>
          <t>1,11x</t>
        </is>
      </c>
      <c r="DH116" s="250" t="inlineStr">
        <is>
          <t>52</t>
        </is>
      </c>
      <c r="DI116" s="251" t="inlineStr">
        <is>
          <t>0,16x</t>
        </is>
      </c>
      <c r="DJ116" s="252" t="inlineStr">
        <is>
          <t>20</t>
        </is>
      </c>
      <c r="DK116" s="253" t="inlineStr">
        <is>
          <t>0,81x</t>
        </is>
      </c>
      <c r="DL116" s="254" t="inlineStr">
        <is>
          <t>47</t>
        </is>
      </c>
      <c r="DM116" s="255" t="inlineStr">
        <is>
          <t>433</t>
        </is>
      </c>
      <c r="DN116" s="256" t="inlineStr">
        <is>
          <t>11</t>
        </is>
      </c>
      <c r="DO116" s="257" t="inlineStr">
        <is>
          <t>2,61%</t>
        </is>
      </c>
      <c r="DP116" s="258" t="inlineStr">
        <is>
          <t>124</t>
        </is>
      </c>
      <c r="DQ116" s="259" t="inlineStr">
        <is>
          <t>0</t>
        </is>
      </c>
      <c r="DR116" s="260" t="inlineStr">
        <is>
          <t>0,00%</t>
        </is>
      </c>
      <c r="DS116" s="261" t="inlineStr">
        <is>
          <t>40</t>
        </is>
      </c>
      <c r="DT116" s="262" t="inlineStr">
        <is>
          <t>0</t>
        </is>
      </c>
      <c r="DU116" s="263" t="inlineStr">
        <is>
          <t>0,00%</t>
        </is>
      </c>
      <c r="DV116" s="264" t="inlineStr">
        <is>
          <t>278</t>
        </is>
      </c>
      <c r="DW116" s="265" t="inlineStr">
        <is>
          <t>3</t>
        </is>
      </c>
      <c r="DX116" s="266" t="inlineStr">
        <is>
          <t>1,09%</t>
        </is>
      </c>
      <c r="DY116" s="267" t="inlineStr">
        <is>
          <t>PitchBook Research</t>
        </is>
      </c>
      <c r="DZ116" s="786">
        <f>HYPERLINK("https://my.pitchbook.com?c=153411-49", "View company online")</f>
      </c>
    </row>
    <row r="117">
      <c r="A117" s="9" t="inlineStr">
        <is>
          <t>157761-28</t>
        </is>
      </c>
      <c r="B117" s="10" t="inlineStr">
        <is>
          <t>CompareEuropeGroup</t>
        </is>
      </c>
      <c r="C117" s="11" t="inlineStr">
        <is>
          <t/>
        </is>
      </c>
      <c r="D117" s="12" t="inlineStr">
        <is>
          <t/>
        </is>
      </c>
      <c r="E117" s="13" t="inlineStr">
        <is>
          <t>157761-28</t>
        </is>
      </c>
      <c r="F117" s="14" t="inlineStr">
        <is>
          <t>Provider of a financial comparison platform. The company helps people across Europe with their decisions over personal finance with free and independent online comparison tools for insurance, credit cards, personal loans and other financial products.</t>
        </is>
      </c>
      <c r="G117" s="15" t="inlineStr">
        <is>
          <t>Information Technology</t>
        </is>
      </c>
      <c r="H117" s="16" t="inlineStr">
        <is>
          <t>Software</t>
        </is>
      </c>
      <c r="I117" s="17" t="inlineStr">
        <is>
          <t>Social/Platform Software</t>
        </is>
      </c>
      <c r="J117" s="18" t="inlineStr">
        <is>
          <t>Social/Platform Software*; Financial Software</t>
        </is>
      </c>
      <c r="K117" s="19" t="inlineStr">
        <is>
          <t>FinTech</t>
        </is>
      </c>
      <c r="L117" s="20" t="inlineStr">
        <is>
          <t>Venture Capital-Backed</t>
        </is>
      </c>
      <c r="M117" s="21" t="n">
        <v>75.36</v>
      </c>
      <c r="N117" s="22" t="inlineStr">
        <is>
          <t>Startup</t>
        </is>
      </c>
      <c r="O117" s="23" t="inlineStr">
        <is>
          <t>Privately Held (backing)</t>
        </is>
      </c>
      <c r="P117" s="24" t="inlineStr">
        <is>
          <t>Venture Capital, Private Equity</t>
        </is>
      </c>
      <c r="Q117" s="25" t="inlineStr">
        <is>
          <t>www.compareeuropegroup.com</t>
        </is>
      </c>
      <c r="R117" s="26" t="n">
        <v>100.0</v>
      </c>
      <c r="S117" s="27" t="inlineStr">
        <is>
          <t/>
        </is>
      </c>
      <c r="T117" s="28" t="inlineStr">
        <is>
          <t/>
        </is>
      </c>
      <c r="U117" s="29" t="n">
        <v>2015.0</v>
      </c>
      <c r="V117" s="30" t="inlineStr">
        <is>
          <t/>
        </is>
      </c>
      <c r="W117" s="31" t="inlineStr">
        <is>
          <t/>
        </is>
      </c>
      <c r="X117" s="32" t="inlineStr">
        <is>
          <t/>
        </is>
      </c>
      <c r="Y117" s="33" t="inlineStr">
        <is>
          <t/>
        </is>
      </c>
      <c r="Z117" s="34" t="inlineStr">
        <is>
          <t/>
        </is>
      </c>
      <c r="AA117" s="35" t="n">
        <v>-0.01837</v>
      </c>
      <c r="AB117" s="36" t="inlineStr">
        <is>
          <t/>
        </is>
      </c>
      <c r="AC117" s="37" t="n">
        <v>-0.01837</v>
      </c>
      <c r="AD117" s="38" t="inlineStr">
        <is>
          <t>FY 2015</t>
        </is>
      </c>
      <c r="AE117" s="39" t="inlineStr">
        <is>
          <t>133666-57P</t>
        </is>
      </c>
      <c r="AF117" s="40" t="inlineStr">
        <is>
          <t>Daniel Vogel</t>
        </is>
      </c>
      <c r="AG117" s="41" t="inlineStr">
        <is>
          <t>Chief Financial Officer</t>
        </is>
      </c>
      <c r="AH117" s="42" t="inlineStr">
        <is>
          <t>daniel.vogel@compareglobalgroup.com</t>
        </is>
      </c>
      <c r="AI117" s="43" t="inlineStr">
        <is>
          <t>+44 (0)75 5790 3733</t>
        </is>
      </c>
      <c r="AJ117" s="44" t="inlineStr">
        <is>
          <t>London, United Kingdom</t>
        </is>
      </c>
      <c r="AK117" s="45" t="inlineStr">
        <is>
          <t>Broadbent House</t>
        </is>
      </c>
      <c r="AL117" s="46" t="inlineStr">
        <is>
          <t>65 Grosvenor Street</t>
        </is>
      </c>
      <c r="AM117" s="47" t="inlineStr">
        <is>
          <t>London</t>
        </is>
      </c>
      <c r="AN117" s="48" t="inlineStr">
        <is>
          <t>England</t>
        </is>
      </c>
      <c r="AO117" s="49" t="inlineStr">
        <is>
          <t>W1K 3JH</t>
        </is>
      </c>
      <c r="AP117" s="50" t="inlineStr">
        <is>
          <t>United Kingdom</t>
        </is>
      </c>
      <c r="AQ117" s="51" t="inlineStr">
        <is>
          <t/>
        </is>
      </c>
      <c r="AR117" s="52" t="inlineStr">
        <is>
          <t/>
        </is>
      </c>
      <c r="AS117" s="53" t="inlineStr">
        <is>
          <t>info@compareeuropegroup.com</t>
        </is>
      </c>
      <c r="AT117" s="54" t="inlineStr">
        <is>
          <t>Europe</t>
        </is>
      </c>
      <c r="AU117" s="55" t="inlineStr">
        <is>
          <t>Western Europe</t>
        </is>
      </c>
      <c r="AV117" s="56" t="inlineStr">
        <is>
          <t>The company raised EUR 20 million of Series A venture funding in a round led by ACE &amp; Company on January 11, 2017. Pacific Century Group, Nova Founders Capital, SBI Holdings, Mark Pincus, Peter Thiel and other undisclosed investors also participated in this round. The company intends to use the funding to continue to improve the user experience, further develop its proprietary technology including advancing its big data and machine learning capabilities and to also grow its team.</t>
        </is>
      </c>
      <c r="AW117" s="57" t="inlineStr">
        <is>
          <t>ACE &amp; Company, Goldman Sachs Merchant Banking Division, Jardines, Mark Pincus, Nova Founders Capital, Pacific Century Group, Peter Thiel, PineBridge Investments, Route 66 Ventures, SBI Holdings, Seier Capital, Stem Capital Partners</t>
        </is>
      </c>
      <c r="AX117" s="58" t="n">
        <v>12.0</v>
      </c>
      <c r="AY117" s="59" t="inlineStr">
        <is>
          <t/>
        </is>
      </c>
      <c r="AZ117" s="60" t="inlineStr">
        <is>
          <t/>
        </is>
      </c>
      <c r="BA117" s="61" t="inlineStr">
        <is>
          <t/>
        </is>
      </c>
      <c r="BB117" s="62" t="inlineStr">
        <is>
          <t>ACE &amp; Company (www.aceandcompany.com), Jardines (www.jardines.com), Nova Founders Capital (www.novafounders.com), Pacific Century Group (www.pcpd.com), Route 66 Ventures (www.route66ventures.com), SBI Holdings (www.sbigroup.co.jp), Seier Capital (www.seiercapital.com), Stem Capital Partners (www.stemcapitalpartners.com)</t>
        </is>
      </c>
      <c r="BC117" s="63" t="inlineStr">
        <is>
          <t/>
        </is>
      </c>
      <c r="BD117" s="64" t="inlineStr">
        <is>
          <t/>
        </is>
      </c>
      <c r="BE117" s="65" t="inlineStr">
        <is>
          <t>EY (Auditor), Commerzbank (General Business Banking)</t>
        </is>
      </c>
      <c r="BF117" s="66" t="inlineStr">
        <is>
          <t/>
        </is>
      </c>
      <c r="BG117" s="67" t="n">
        <v>42074.0</v>
      </c>
      <c r="BH117" s="68" t="n">
        <v>55.36</v>
      </c>
      <c r="BI117" s="69" t="inlineStr">
        <is>
          <t>Actual</t>
        </is>
      </c>
      <c r="BJ117" s="70" t="inlineStr">
        <is>
          <t/>
        </is>
      </c>
      <c r="BK117" s="71" t="inlineStr">
        <is>
          <t/>
        </is>
      </c>
      <c r="BL117" s="72" t="inlineStr">
        <is>
          <t>Early Stage VC</t>
        </is>
      </c>
      <c r="BM117" s="73" t="inlineStr">
        <is>
          <t/>
        </is>
      </c>
      <c r="BN117" s="74" t="inlineStr">
        <is>
          <t/>
        </is>
      </c>
      <c r="BO117" s="75" t="inlineStr">
        <is>
          <t>Venture Capital</t>
        </is>
      </c>
      <c r="BP117" s="76" t="inlineStr">
        <is>
          <t/>
        </is>
      </c>
      <c r="BQ117" s="77" t="inlineStr">
        <is>
          <t/>
        </is>
      </c>
      <c r="BR117" s="78" t="inlineStr">
        <is>
          <t/>
        </is>
      </c>
      <c r="BS117" s="79" t="inlineStr">
        <is>
          <t>Completed</t>
        </is>
      </c>
      <c r="BT117" s="80" t="n">
        <v>42746.0</v>
      </c>
      <c r="BU117" s="81" t="n">
        <v>20.0</v>
      </c>
      <c r="BV117" s="82" t="inlineStr">
        <is>
          <t>Actual</t>
        </is>
      </c>
      <c r="BW117" s="83" t="inlineStr">
        <is>
          <t/>
        </is>
      </c>
      <c r="BX117" s="84" t="inlineStr">
        <is>
          <t/>
        </is>
      </c>
      <c r="BY117" s="85" t="inlineStr">
        <is>
          <t>Early Stage VC</t>
        </is>
      </c>
      <c r="BZ117" s="86" t="inlineStr">
        <is>
          <t>Series A</t>
        </is>
      </c>
      <c r="CA117" s="87" t="inlineStr">
        <is>
          <t/>
        </is>
      </c>
      <c r="CB117" s="88" t="inlineStr">
        <is>
          <t>Venture Capital</t>
        </is>
      </c>
      <c r="CC117" s="89" t="inlineStr">
        <is>
          <t/>
        </is>
      </c>
      <c r="CD117" s="90" t="inlineStr">
        <is>
          <t/>
        </is>
      </c>
      <c r="CE117" s="91" t="inlineStr">
        <is>
          <t/>
        </is>
      </c>
      <c r="CF117" s="92" t="inlineStr">
        <is>
          <t>Completed</t>
        </is>
      </c>
      <c r="CG117" s="93" t="inlineStr">
        <is>
          <t>-1,03%</t>
        </is>
      </c>
      <c r="CH117" s="94" t="inlineStr">
        <is>
          <t>5</t>
        </is>
      </c>
      <c r="CI117" s="95" t="inlineStr">
        <is>
          <t>1,03%</t>
        </is>
      </c>
      <c r="CJ117" s="96" t="inlineStr">
        <is>
          <t>50,00%</t>
        </is>
      </c>
      <c r="CK117" s="97" t="inlineStr">
        <is>
          <t>-2,05%</t>
        </is>
      </c>
      <c r="CL117" s="98" t="inlineStr">
        <is>
          <t>5</t>
        </is>
      </c>
      <c r="CM117" s="99" t="inlineStr">
        <is>
          <t>0,00%</t>
        </is>
      </c>
      <c r="CN117" s="100" t="inlineStr">
        <is>
          <t>19</t>
        </is>
      </c>
      <c r="CO117" s="101" t="inlineStr">
        <is>
          <t>-4,11%</t>
        </is>
      </c>
      <c r="CP117" s="102" t="inlineStr">
        <is>
          <t>9</t>
        </is>
      </c>
      <c r="CQ117" s="103" t="inlineStr">
        <is>
          <t>0,00%</t>
        </is>
      </c>
      <c r="CR117" s="104" t="inlineStr">
        <is>
          <t>13</t>
        </is>
      </c>
      <c r="CS117" s="105" t="inlineStr">
        <is>
          <t>0,00%</t>
        </is>
      </c>
      <c r="CT117" s="106" t="inlineStr">
        <is>
          <t>18</t>
        </is>
      </c>
      <c r="CU117" s="107" t="inlineStr">
        <is>
          <t/>
        </is>
      </c>
      <c r="CV117" s="108" t="inlineStr">
        <is>
          <t/>
        </is>
      </c>
      <c r="CW117" s="109" t="inlineStr">
        <is>
          <t>0,69x</t>
        </is>
      </c>
      <c r="CX117" s="110" t="inlineStr">
        <is>
          <t>40</t>
        </is>
      </c>
      <c r="CY117" s="111" t="inlineStr">
        <is>
          <t>-0,65x</t>
        </is>
      </c>
      <c r="CZ117" s="112" t="inlineStr">
        <is>
          <t>-48,42%</t>
        </is>
      </c>
      <c r="DA117" s="113" t="inlineStr">
        <is>
          <t>1,36x</t>
        </is>
      </c>
      <c r="DB117" s="114" t="inlineStr">
        <is>
          <t>59</t>
        </is>
      </c>
      <c r="DC117" s="115" t="inlineStr">
        <is>
          <t>0,02x</t>
        </is>
      </c>
      <c r="DD117" s="116" t="inlineStr">
        <is>
          <t>4</t>
        </is>
      </c>
      <c r="DE117" s="117" t="inlineStr">
        <is>
          <t>1,08x</t>
        </is>
      </c>
      <c r="DF117" s="118" t="inlineStr">
        <is>
          <t>52</t>
        </is>
      </c>
      <c r="DG117" s="119" t="inlineStr">
        <is>
          <t>1,64x</t>
        </is>
      </c>
      <c r="DH117" s="120" t="inlineStr">
        <is>
          <t>60</t>
        </is>
      </c>
      <c r="DI117" s="121" t="inlineStr">
        <is>
          <t>0,02x</t>
        </is>
      </c>
      <c r="DJ117" s="122" t="inlineStr">
        <is>
          <t>4</t>
        </is>
      </c>
      <c r="DK117" s="123" t="inlineStr">
        <is>
          <t/>
        </is>
      </c>
      <c r="DL117" s="124" t="inlineStr">
        <is>
          <t/>
        </is>
      </c>
      <c r="DM117" s="125" t="inlineStr">
        <is>
          <t>706</t>
        </is>
      </c>
      <c r="DN117" s="126" t="inlineStr">
        <is>
          <t>-125</t>
        </is>
      </c>
      <c r="DO117" s="127" t="inlineStr">
        <is>
          <t>-15,04%</t>
        </is>
      </c>
      <c r="DP117" s="128" t="inlineStr">
        <is>
          <t>16</t>
        </is>
      </c>
      <c r="DQ117" s="129" t="inlineStr">
        <is>
          <t>1</t>
        </is>
      </c>
      <c r="DR117" s="130" t="inlineStr">
        <is>
          <t>6,67%</t>
        </is>
      </c>
      <c r="DS117" s="131" t="inlineStr">
        <is>
          <t>59</t>
        </is>
      </c>
      <c r="DT117" s="132" t="inlineStr">
        <is>
          <t>0</t>
        </is>
      </c>
      <c r="DU117" s="133" t="inlineStr">
        <is>
          <t>0,00%</t>
        </is>
      </c>
      <c r="DV117" s="134" t="inlineStr">
        <is>
          <t/>
        </is>
      </c>
      <c r="DW117" s="135" t="inlineStr">
        <is>
          <t/>
        </is>
      </c>
      <c r="DX117" s="136" t="inlineStr">
        <is>
          <t/>
        </is>
      </c>
      <c r="DY117" s="137" t="inlineStr">
        <is>
          <t>PitchBook Research</t>
        </is>
      </c>
      <c r="DZ117" s="785">
        <f>HYPERLINK("https://my.pitchbook.com?c=157761-28", "View company online")</f>
      </c>
    </row>
    <row r="118">
      <c r="A118" s="139" t="inlineStr">
        <is>
          <t>108421-12</t>
        </is>
      </c>
      <c r="B118" s="140" t="inlineStr">
        <is>
          <t>ComplyAdvantage</t>
        </is>
      </c>
      <c r="C118" s="141" t="inlineStr">
        <is>
          <t/>
        </is>
      </c>
      <c r="D118" s="142" t="inlineStr">
        <is>
          <t/>
        </is>
      </c>
      <c r="E118" s="143" t="inlineStr">
        <is>
          <t>108421-12</t>
        </is>
      </c>
      <c r="F118" s="144" t="inlineStr">
        <is>
          <t>Provider of data and surveillance platform designed to help fight financial crime by revolutionizing the way companies can protect themselves from criminals, terrorists and money launderers. The company's data and surveillance platform is a secure, reliable and efficient risk compliance services, enabling businesses to work more efficiently and effectively.</t>
        </is>
      </c>
      <c r="G118" s="145" t="inlineStr">
        <is>
          <t>Information Technology</t>
        </is>
      </c>
      <c r="H118" s="146" t="inlineStr">
        <is>
          <t>Software</t>
        </is>
      </c>
      <c r="I118" s="147" t="inlineStr">
        <is>
          <t>Financial Software</t>
        </is>
      </c>
      <c r="J118" s="148" t="inlineStr">
        <is>
          <t>Financial Software*; Other Financial Services; Database Software</t>
        </is>
      </c>
      <c r="K118" s="149" t="inlineStr">
        <is>
          <t>Artificial Intelligence &amp; Machine Learning, Big Data, FinTech, SaaS</t>
        </is>
      </c>
      <c r="L118" s="150" t="inlineStr">
        <is>
          <t>Venture Capital-Backed</t>
        </is>
      </c>
      <c r="M118" s="151" t="n">
        <v>8.2</v>
      </c>
      <c r="N118" s="152" t="inlineStr">
        <is>
          <t>Generating Revenue</t>
        </is>
      </c>
      <c r="O118" s="153" t="inlineStr">
        <is>
          <t>Privately Held (backing)</t>
        </is>
      </c>
      <c r="P118" s="154" t="inlineStr">
        <is>
          <t>Venture Capital</t>
        </is>
      </c>
      <c r="Q118" s="155" t="inlineStr">
        <is>
          <t>complyadvantage.com</t>
        </is>
      </c>
      <c r="R118" s="156" t="n">
        <v>50.0</v>
      </c>
      <c r="S118" s="157" t="inlineStr">
        <is>
          <t/>
        </is>
      </c>
      <c r="T118" s="158" t="inlineStr">
        <is>
          <t/>
        </is>
      </c>
      <c r="U118" s="159" t="n">
        <v>2014.0</v>
      </c>
      <c r="V118" s="160" t="inlineStr">
        <is>
          <t/>
        </is>
      </c>
      <c r="W118" s="161" t="inlineStr">
        <is>
          <t/>
        </is>
      </c>
      <c r="X118" s="162" t="inlineStr">
        <is>
          <t/>
        </is>
      </c>
      <c r="Y118" s="163" t="inlineStr">
        <is>
          <t/>
        </is>
      </c>
      <c r="Z118" s="164" t="inlineStr">
        <is>
          <t/>
        </is>
      </c>
      <c r="AA118" s="165" t="inlineStr">
        <is>
          <t/>
        </is>
      </c>
      <c r="AB118" s="166" t="inlineStr">
        <is>
          <t/>
        </is>
      </c>
      <c r="AC118" s="167" t="inlineStr">
        <is>
          <t/>
        </is>
      </c>
      <c r="AD118" s="168" t="inlineStr">
        <is>
          <t/>
        </is>
      </c>
      <c r="AE118" s="169" t="inlineStr">
        <is>
          <t>147491-02P</t>
        </is>
      </c>
      <c r="AF118" s="170" t="inlineStr">
        <is>
          <t>Charlie Delingpole</t>
        </is>
      </c>
      <c r="AG118" s="171" t="inlineStr">
        <is>
          <t>Board Member, Founder &amp; Chief Executive Officer</t>
        </is>
      </c>
      <c r="AH118" s="172" t="inlineStr">
        <is>
          <t>charles@complyadvantage.com</t>
        </is>
      </c>
      <c r="AI118" s="173" t="inlineStr">
        <is>
          <t>+44 (0)20 7834 0252</t>
        </is>
      </c>
      <c r="AJ118" s="174" t="inlineStr">
        <is>
          <t>London, United Kingdom</t>
        </is>
      </c>
      <c r="AK118" s="175" t="inlineStr">
        <is>
          <t>9th Floor, Newcombe House</t>
        </is>
      </c>
      <c r="AL118" s="176" t="inlineStr">
        <is>
          <t>45 Notting Hill Gate</t>
        </is>
      </c>
      <c r="AM118" s="177" t="inlineStr">
        <is>
          <t>London</t>
        </is>
      </c>
      <c r="AN118" s="178" t="inlineStr">
        <is>
          <t>England</t>
        </is>
      </c>
      <c r="AO118" s="179" t="inlineStr">
        <is>
          <t>W11 3LQ</t>
        </is>
      </c>
      <c r="AP118" s="180" t="inlineStr">
        <is>
          <t>United Kingdom</t>
        </is>
      </c>
      <c r="AQ118" s="181" t="inlineStr">
        <is>
          <t>+44 (0)20 7834 0252</t>
        </is>
      </c>
      <c r="AR118" s="182" t="inlineStr">
        <is>
          <t/>
        </is>
      </c>
      <c r="AS118" s="183" t="inlineStr">
        <is>
          <t>contact@complyadvantage.com</t>
        </is>
      </c>
      <c r="AT118" s="184" t="inlineStr">
        <is>
          <t>Europe</t>
        </is>
      </c>
      <c r="AU118" s="185" t="inlineStr">
        <is>
          <t>Western Europe</t>
        </is>
      </c>
      <c r="AV118" s="186" t="inlineStr">
        <is>
          <t>The company raised $8.2 million of Series A venture funding in a deal led by Balderton Capital on October 13, 2016, putting the company's pre-money valuation at $14.5 million. Christopher Pilling and other undisclosed private investors also participated in the round. The company intends to use the funds for growth and product penetration increase across Europe and North America. Previously, the company raised GBP 520,000 seed funding from undisclosed private investors.</t>
        </is>
      </c>
      <c r="AW118" s="187" t="inlineStr">
        <is>
          <t>Balderton Capital, Christopher Pilling</t>
        </is>
      </c>
      <c r="AX118" s="188" t="n">
        <v>2.0</v>
      </c>
      <c r="AY118" s="189" t="inlineStr">
        <is>
          <t/>
        </is>
      </c>
      <c r="AZ118" s="190" t="inlineStr">
        <is>
          <t/>
        </is>
      </c>
      <c r="BA118" s="191" t="inlineStr">
        <is>
          <t/>
        </is>
      </c>
      <c r="BB118" s="192" t="inlineStr">
        <is>
          <t>Balderton Capital (www.balderton.com)</t>
        </is>
      </c>
      <c r="BC118" s="193" t="inlineStr">
        <is>
          <t/>
        </is>
      </c>
      <c r="BD118" s="194" t="inlineStr">
        <is>
          <t/>
        </is>
      </c>
      <c r="BE118" s="195" t="inlineStr">
        <is>
          <t>Orrick Herrington &amp; Sutcliffe (Legal Advisor)</t>
        </is>
      </c>
      <c r="BF118" s="196" t="inlineStr">
        <is>
          <t>Orrick Herrington &amp; Sutcliffe (Legal Advisor)</t>
        </is>
      </c>
      <c r="BG118" s="197" t="n">
        <v>42135.0</v>
      </c>
      <c r="BH118" s="198" t="n">
        <v>0.72</v>
      </c>
      <c r="BI118" s="199" t="inlineStr">
        <is>
          <t>Actual</t>
        </is>
      </c>
      <c r="BJ118" s="200" t="n">
        <v>6.94</v>
      </c>
      <c r="BK118" s="201" t="inlineStr">
        <is>
          <t>Actual</t>
        </is>
      </c>
      <c r="BL118" s="202" t="inlineStr">
        <is>
          <t>Seed Round</t>
        </is>
      </c>
      <c r="BM118" s="203" t="inlineStr">
        <is>
          <t>Seed</t>
        </is>
      </c>
      <c r="BN118" s="204" t="inlineStr">
        <is>
          <t/>
        </is>
      </c>
      <c r="BO118" s="205" t="inlineStr">
        <is>
          <t>Individual</t>
        </is>
      </c>
      <c r="BP118" s="206" t="inlineStr">
        <is>
          <t/>
        </is>
      </c>
      <c r="BQ118" s="207" t="inlineStr">
        <is>
          <t/>
        </is>
      </c>
      <c r="BR118" s="208" t="inlineStr">
        <is>
          <t/>
        </is>
      </c>
      <c r="BS118" s="209" t="inlineStr">
        <is>
          <t>Completed</t>
        </is>
      </c>
      <c r="BT118" s="210" t="n">
        <v>42656.0</v>
      </c>
      <c r="BU118" s="211" t="n">
        <v>7.48</v>
      </c>
      <c r="BV118" s="212" t="inlineStr">
        <is>
          <t>Actual</t>
        </is>
      </c>
      <c r="BW118" s="213" t="n">
        <v>20.62</v>
      </c>
      <c r="BX118" s="214" t="inlineStr">
        <is>
          <t>Actual</t>
        </is>
      </c>
      <c r="BY118" s="215" t="inlineStr">
        <is>
          <t>Early Stage VC</t>
        </is>
      </c>
      <c r="BZ118" s="216" t="inlineStr">
        <is>
          <t>Series A</t>
        </is>
      </c>
      <c r="CA118" s="217" t="inlineStr">
        <is>
          <t/>
        </is>
      </c>
      <c r="CB118" s="218" t="inlineStr">
        <is>
          <t>Venture Capital</t>
        </is>
      </c>
      <c r="CC118" s="219" t="inlineStr">
        <is>
          <t/>
        </is>
      </c>
      <c r="CD118" s="220" t="inlineStr">
        <is>
          <t/>
        </is>
      </c>
      <c r="CE118" s="221" t="inlineStr">
        <is>
          <t/>
        </is>
      </c>
      <c r="CF118" s="222" t="inlineStr">
        <is>
          <t>Completed</t>
        </is>
      </c>
      <c r="CG118" s="223" t="inlineStr">
        <is>
          <t>-0,44%</t>
        </is>
      </c>
      <c r="CH118" s="224" t="inlineStr">
        <is>
          <t>9</t>
        </is>
      </c>
      <c r="CI118" s="225" t="inlineStr">
        <is>
          <t>0,00%</t>
        </is>
      </c>
      <c r="CJ118" s="226" t="inlineStr">
        <is>
          <t>0,03%</t>
        </is>
      </c>
      <c r="CK118" s="227" t="inlineStr">
        <is>
          <t>-0,98%</t>
        </is>
      </c>
      <c r="CL118" s="228" t="inlineStr">
        <is>
          <t>9</t>
        </is>
      </c>
      <c r="CM118" s="229" t="inlineStr">
        <is>
          <t>0,10%</t>
        </is>
      </c>
      <c r="CN118" s="230" t="inlineStr">
        <is>
          <t>60</t>
        </is>
      </c>
      <c r="CO118" s="231" t="inlineStr">
        <is>
          <t>-1,96%</t>
        </is>
      </c>
      <c r="CP118" s="232" t="inlineStr">
        <is>
          <t>16</t>
        </is>
      </c>
      <c r="CQ118" s="233" t="inlineStr">
        <is>
          <t>0,00%</t>
        </is>
      </c>
      <c r="CR118" s="234" t="inlineStr">
        <is>
          <t>13</t>
        </is>
      </c>
      <c r="CS118" s="235" t="inlineStr">
        <is>
          <t>0,18%</t>
        </is>
      </c>
      <c r="CT118" s="236" t="inlineStr">
        <is>
          <t>68</t>
        </is>
      </c>
      <c r="CU118" s="237" t="inlineStr">
        <is>
          <t>0,01%</t>
        </is>
      </c>
      <c r="CV118" s="238" t="inlineStr">
        <is>
          <t>56</t>
        </is>
      </c>
      <c r="CW118" s="239" t="inlineStr">
        <is>
          <t>11,53x</t>
        </is>
      </c>
      <c r="CX118" s="240" t="inlineStr">
        <is>
          <t>88</t>
        </is>
      </c>
      <c r="CY118" s="241" t="inlineStr">
        <is>
          <t>0,20x</t>
        </is>
      </c>
      <c r="CZ118" s="242" t="inlineStr">
        <is>
          <t>1,73%</t>
        </is>
      </c>
      <c r="DA118" s="243" t="inlineStr">
        <is>
          <t>3,92x</t>
        </is>
      </c>
      <c r="DB118" s="244" t="inlineStr">
        <is>
          <t>77</t>
        </is>
      </c>
      <c r="DC118" s="245" t="inlineStr">
        <is>
          <t>19,14x</t>
        </is>
      </c>
      <c r="DD118" s="246" t="inlineStr">
        <is>
          <t>89</t>
        </is>
      </c>
      <c r="DE118" s="247" t="inlineStr">
        <is>
          <t>7,40x</t>
        </is>
      </c>
      <c r="DF118" s="248" t="inlineStr">
        <is>
          <t>81</t>
        </is>
      </c>
      <c r="DG118" s="249" t="inlineStr">
        <is>
          <t>0,44x</t>
        </is>
      </c>
      <c r="DH118" s="250" t="inlineStr">
        <is>
          <t>34</t>
        </is>
      </c>
      <c r="DI118" s="251" t="inlineStr">
        <is>
          <t>0,52x</t>
        </is>
      </c>
      <c r="DJ118" s="252" t="inlineStr">
        <is>
          <t>39</t>
        </is>
      </c>
      <c r="DK118" s="253" t="inlineStr">
        <is>
          <t>37,76x</t>
        </is>
      </c>
      <c r="DL118" s="254" t="inlineStr">
        <is>
          <t>95</t>
        </is>
      </c>
      <c r="DM118" s="255" t="inlineStr">
        <is>
          <t>4.449</t>
        </is>
      </c>
      <c r="DN118" s="256" t="inlineStr">
        <is>
          <t>300</t>
        </is>
      </c>
      <c r="DO118" s="257" t="inlineStr">
        <is>
          <t>7,23%</t>
        </is>
      </c>
      <c r="DP118" s="258" t="inlineStr">
        <is>
          <t>413</t>
        </is>
      </c>
      <c r="DQ118" s="259" t="inlineStr">
        <is>
          <t>1</t>
        </is>
      </c>
      <c r="DR118" s="260" t="inlineStr">
        <is>
          <t>0,24%</t>
        </is>
      </c>
      <c r="DS118" s="261" t="inlineStr">
        <is>
          <t>16</t>
        </is>
      </c>
      <c r="DT118" s="262" t="inlineStr">
        <is>
          <t>0</t>
        </is>
      </c>
      <c r="DU118" s="263" t="inlineStr">
        <is>
          <t>0,00%</t>
        </is>
      </c>
      <c r="DV118" s="264" t="inlineStr">
        <is>
          <t>12.949</t>
        </is>
      </c>
      <c r="DW118" s="265" t="inlineStr">
        <is>
          <t>-3</t>
        </is>
      </c>
      <c r="DX118" s="266" t="inlineStr">
        <is>
          <t>-0,02%</t>
        </is>
      </c>
      <c r="DY118" s="267" t="inlineStr">
        <is>
          <t>PitchBook Research</t>
        </is>
      </c>
      <c r="DZ118" s="786">
        <f>HYPERLINK("https://my.pitchbook.com?c=108421-12", "View company online")</f>
      </c>
    </row>
    <row r="119">
      <c r="A119" s="9" t="inlineStr">
        <is>
          <t>100184-23</t>
        </is>
      </c>
      <c r="B119" s="10" t="inlineStr">
        <is>
          <t>Compte Nickel</t>
        </is>
      </c>
      <c r="C119" s="11" t="inlineStr">
        <is>
          <t/>
        </is>
      </c>
      <c r="D119" s="12" t="inlineStr">
        <is>
          <t/>
        </is>
      </c>
      <c r="E119" s="13" t="inlineStr">
        <is>
          <t>100184-23</t>
        </is>
      </c>
      <c r="F119" s="14" t="inlineStr">
        <is>
          <t>Provider of electronic payment management services. The company's electronic payment management services allow people to have an account, a bank account statement and a MasterCard payment card to register their income, make transfers and withdrawals as well as make payments on all secure online commerce sites enabling users make financial transactions easily and use their money as simply and economically as possible.</t>
        </is>
      </c>
      <c r="G119" s="15" t="inlineStr">
        <is>
          <t>Financial Services</t>
        </is>
      </c>
      <c r="H119" s="16" t="inlineStr">
        <is>
          <t>Other Financial Services</t>
        </is>
      </c>
      <c r="I119" s="17" t="inlineStr">
        <is>
          <t>Consumer Finance</t>
        </is>
      </c>
      <c r="J119" s="18" t="inlineStr">
        <is>
          <t>Consumer Finance*; Other Financial Services; Financial Software</t>
        </is>
      </c>
      <c r="K119" s="19" t="inlineStr">
        <is>
          <t>FinTech</t>
        </is>
      </c>
      <c r="L119" s="20" t="inlineStr">
        <is>
          <t>Venture Capital-Backed</t>
        </is>
      </c>
      <c r="M119" s="21" t="n">
        <v>10.2</v>
      </c>
      <c r="N119" s="22" t="inlineStr">
        <is>
          <t>Generating Revenue</t>
        </is>
      </c>
      <c r="O119" s="23" t="inlineStr">
        <is>
          <t>Privately Held (backing)</t>
        </is>
      </c>
      <c r="P119" s="24" t="inlineStr">
        <is>
          <t>Venture Capital, M&amp;A</t>
        </is>
      </c>
      <c r="Q119" s="25" t="inlineStr">
        <is>
          <t>www.compte-nickel.fr</t>
        </is>
      </c>
      <c r="R119" s="26" t="n">
        <v>130.0</v>
      </c>
      <c r="S119" s="27" t="inlineStr">
        <is>
          <t/>
        </is>
      </c>
      <c r="T119" s="28" t="inlineStr">
        <is>
          <t/>
        </is>
      </c>
      <c r="U119" s="29" t="n">
        <v>2012.0</v>
      </c>
      <c r="V119" s="30" t="inlineStr">
        <is>
          <t/>
        </is>
      </c>
      <c r="W119" s="31" t="inlineStr">
        <is>
          <t/>
        </is>
      </c>
      <c r="X119" s="32" t="inlineStr">
        <is>
          <t/>
        </is>
      </c>
      <c r="Y119" s="33" t="n">
        <v>40.00091</v>
      </c>
      <c r="Z119" s="34" t="inlineStr">
        <is>
          <t/>
        </is>
      </c>
      <c r="AA119" s="35" t="inlineStr">
        <is>
          <t/>
        </is>
      </c>
      <c r="AB119" s="36" t="inlineStr">
        <is>
          <t/>
        </is>
      </c>
      <c r="AC119" s="37" t="inlineStr">
        <is>
          <t/>
        </is>
      </c>
      <c r="AD119" s="38" t="inlineStr">
        <is>
          <t>FY 2017</t>
        </is>
      </c>
      <c r="AE119" s="39" t="inlineStr">
        <is>
          <t>86813-65P</t>
        </is>
      </c>
      <c r="AF119" s="40" t="inlineStr">
        <is>
          <t>Michel Calmo</t>
        </is>
      </c>
      <c r="AG119" s="41" t="inlineStr">
        <is>
          <t>Co-Founder &amp; Director General</t>
        </is>
      </c>
      <c r="AH119" s="42" t="inlineStr">
        <is>
          <t>michel.calmo@compte-nickel.fr</t>
        </is>
      </c>
      <c r="AI119" s="43" t="inlineStr">
        <is>
          <t/>
        </is>
      </c>
      <c r="AJ119" s="44" t="inlineStr">
        <is>
          <t>Charenton-Le-Pont, France</t>
        </is>
      </c>
      <c r="AK119" s="45" t="inlineStr">
        <is>
          <t>18 avenue Winston Churchill</t>
        </is>
      </c>
      <c r="AL119" s="46" t="inlineStr">
        <is>
          <t/>
        </is>
      </c>
      <c r="AM119" s="47" t="inlineStr">
        <is>
          <t>Charenton-Le-Pont</t>
        </is>
      </c>
      <c r="AN119" s="48" t="inlineStr">
        <is>
          <t/>
        </is>
      </c>
      <c r="AO119" s="49" t="inlineStr">
        <is>
          <t>94220</t>
        </is>
      </c>
      <c r="AP119" s="50" t="inlineStr">
        <is>
          <t>France</t>
        </is>
      </c>
      <c r="AQ119" s="51" t="inlineStr">
        <is>
          <t/>
        </is>
      </c>
      <c r="AR119" s="52" t="inlineStr">
        <is>
          <t/>
        </is>
      </c>
      <c r="AS119" s="53" t="inlineStr">
        <is>
          <t/>
        </is>
      </c>
      <c r="AT119" s="54" t="inlineStr">
        <is>
          <t>Europe</t>
        </is>
      </c>
      <c r="AU119" s="55" t="inlineStr">
        <is>
          <t>Western Europe</t>
        </is>
      </c>
      <c r="AV119" s="56" t="inlineStr">
        <is>
          <t>The company reached a definitive agreement to be acquired by BNP Paribas (NYSE: BNP) for EUR 200 million on April 4, 2017. Previously, it raised an undisclosed amount of venture funding from Eight Roads Ventures in 2016. The company is being actively tracked by PitchBook.</t>
        </is>
      </c>
      <c r="AW119" s="57" t="inlineStr">
        <is>
          <t>Eight Roads Ventures, Financial Idac, HGDLMA Holding, Hugues Le Bret, La Confédération National des Buralistes de France, Partech Ventures, Ryad Boulanouar</t>
        </is>
      </c>
      <c r="AX119" s="58" t="n">
        <v>7.0</v>
      </c>
      <c r="AY119" s="59" t="inlineStr">
        <is>
          <t/>
        </is>
      </c>
      <c r="AZ119" s="60" t="inlineStr">
        <is>
          <t/>
        </is>
      </c>
      <c r="BA119" s="61" t="inlineStr">
        <is>
          <t>BNP Paribas</t>
        </is>
      </c>
      <c r="BB119" s="62" t="inlineStr">
        <is>
          <t>Eight Roads Ventures (www.eightroads.com), La Confédération National des Buralistes de France (www.buralistes.fr), Partech Ventures (www.partechventures.com)</t>
        </is>
      </c>
      <c r="BC119" s="63" t="inlineStr">
        <is>
          <t/>
        </is>
      </c>
      <c r="BD119" s="64" t="inlineStr">
        <is>
          <t/>
        </is>
      </c>
      <c r="BE119" s="65" t="inlineStr">
        <is>
          <t/>
        </is>
      </c>
      <c r="BF119" s="66" t="inlineStr">
        <is>
          <t>Allen &amp; Overy (Legal Advisor)</t>
        </is>
      </c>
      <c r="BG119" s="67" t="n">
        <v>41563.0</v>
      </c>
      <c r="BH119" s="68" t="inlineStr">
        <is>
          <t/>
        </is>
      </c>
      <c r="BI119" s="69" t="inlineStr">
        <is>
          <t/>
        </is>
      </c>
      <c r="BJ119" s="70" t="inlineStr">
        <is>
          <t/>
        </is>
      </c>
      <c r="BK119" s="71" t="inlineStr">
        <is>
          <t/>
        </is>
      </c>
      <c r="BL119" s="72" t="inlineStr">
        <is>
          <t>Corporate</t>
        </is>
      </c>
      <c r="BM119" s="73" t="inlineStr">
        <is>
          <t>Corporate</t>
        </is>
      </c>
      <c r="BN119" s="74" t="inlineStr">
        <is>
          <t/>
        </is>
      </c>
      <c r="BO119" s="75" t="inlineStr">
        <is>
          <t>Corporate</t>
        </is>
      </c>
      <c r="BP119" s="76" t="inlineStr">
        <is>
          <t/>
        </is>
      </c>
      <c r="BQ119" s="77" t="inlineStr">
        <is>
          <t/>
        </is>
      </c>
      <c r="BR119" s="78" t="inlineStr">
        <is>
          <t/>
        </is>
      </c>
      <c r="BS119" s="79" t="inlineStr">
        <is>
          <t>Completed</t>
        </is>
      </c>
      <c r="BT119" s="80" t="n">
        <v>42829.0</v>
      </c>
      <c r="BU119" s="81" t="n">
        <v>200.0</v>
      </c>
      <c r="BV119" s="82" t="inlineStr">
        <is>
          <t>Estimated</t>
        </is>
      </c>
      <c r="BW119" s="83" t="n">
        <v>210.53</v>
      </c>
      <c r="BX119" s="84" t="inlineStr">
        <is>
          <t>Estimated</t>
        </is>
      </c>
      <c r="BY119" s="85" t="inlineStr">
        <is>
          <t>Merger/Acquisition</t>
        </is>
      </c>
      <c r="BZ119" s="86" t="inlineStr">
        <is>
          <t/>
        </is>
      </c>
      <c r="CA119" s="87" t="inlineStr">
        <is>
          <t/>
        </is>
      </c>
      <c r="CB119" s="88" t="inlineStr">
        <is>
          <t>Corporate</t>
        </is>
      </c>
      <c r="CC119" s="89" t="inlineStr">
        <is>
          <t/>
        </is>
      </c>
      <c r="CD119" s="90" t="inlineStr">
        <is>
          <t/>
        </is>
      </c>
      <c r="CE119" s="91" t="inlineStr">
        <is>
          <t/>
        </is>
      </c>
      <c r="CF119" s="92" t="inlineStr">
        <is>
          <t>Announced/In Progress</t>
        </is>
      </c>
      <c r="CG119" s="93" t="inlineStr">
        <is>
          <t>0,78%</t>
        </is>
      </c>
      <c r="CH119" s="94" t="inlineStr">
        <is>
          <t>87</t>
        </is>
      </c>
      <c r="CI119" s="95" t="inlineStr">
        <is>
          <t>0,01%</t>
        </is>
      </c>
      <c r="CJ119" s="96" t="inlineStr">
        <is>
          <t>1,78%</t>
        </is>
      </c>
      <c r="CK119" s="97" t="inlineStr">
        <is>
          <t>1,09%</t>
        </is>
      </c>
      <c r="CL119" s="98" t="inlineStr">
        <is>
          <t>87</t>
        </is>
      </c>
      <c r="CM119" s="99" t="inlineStr">
        <is>
          <t>0,47%</t>
        </is>
      </c>
      <c r="CN119" s="100" t="inlineStr">
        <is>
          <t>89</t>
        </is>
      </c>
      <c r="CO119" s="101" t="inlineStr">
        <is>
          <t>1,09%</t>
        </is>
      </c>
      <c r="CP119" s="102" t="inlineStr">
        <is>
          <t>85</t>
        </is>
      </c>
      <c r="CQ119" s="103" t="inlineStr">
        <is>
          <t/>
        </is>
      </c>
      <c r="CR119" s="104" t="inlineStr">
        <is>
          <t/>
        </is>
      </c>
      <c r="CS119" s="105" t="inlineStr">
        <is>
          <t>0,59%</t>
        </is>
      </c>
      <c r="CT119" s="106" t="inlineStr">
        <is>
          <t>89</t>
        </is>
      </c>
      <c r="CU119" s="107" t="inlineStr">
        <is>
          <t>0,35%</t>
        </is>
      </c>
      <c r="CV119" s="108" t="inlineStr">
        <is>
          <t>87</t>
        </is>
      </c>
      <c r="CW119" s="109" t="inlineStr">
        <is>
          <t>92,81x</t>
        </is>
      </c>
      <c r="CX119" s="110" t="inlineStr">
        <is>
          <t>97</t>
        </is>
      </c>
      <c r="CY119" s="111" t="inlineStr">
        <is>
          <t>0,45x</t>
        </is>
      </c>
      <c r="CZ119" s="112" t="inlineStr">
        <is>
          <t>0,49%</t>
        </is>
      </c>
      <c r="DA119" s="113" t="inlineStr">
        <is>
          <t>153,18x</t>
        </is>
      </c>
      <c r="DB119" s="114" t="inlineStr">
        <is>
          <t>99</t>
        </is>
      </c>
      <c r="DC119" s="115" t="inlineStr">
        <is>
          <t>32,45x</t>
        </is>
      </c>
      <c r="DD119" s="116" t="inlineStr">
        <is>
          <t>93</t>
        </is>
      </c>
      <c r="DE119" s="117" t="inlineStr">
        <is>
          <t>153,18x</t>
        </is>
      </c>
      <c r="DF119" s="118" t="inlineStr">
        <is>
          <t>97</t>
        </is>
      </c>
      <c r="DG119" s="119" t="inlineStr">
        <is>
          <t/>
        </is>
      </c>
      <c r="DH119" s="120" t="inlineStr">
        <is>
          <t/>
        </is>
      </c>
      <c r="DI119" s="121" t="inlineStr">
        <is>
          <t>54,80x</t>
        </is>
      </c>
      <c r="DJ119" s="122" t="inlineStr">
        <is>
          <t>93</t>
        </is>
      </c>
      <c r="DK119" s="123" t="inlineStr">
        <is>
          <t>10,09x</t>
        </is>
      </c>
      <c r="DL119" s="124" t="inlineStr">
        <is>
          <t>86</t>
        </is>
      </c>
      <c r="DM119" s="125" t="inlineStr">
        <is>
          <t>93.641</t>
        </is>
      </c>
      <c r="DN119" s="126" t="inlineStr">
        <is>
          <t>1.699</t>
        </is>
      </c>
      <c r="DO119" s="127" t="inlineStr">
        <is>
          <t>1,85%</t>
        </is>
      </c>
      <c r="DP119" s="128" t="inlineStr">
        <is>
          <t>43.652</t>
        </is>
      </c>
      <c r="DQ119" s="129" t="inlineStr">
        <is>
          <t>282</t>
        </is>
      </c>
      <c r="DR119" s="130" t="inlineStr">
        <is>
          <t>0,65%</t>
        </is>
      </c>
      <c r="DS119" s="131" t="inlineStr">
        <is>
          <t/>
        </is>
      </c>
      <c r="DT119" s="132" t="inlineStr">
        <is>
          <t/>
        </is>
      </c>
      <c r="DU119" s="133" t="inlineStr">
        <is>
          <t/>
        </is>
      </c>
      <c r="DV119" s="134" t="inlineStr">
        <is>
          <t>3.451</t>
        </is>
      </c>
      <c r="DW119" s="135" t="inlineStr">
        <is>
          <t>16</t>
        </is>
      </c>
      <c r="DX119" s="136" t="inlineStr">
        <is>
          <t>0,47%</t>
        </is>
      </c>
      <c r="DY119" s="137" t="inlineStr">
        <is>
          <t>PitchBook Research</t>
        </is>
      </c>
      <c r="DZ119" s="785">
        <f>HYPERLINK("https://my.pitchbook.com?c=100184-23", "View company online")</f>
      </c>
    </row>
    <row r="120">
      <c r="A120" s="139" t="inlineStr">
        <is>
          <t>157534-30</t>
        </is>
      </c>
      <c r="B120" s="140" t="inlineStr">
        <is>
          <t>Comtravo</t>
        </is>
      </c>
      <c r="C120" s="141" t="inlineStr">
        <is>
          <t/>
        </is>
      </c>
      <c r="D120" s="142" t="inlineStr">
        <is>
          <t/>
        </is>
      </c>
      <c r="E120" s="143" t="inlineStr">
        <is>
          <t>157534-30</t>
        </is>
      </c>
      <c r="F120" s="144" t="inlineStr">
        <is>
          <t>Provider of an online travel platform for small and medium-sized companies. The company provides an innovative technology that enables small and medium-sized enterprises to book business trips via business-chat, SMS and social networking sites.</t>
        </is>
      </c>
      <c r="G120" s="145" t="inlineStr">
        <is>
          <t>Information Technology</t>
        </is>
      </c>
      <c r="H120" s="146" t="inlineStr">
        <is>
          <t>Software</t>
        </is>
      </c>
      <c r="I120" s="147" t="inlineStr">
        <is>
          <t>Application Software</t>
        </is>
      </c>
      <c r="J120" s="148" t="inlineStr">
        <is>
          <t>Application Software*; Social/Platform Software</t>
        </is>
      </c>
      <c r="K120" s="149" t="inlineStr">
        <is>
          <t>Mobile</t>
        </is>
      </c>
      <c r="L120" s="150" t="inlineStr">
        <is>
          <t>Venture Capital-Backed</t>
        </is>
      </c>
      <c r="M120" s="151" t="n">
        <v>8.5</v>
      </c>
      <c r="N120" s="152" t="inlineStr">
        <is>
          <t>Startup</t>
        </is>
      </c>
      <c r="O120" s="153" t="inlineStr">
        <is>
          <t>Privately Held (backing)</t>
        </is>
      </c>
      <c r="P120" s="154" t="inlineStr">
        <is>
          <t>Venture Capital</t>
        </is>
      </c>
      <c r="Q120" s="155" t="inlineStr">
        <is>
          <t>www.comtravo.com</t>
        </is>
      </c>
      <c r="R120" s="156" t="n">
        <v>13.0</v>
      </c>
      <c r="S120" s="157" t="inlineStr">
        <is>
          <t/>
        </is>
      </c>
      <c r="T120" s="158" t="inlineStr">
        <is>
          <t/>
        </is>
      </c>
      <c r="U120" s="159" t="n">
        <v>2015.0</v>
      </c>
      <c r="V120" s="160" t="inlineStr">
        <is>
          <t/>
        </is>
      </c>
      <c r="W120" s="161" t="inlineStr">
        <is>
          <t/>
        </is>
      </c>
      <c r="X120" s="162" t="inlineStr">
        <is>
          <t/>
        </is>
      </c>
      <c r="Y120" s="163" t="inlineStr">
        <is>
          <t/>
        </is>
      </c>
      <c r="Z120" s="164" t="inlineStr">
        <is>
          <t/>
        </is>
      </c>
      <c r="AA120" s="165" t="inlineStr">
        <is>
          <t/>
        </is>
      </c>
      <c r="AB120" s="166" t="inlineStr">
        <is>
          <t/>
        </is>
      </c>
      <c r="AC120" s="167" t="inlineStr">
        <is>
          <t/>
        </is>
      </c>
      <c r="AD120" s="168" t="inlineStr">
        <is>
          <t/>
        </is>
      </c>
      <c r="AE120" s="169" t="inlineStr">
        <is>
          <t>134189-20P</t>
        </is>
      </c>
      <c r="AF120" s="170" t="inlineStr">
        <is>
          <t>Jannik Neumann</t>
        </is>
      </c>
      <c r="AG120" s="171" t="inlineStr">
        <is>
          <t>Co-Founder &amp; Chief Operating Officer</t>
        </is>
      </c>
      <c r="AH120" s="172" t="inlineStr">
        <is>
          <t>jannik.neumann@comtravo.com</t>
        </is>
      </c>
      <c r="AI120" s="173" t="inlineStr">
        <is>
          <t>+49 (0)30 2393 3698</t>
        </is>
      </c>
      <c r="AJ120" s="174" t="inlineStr">
        <is>
          <t>Berlin, Germany</t>
        </is>
      </c>
      <c r="AK120" s="175" t="inlineStr">
        <is>
          <t>Köpenicker Street 126</t>
        </is>
      </c>
      <c r="AL120" s="176" t="inlineStr">
        <is>
          <t/>
        </is>
      </c>
      <c r="AM120" s="177" t="inlineStr">
        <is>
          <t>Berlin</t>
        </is>
      </c>
      <c r="AN120" s="178" t="inlineStr">
        <is>
          <t/>
        </is>
      </c>
      <c r="AO120" s="179" t="inlineStr">
        <is>
          <t>10179</t>
        </is>
      </c>
      <c r="AP120" s="180" t="inlineStr">
        <is>
          <t>Germany</t>
        </is>
      </c>
      <c r="AQ120" s="181" t="inlineStr">
        <is>
          <t>+49 (0)30 2393 3698</t>
        </is>
      </c>
      <c r="AR120" s="182" t="inlineStr">
        <is>
          <t/>
        </is>
      </c>
      <c r="AS120" s="183" t="inlineStr">
        <is>
          <t>info@comtravo.com</t>
        </is>
      </c>
      <c r="AT120" s="184" t="inlineStr">
        <is>
          <t>Europe</t>
        </is>
      </c>
      <c r="AU120" s="185" t="inlineStr">
        <is>
          <t>Western Europe</t>
        </is>
      </c>
      <c r="AV120" s="186" t="inlineStr">
        <is>
          <t>The company raised EUR 8.5 million of Series A venture funding from lead investors Creandum and Project A Ventures on June 6, 2017. Monkfish Equity, btov Partners, Richmond View Ventures and Howzat Partners also participated in this round. The company intends to use the funds to further develop the platform, expand internationally and speeding up product development.</t>
        </is>
      </c>
      <c r="AW120" s="187" t="inlineStr">
        <is>
          <t>btov Partners, Creandum, HOWZAT Partners, Monkfish Equity, Project A Ventures, Richmond View Ventures</t>
        </is>
      </c>
      <c r="AX120" s="188" t="n">
        <v>6.0</v>
      </c>
      <c r="AY120" s="189" t="inlineStr">
        <is>
          <t/>
        </is>
      </c>
      <c r="AZ120" s="190" t="inlineStr">
        <is>
          <t/>
        </is>
      </c>
      <c r="BA120" s="191" t="inlineStr">
        <is>
          <t/>
        </is>
      </c>
      <c r="BB120" s="192" t="inlineStr">
        <is>
          <t>btov Partners (www.btov.vc), Creandum (www.creandum.com), HOWZAT Partners (www.howzatpartners.com), Monkfish Equity (www.monkfish-equity.com), Project A Ventures (www.project-a.com/en), Richmond View Ventures (www.rvv.tv)</t>
        </is>
      </c>
      <c r="BC120" s="193" t="inlineStr">
        <is>
          <t/>
        </is>
      </c>
      <c r="BD120" s="194" t="inlineStr">
        <is>
          <t/>
        </is>
      </c>
      <c r="BE120" s="195" t="inlineStr">
        <is>
          <t/>
        </is>
      </c>
      <c r="BF120" s="196" t="inlineStr">
        <is>
          <t/>
        </is>
      </c>
      <c r="BG120" s="197" t="n">
        <v>42892.0</v>
      </c>
      <c r="BH120" s="198" t="n">
        <v>8.5</v>
      </c>
      <c r="BI120" s="199" t="inlineStr">
        <is>
          <t>Actual</t>
        </is>
      </c>
      <c r="BJ120" s="200" t="inlineStr">
        <is>
          <t/>
        </is>
      </c>
      <c r="BK120" s="201" t="inlineStr">
        <is>
          <t/>
        </is>
      </c>
      <c r="BL120" s="202" t="inlineStr">
        <is>
          <t>Early Stage VC</t>
        </is>
      </c>
      <c r="BM120" s="203" t="inlineStr">
        <is>
          <t>Series A</t>
        </is>
      </c>
      <c r="BN120" s="204" t="inlineStr">
        <is>
          <t/>
        </is>
      </c>
      <c r="BO120" s="205" t="inlineStr">
        <is>
          <t>Venture Capital</t>
        </is>
      </c>
      <c r="BP120" s="206" t="inlineStr">
        <is>
          <t/>
        </is>
      </c>
      <c r="BQ120" s="207" t="inlineStr">
        <is>
          <t/>
        </is>
      </c>
      <c r="BR120" s="208" t="inlineStr">
        <is>
          <t/>
        </is>
      </c>
      <c r="BS120" s="209" t="inlineStr">
        <is>
          <t>Completed</t>
        </is>
      </c>
      <c r="BT120" s="210" t="n">
        <v>42892.0</v>
      </c>
      <c r="BU120" s="211" t="n">
        <v>8.5</v>
      </c>
      <c r="BV120" s="212" t="inlineStr">
        <is>
          <t>Actual</t>
        </is>
      </c>
      <c r="BW120" s="213" t="inlineStr">
        <is>
          <t/>
        </is>
      </c>
      <c r="BX120" s="214" t="inlineStr">
        <is>
          <t/>
        </is>
      </c>
      <c r="BY120" s="215" t="inlineStr">
        <is>
          <t>Early Stage VC</t>
        </is>
      </c>
      <c r="BZ120" s="216" t="inlineStr">
        <is>
          <t>Series A</t>
        </is>
      </c>
      <c r="CA120" s="217" t="inlineStr">
        <is>
          <t/>
        </is>
      </c>
      <c r="CB120" s="218" t="inlineStr">
        <is>
          <t>Venture Capital</t>
        </is>
      </c>
      <c r="CC120" s="219" t="inlineStr">
        <is>
          <t/>
        </is>
      </c>
      <c r="CD120" s="220" t="inlineStr">
        <is>
          <t/>
        </is>
      </c>
      <c r="CE120" s="221" t="inlineStr">
        <is>
          <t/>
        </is>
      </c>
      <c r="CF120" s="222" t="inlineStr">
        <is>
          <t>Completed</t>
        </is>
      </c>
      <c r="CG120" s="223" t="inlineStr">
        <is>
          <t>0,41%</t>
        </is>
      </c>
      <c r="CH120" s="224" t="inlineStr">
        <is>
          <t>83</t>
        </is>
      </c>
      <c r="CI120" s="225" t="inlineStr">
        <is>
          <t>0,00%</t>
        </is>
      </c>
      <c r="CJ120" s="226" t="inlineStr">
        <is>
          <t>0,00%</t>
        </is>
      </c>
      <c r="CK120" s="227" t="inlineStr">
        <is>
          <t>0,41%</t>
        </is>
      </c>
      <c r="CL120" s="228" t="inlineStr">
        <is>
          <t>83</t>
        </is>
      </c>
      <c r="CM120" s="229" t="inlineStr">
        <is>
          <t/>
        </is>
      </c>
      <c r="CN120" s="230" t="inlineStr">
        <is>
          <t/>
        </is>
      </c>
      <c r="CO120" s="231" t="inlineStr">
        <is>
          <t>0,82%</t>
        </is>
      </c>
      <c r="CP120" s="232" t="inlineStr">
        <is>
          <t>84</t>
        </is>
      </c>
      <c r="CQ120" s="233" t="inlineStr">
        <is>
          <t>0,00%</t>
        </is>
      </c>
      <c r="CR120" s="234" t="inlineStr">
        <is>
          <t>13</t>
        </is>
      </c>
      <c r="CS120" s="235" t="inlineStr">
        <is>
          <t/>
        </is>
      </c>
      <c r="CT120" s="236" t="inlineStr">
        <is>
          <t/>
        </is>
      </c>
      <c r="CU120" s="237" t="inlineStr">
        <is>
          <t/>
        </is>
      </c>
      <c r="CV120" s="238" t="inlineStr">
        <is>
          <t/>
        </is>
      </c>
      <c r="CW120" s="239" t="inlineStr">
        <is>
          <t>1,97x</t>
        </is>
      </c>
      <c r="CX120" s="240" t="inlineStr">
        <is>
          <t>64</t>
        </is>
      </c>
      <c r="CY120" s="241" t="inlineStr">
        <is>
          <t>0,04x</t>
        </is>
      </c>
      <c r="CZ120" s="242" t="inlineStr">
        <is>
          <t>2,05%</t>
        </is>
      </c>
      <c r="DA120" s="243" t="inlineStr">
        <is>
          <t>1,97x</t>
        </is>
      </c>
      <c r="DB120" s="244" t="inlineStr">
        <is>
          <t>66</t>
        </is>
      </c>
      <c r="DC120" s="245" t="inlineStr">
        <is>
          <t/>
        </is>
      </c>
      <c r="DD120" s="246" t="inlineStr">
        <is>
          <t/>
        </is>
      </c>
      <c r="DE120" s="247" t="inlineStr">
        <is>
          <t>2,02x</t>
        </is>
      </c>
      <c r="DF120" s="248" t="inlineStr">
        <is>
          <t>64</t>
        </is>
      </c>
      <c r="DG120" s="249" t="inlineStr">
        <is>
          <t>1,92x</t>
        </is>
      </c>
      <c r="DH120" s="250" t="inlineStr">
        <is>
          <t>63</t>
        </is>
      </c>
      <c r="DI120" s="251" t="inlineStr">
        <is>
          <t/>
        </is>
      </c>
      <c r="DJ120" s="252" t="inlineStr">
        <is>
          <t/>
        </is>
      </c>
      <c r="DK120" s="253" t="inlineStr">
        <is>
          <t/>
        </is>
      </c>
      <c r="DL120" s="254" t="inlineStr">
        <is>
          <t/>
        </is>
      </c>
      <c r="DM120" s="255" t="inlineStr">
        <is>
          <t>1.359</t>
        </is>
      </c>
      <c r="DN120" s="256" t="inlineStr">
        <is>
          <t>-358</t>
        </is>
      </c>
      <c r="DO120" s="257" t="inlineStr">
        <is>
          <t>-20,85%</t>
        </is>
      </c>
      <c r="DP120" s="258" t="inlineStr">
        <is>
          <t/>
        </is>
      </c>
      <c r="DQ120" s="259" t="inlineStr">
        <is>
          <t/>
        </is>
      </c>
      <c r="DR120" s="260" t="inlineStr">
        <is>
          <t/>
        </is>
      </c>
      <c r="DS120" s="261" t="inlineStr">
        <is>
          <t>68</t>
        </is>
      </c>
      <c r="DT120" s="262" t="inlineStr">
        <is>
          <t>2</t>
        </is>
      </c>
      <c r="DU120" s="263" t="inlineStr">
        <is>
          <t>3,03%</t>
        </is>
      </c>
      <c r="DV120" s="264" t="inlineStr">
        <is>
          <t/>
        </is>
      </c>
      <c r="DW120" s="265" t="inlineStr">
        <is>
          <t/>
        </is>
      </c>
      <c r="DX120" s="266" t="inlineStr">
        <is>
          <t/>
        </is>
      </c>
      <c r="DY120" s="267" t="inlineStr">
        <is>
          <t>PitchBook Research</t>
        </is>
      </c>
      <c r="DZ120" s="786">
        <f>HYPERLINK("https://my.pitchbook.com?c=157534-30", "View company online")</f>
      </c>
    </row>
    <row r="121">
      <c r="A121" s="9" t="inlineStr">
        <is>
          <t>124261-84</t>
        </is>
      </c>
      <c r="B121" s="10" t="inlineStr">
        <is>
          <t>Confo Therapeutics</t>
        </is>
      </c>
      <c r="C121" s="11" t="inlineStr">
        <is>
          <t/>
        </is>
      </c>
      <c r="D121" s="12" t="inlineStr">
        <is>
          <t>Confo</t>
        </is>
      </c>
      <c r="E121" s="13" t="inlineStr">
        <is>
          <t>124261-84</t>
        </is>
      </c>
      <c r="F121" s="14" t="inlineStr">
        <is>
          <t>Developer of a drug discovery technology designed to address unmet medical need. The company's drug discovery technology utilizes pipeline of GPCR targeted therapeutics and antibody fragments, known as Confobodies, to lock inherently unstable functional conformation, enabling physicians to be empowered with novel agonists for better therapeutic intervention.</t>
        </is>
      </c>
      <c r="G121" s="15" t="inlineStr">
        <is>
          <t>Healthcare</t>
        </is>
      </c>
      <c r="H121" s="16" t="inlineStr">
        <is>
          <t>Pharmaceuticals and Biotechnology</t>
        </is>
      </c>
      <c r="I121" s="17" t="inlineStr">
        <is>
          <t>Biotechnology</t>
        </is>
      </c>
      <c r="J121" s="18" t="inlineStr">
        <is>
          <t>Biotechnology*; Drug Discovery</t>
        </is>
      </c>
      <c r="K121" s="19" t="inlineStr">
        <is>
          <t>Life Sciences</t>
        </is>
      </c>
      <c r="L121" s="20" t="inlineStr">
        <is>
          <t>Venture Capital-Backed</t>
        </is>
      </c>
      <c r="M121" s="21" t="n">
        <v>6.7</v>
      </c>
      <c r="N121" s="22" t="inlineStr">
        <is>
          <t>Startup</t>
        </is>
      </c>
      <c r="O121" s="23" t="inlineStr">
        <is>
          <t>Privately Held (backing)</t>
        </is>
      </c>
      <c r="P121" s="24" t="inlineStr">
        <is>
          <t>Venture Capital</t>
        </is>
      </c>
      <c r="Q121" s="25" t="inlineStr">
        <is>
          <t>www.confotherapeutics.com</t>
        </is>
      </c>
      <c r="R121" s="26" t="n">
        <v>6.0</v>
      </c>
      <c r="S121" s="27" t="inlineStr">
        <is>
          <t/>
        </is>
      </c>
      <c r="T121" s="28" t="inlineStr">
        <is>
          <t/>
        </is>
      </c>
      <c r="U121" s="29" t="n">
        <v>2015.0</v>
      </c>
      <c r="V121" s="30" t="inlineStr">
        <is>
          <t/>
        </is>
      </c>
      <c r="W121" s="31" t="inlineStr">
        <is>
          <t/>
        </is>
      </c>
      <c r="X121" s="32" t="inlineStr">
        <is>
          <t/>
        </is>
      </c>
      <c r="Y121" s="33" t="inlineStr">
        <is>
          <t/>
        </is>
      </c>
      <c r="Z121" s="34" t="inlineStr">
        <is>
          <t/>
        </is>
      </c>
      <c r="AA121" s="35" t="inlineStr">
        <is>
          <t/>
        </is>
      </c>
      <c r="AB121" s="36" t="inlineStr">
        <is>
          <t/>
        </is>
      </c>
      <c r="AC121" s="37" t="inlineStr">
        <is>
          <t/>
        </is>
      </c>
      <c r="AD121" s="38" t="inlineStr">
        <is>
          <t/>
        </is>
      </c>
      <c r="AE121" s="39" t="inlineStr">
        <is>
          <t>157255-75P</t>
        </is>
      </c>
      <c r="AF121" s="40" t="inlineStr">
        <is>
          <t>Cedric Ververken</t>
        </is>
      </c>
      <c r="AG121" s="41" t="inlineStr">
        <is>
          <t>Chief Executive Officer &amp; Board Member</t>
        </is>
      </c>
      <c r="AH121" s="42" t="inlineStr">
        <is>
          <t>cedric.ververken@confotherapeutics.com</t>
        </is>
      </c>
      <c r="AI121" s="43" t="inlineStr">
        <is>
          <t/>
        </is>
      </c>
      <c r="AJ121" s="44" t="inlineStr">
        <is>
          <t>Brussels, Belgium</t>
        </is>
      </c>
      <c r="AK121" s="45" t="inlineStr">
        <is>
          <t>Pleinlaan 2</t>
        </is>
      </c>
      <c r="AL121" s="46" t="inlineStr">
        <is>
          <t>Building E, 7th Floor, Room E7.6</t>
        </is>
      </c>
      <c r="AM121" s="47" t="inlineStr">
        <is>
          <t>Brussels</t>
        </is>
      </c>
      <c r="AN121" s="48" t="inlineStr">
        <is>
          <t/>
        </is>
      </c>
      <c r="AO121" s="49" t="inlineStr">
        <is>
          <t>1050</t>
        </is>
      </c>
      <c r="AP121" s="50" t="inlineStr">
        <is>
          <t>Belgium</t>
        </is>
      </c>
      <c r="AQ121" s="51" t="inlineStr">
        <is>
          <t/>
        </is>
      </c>
      <c r="AR121" s="52" t="inlineStr">
        <is>
          <t/>
        </is>
      </c>
      <c r="AS121" s="53" t="inlineStr">
        <is>
          <t>info@confotherapeutics.com</t>
        </is>
      </c>
      <c r="AT121" s="54" t="inlineStr">
        <is>
          <t>Europe</t>
        </is>
      </c>
      <c r="AU121" s="55" t="inlineStr">
        <is>
          <t>Western Europe</t>
        </is>
      </c>
      <c r="AV121" s="56" t="inlineStr">
        <is>
          <t>The company received EUR 2.27 million of grant from Vlaams Agentschap Innoveren en Ondernemen and The Brussels Institute for Research and Innovation on February 1, 2017. The company will use the funding in Drug Discovery Center in Gent, to discover new GPCR agonist compounds for the treatment of fibrosis. Previously, the company raised EUR 6.7 million of Series A seed funding from Capricorn Venture Partners, Participatiemaatschappij Vlaanderen and Michigan Investment in New Technology Startups in February 2016. V-Bio Ventures, VIB and Qbic Fund also participated in the round. The funding was used to develop innovative CONFO technology platform and initiate drug discovery programs.</t>
        </is>
      </c>
      <c r="AW121" s="57" t="inlineStr">
        <is>
          <t>Capricorn Venture Partners, Michigan Investment in New Technology Startups, ParticipatieMaatschappij Vlaanderen, Qbic Fund, The Brussels Institute for Research and Innovation, V-Bio Ventures, VIB, Vlaams Agentschap Innoveren en Ondernemen</t>
        </is>
      </c>
      <c r="AX121" s="58" t="n">
        <v>8.0</v>
      </c>
      <c r="AY121" s="59" t="inlineStr">
        <is>
          <t/>
        </is>
      </c>
      <c r="AZ121" s="60" t="inlineStr">
        <is>
          <t/>
        </is>
      </c>
      <c r="BA121" s="61" t="inlineStr">
        <is>
          <t/>
        </is>
      </c>
      <c r="BB121" s="62" t="inlineStr">
        <is>
          <t>Capricorn Venture Partners (www.capricorn.be), ParticipatieMaatschappij Vlaanderen (www.pmv.eu), Qbic Fund (www.qbic.be), The Brussels Institute for Research and Innovation (www.innoviris.be), VIB (www.vib.be), Vlaams Agentschap Innoveren en Ondernemen (www.vlaio.be)</t>
        </is>
      </c>
      <c r="BC121" s="63" t="inlineStr">
        <is>
          <t/>
        </is>
      </c>
      <c r="BD121" s="64" t="inlineStr">
        <is>
          <t/>
        </is>
      </c>
      <c r="BE121" s="65" t="inlineStr">
        <is>
          <t/>
        </is>
      </c>
      <c r="BF121" s="66" t="inlineStr">
        <is>
          <t/>
        </is>
      </c>
      <c r="BG121" s="67" t="n">
        <v>42401.0</v>
      </c>
      <c r="BH121" s="68" t="n">
        <v>6.7</v>
      </c>
      <c r="BI121" s="69" t="inlineStr">
        <is>
          <t>Actual</t>
        </is>
      </c>
      <c r="BJ121" s="70" t="inlineStr">
        <is>
          <t/>
        </is>
      </c>
      <c r="BK121" s="71" t="inlineStr">
        <is>
          <t/>
        </is>
      </c>
      <c r="BL121" s="72" t="inlineStr">
        <is>
          <t>Seed Round</t>
        </is>
      </c>
      <c r="BM121" s="73" t="inlineStr">
        <is>
          <t>Series A</t>
        </is>
      </c>
      <c r="BN121" s="74" t="inlineStr">
        <is>
          <t/>
        </is>
      </c>
      <c r="BO121" s="75" t="inlineStr">
        <is>
          <t>Venture Capital</t>
        </is>
      </c>
      <c r="BP121" s="76" t="inlineStr">
        <is>
          <t/>
        </is>
      </c>
      <c r="BQ121" s="77" t="inlineStr">
        <is>
          <t/>
        </is>
      </c>
      <c r="BR121" s="78" t="inlineStr">
        <is>
          <t/>
        </is>
      </c>
      <c r="BS121" s="79" t="inlineStr">
        <is>
          <t>Completed</t>
        </is>
      </c>
      <c r="BT121" s="80" t="n">
        <v>42767.0</v>
      </c>
      <c r="BU121" s="81" t="n">
        <v>2.57</v>
      </c>
      <c r="BV121" s="82" t="inlineStr">
        <is>
          <t>Actual</t>
        </is>
      </c>
      <c r="BW121" s="83" t="inlineStr">
        <is>
          <t/>
        </is>
      </c>
      <c r="BX121" s="84" t="inlineStr">
        <is>
          <t/>
        </is>
      </c>
      <c r="BY121" s="85" t="inlineStr">
        <is>
          <t>Grant</t>
        </is>
      </c>
      <c r="BZ121" s="86" t="inlineStr">
        <is>
          <t/>
        </is>
      </c>
      <c r="CA121" s="87" t="inlineStr">
        <is>
          <t/>
        </is>
      </c>
      <c r="CB121" s="88" t="inlineStr">
        <is>
          <t>Other</t>
        </is>
      </c>
      <c r="CC121" s="89" t="inlineStr">
        <is>
          <t/>
        </is>
      </c>
      <c r="CD121" s="90" t="inlineStr">
        <is>
          <t/>
        </is>
      </c>
      <c r="CE121" s="91" t="inlineStr">
        <is>
          <t/>
        </is>
      </c>
      <c r="CF121" s="92" t="inlineStr">
        <is>
          <t>Completed</t>
        </is>
      </c>
      <c r="CG121" s="93" t="inlineStr">
        <is>
          <t>0,00%</t>
        </is>
      </c>
      <c r="CH121" s="94" t="inlineStr">
        <is>
          <t>23</t>
        </is>
      </c>
      <c r="CI121" s="95" t="inlineStr">
        <is>
          <t>0,00%</t>
        </is>
      </c>
      <c r="CJ121" s="96" t="inlineStr">
        <is>
          <t>0,00%</t>
        </is>
      </c>
      <c r="CK121" s="97" t="inlineStr">
        <is>
          <t>0,00%</t>
        </is>
      </c>
      <c r="CL121" s="98" t="inlineStr">
        <is>
          <t>18</t>
        </is>
      </c>
      <c r="CM121" s="99" t="inlineStr">
        <is>
          <t/>
        </is>
      </c>
      <c r="CN121" s="100" t="inlineStr">
        <is>
          <t/>
        </is>
      </c>
      <c r="CO121" s="101" t="inlineStr">
        <is>
          <t/>
        </is>
      </c>
      <c r="CP121" s="102" t="inlineStr">
        <is>
          <t/>
        </is>
      </c>
      <c r="CQ121" s="103" t="inlineStr">
        <is>
          <t>0,00%</t>
        </is>
      </c>
      <c r="CR121" s="104" t="inlineStr">
        <is>
          <t>13</t>
        </is>
      </c>
      <c r="CS121" s="105" t="inlineStr">
        <is>
          <t/>
        </is>
      </c>
      <c r="CT121" s="106" t="inlineStr">
        <is>
          <t/>
        </is>
      </c>
      <c r="CU121" s="107" t="inlineStr">
        <is>
          <t/>
        </is>
      </c>
      <c r="CV121" s="108" t="inlineStr">
        <is>
          <t/>
        </is>
      </c>
      <c r="CW121" s="109" t="inlineStr">
        <is>
          <t>0,58x</t>
        </is>
      </c>
      <c r="CX121" s="110" t="inlineStr">
        <is>
          <t>37</t>
        </is>
      </c>
      <c r="CY121" s="111" t="inlineStr">
        <is>
          <t>-0,01x</t>
        </is>
      </c>
      <c r="CZ121" s="112" t="inlineStr">
        <is>
          <t>-1,89%</t>
        </is>
      </c>
      <c r="DA121" s="113" t="inlineStr">
        <is>
          <t>0,58x</t>
        </is>
      </c>
      <c r="DB121" s="114" t="inlineStr">
        <is>
          <t>39</t>
        </is>
      </c>
      <c r="DC121" s="115" t="inlineStr">
        <is>
          <t/>
        </is>
      </c>
      <c r="DD121" s="116" t="inlineStr">
        <is>
          <t/>
        </is>
      </c>
      <c r="DE121" s="117" t="inlineStr">
        <is>
          <t/>
        </is>
      </c>
      <c r="DF121" s="118" t="inlineStr">
        <is>
          <t/>
        </is>
      </c>
      <c r="DG121" s="119" t="inlineStr">
        <is>
          <t>0,58x</t>
        </is>
      </c>
      <c r="DH121" s="120" t="inlineStr">
        <is>
          <t>39</t>
        </is>
      </c>
      <c r="DI121" s="121" t="inlineStr">
        <is>
          <t/>
        </is>
      </c>
      <c r="DJ121" s="122" t="inlineStr">
        <is>
          <t/>
        </is>
      </c>
      <c r="DK121" s="123" t="inlineStr">
        <is>
          <t/>
        </is>
      </c>
      <c r="DL121" s="124" t="inlineStr">
        <is>
          <t/>
        </is>
      </c>
      <c r="DM121" s="125" t="inlineStr">
        <is>
          <t/>
        </is>
      </c>
      <c r="DN121" s="126" t="inlineStr">
        <is>
          <t/>
        </is>
      </c>
      <c r="DO121" s="127" t="inlineStr">
        <is>
          <t/>
        </is>
      </c>
      <c r="DP121" s="128" t="inlineStr">
        <is>
          <t/>
        </is>
      </c>
      <c r="DQ121" s="129" t="inlineStr">
        <is>
          <t/>
        </is>
      </c>
      <c r="DR121" s="130" t="inlineStr">
        <is>
          <t/>
        </is>
      </c>
      <c r="DS121" s="131" t="inlineStr">
        <is>
          <t>21</t>
        </is>
      </c>
      <c r="DT121" s="132" t="inlineStr">
        <is>
          <t>-1</t>
        </is>
      </c>
      <c r="DU121" s="133" t="inlineStr">
        <is>
          <t>-4,55%</t>
        </is>
      </c>
      <c r="DV121" s="134" t="inlineStr">
        <is>
          <t/>
        </is>
      </c>
      <c r="DW121" s="135" t="inlineStr">
        <is>
          <t/>
        </is>
      </c>
      <c r="DX121" s="136" t="inlineStr">
        <is>
          <t/>
        </is>
      </c>
      <c r="DY121" s="137" t="inlineStr">
        <is>
          <t>PitchBook Research</t>
        </is>
      </c>
      <c r="DZ121" s="785">
        <f>HYPERLINK("https://my.pitchbook.com?c=124261-84", "View company online")</f>
      </c>
    </row>
    <row r="122">
      <c r="A122" s="139" t="inlineStr">
        <is>
          <t>100193-50</t>
        </is>
      </c>
      <c r="B122" s="140" t="inlineStr">
        <is>
          <t>Congenica</t>
        </is>
      </c>
      <c r="C122" s="141" t="inlineStr">
        <is>
          <t/>
        </is>
      </c>
      <c r="D122" s="142" t="inlineStr">
        <is>
          <t/>
        </is>
      </c>
      <c r="E122" s="143" t="inlineStr">
        <is>
          <t>100193-50</t>
        </is>
      </c>
      <c r="F122" s="144" t="inlineStr">
        <is>
          <t>Developer of a clinical genome analysis platform designed to identify genetic diseases in patients. The company's genomic analytic platform process genome wide data sets to detect mutations by filtering clinically relevant variants and deep clinical phenotyping, enabling clinicians to provide actionable interpretation of genetic disease for patients.</t>
        </is>
      </c>
      <c r="G122" s="145" t="inlineStr">
        <is>
          <t>Healthcare</t>
        </is>
      </c>
      <c r="H122" s="146" t="inlineStr">
        <is>
          <t>Pharmaceuticals and Biotechnology</t>
        </is>
      </c>
      <c r="I122" s="147" t="inlineStr">
        <is>
          <t>Biotechnology</t>
        </is>
      </c>
      <c r="J122" s="148" t="inlineStr">
        <is>
          <t>Biotechnology*; Decision/Risk Analysis</t>
        </is>
      </c>
      <c r="K122" s="149" t="inlineStr">
        <is>
          <t>Life Sciences</t>
        </is>
      </c>
      <c r="L122" s="150" t="inlineStr">
        <is>
          <t>Venture Capital-Backed</t>
        </is>
      </c>
      <c r="M122" s="151" t="n">
        <v>14.45</v>
      </c>
      <c r="N122" s="152" t="inlineStr">
        <is>
          <t>Generating Revenue</t>
        </is>
      </c>
      <c r="O122" s="153" t="inlineStr">
        <is>
          <t>Privately Held (backing)</t>
        </is>
      </c>
      <c r="P122" s="154" t="inlineStr">
        <is>
          <t>Venture Capital</t>
        </is>
      </c>
      <c r="Q122" s="155" t="inlineStr">
        <is>
          <t>www.congenica.com</t>
        </is>
      </c>
      <c r="R122" s="156" t="n">
        <v>30.0</v>
      </c>
      <c r="S122" s="157" t="inlineStr">
        <is>
          <t/>
        </is>
      </c>
      <c r="T122" s="158" t="inlineStr">
        <is>
          <t/>
        </is>
      </c>
      <c r="U122" s="159" t="n">
        <v>2013.0</v>
      </c>
      <c r="V122" s="160" t="inlineStr">
        <is>
          <t/>
        </is>
      </c>
      <c r="W122" s="161" t="inlineStr">
        <is>
          <t/>
        </is>
      </c>
      <c r="X122" s="162" t="inlineStr">
        <is>
          <t/>
        </is>
      </c>
      <c r="Y122" s="163" t="inlineStr">
        <is>
          <t/>
        </is>
      </c>
      <c r="Z122" s="164" t="inlineStr">
        <is>
          <t/>
        </is>
      </c>
      <c r="AA122" s="165" t="inlineStr">
        <is>
          <t/>
        </is>
      </c>
      <c r="AB122" s="166" t="inlineStr">
        <is>
          <t/>
        </is>
      </c>
      <c r="AC122" s="167" t="inlineStr">
        <is>
          <t/>
        </is>
      </c>
      <c r="AD122" s="168" t="inlineStr">
        <is>
          <t/>
        </is>
      </c>
      <c r="AE122" s="169" t="inlineStr">
        <is>
          <t>86847-40P</t>
        </is>
      </c>
      <c r="AF122" s="170" t="inlineStr">
        <is>
          <t>Thomas Weaver</t>
        </is>
      </c>
      <c r="AG122" s="171" t="inlineStr">
        <is>
          <t>Chief Executive Officer &amp; Board Member</t>
        </is>
      </c>
      <c r="AH122" s="172" t="inlineStr">
        <is>
          <t>thomas.weaver@congenica.com</t>
        </is>
      </c>
      <c r="AI122" s="173" t="inlineStr">
        <is>
          <t>+44 (0)12 2349 9965</t>
        </is>
      </c>
      <c r="AJ122" s="174" t="inlineStr">
        <is>
          <t>Cambridge, United Kingdom</t>
        </is>
      </c>
      <c r="AK122" s="175" t="inlineStr">
        <is>
          <t>Wellcome Trust Genome Campus</t>
        </is>
      </c>
      <c r="AL122" s="176" t="inlineStr">
        <is>
          <t>Hinxton</t>
        </is>
      </c>
      <c r="AM122" s="177" t="inlineStr">
        <is>
          <t>Cambridge</t>
        </is>
      </c>
      <c r="AN122" s="178" t="inlineStr">
        <is>
          <t>England</t>
        </is>
      </c>
      <c r="AO122" s="179" t="inlineStr">
        <is>
          <t>CB10 1DR</t>
        </is>
      </c>
      <c r="AP122" s="180" t="inlineStr">
        <is>
          <t>United Kingdom</t>
        </is>
      </c>
      <c r="AQ122" s="181" t="inlineStr">
        <is>
          <t>+44 (0)12 2349 9965</t>
        </is>
      </c>
      <c r="AR122" s="182" t="inlineStr">
        <is>
          <t/>
        </is>
      </c>
      <c r="AS122" s="183" t="inlineStr">
        <is>
          <t>info@congenica.com</t>
        </is>
      </c>
      <c r="AT122" s="184" t="inlineStr">
        <is>
          <t>Europe</t>
        </is>
      </c>
      <c r="AU122" s="185" t="inlineStr">
        <is>
          <t>Western Europe</t>
        </is>
      </c>
      <c r="AV122" s="186" t="inlineStr">
        <is>
          <t>The company raised GBP 8 million of Series B venture funding from lead investor Cambridge Innovation Capital on April 27, 2017. Amadeus Capital Partners, Parkwalk Advisors, BGI Genomics, Healthlink Capital and Future Planet Capital also participated. The funds will be used to sustain the commercial roll out of its Sapientia clinical genome analysis platform, by accelerating international growth and expanding customer support. It will also invest in further product development and innovation.</t>
        </is>
      </c>
      <c r="AW122" s="187" t="inlineStr">
        <is>
          <t>Amadeus Capital Partners, BGI, Cambridge Innovation Capital, Future Planet Capital, Genomics England, Healthlink Capital, Innovate UK, Parkwalk Advisors, Wellcome Trust Sanger Institute</t>
        </is>
      </c>
      <c r="AX122" s="188" t="n">
        <v>9.0</v>
      </c>
      <c r="AY122" s="189" t="inlineStr">
        <is>
          <t/>
        </is>
      </c>
      <c r="AZ122" s="190" t="inlineStr">
        <is>
          <t/>
        </is>
      </c>
      <c r="BA122" s="191" t="inlineStr">
        <is>
          <t/>
        </is>
      </c>
      <c r="BB122" s="192" t="inlineStr">
        <is>
          <t>Amadeus Capital Partners (www.amadeuscapital.com), BGI (www.bgi.com), Cambridge Innovation Capital (www.cicplc.co.uk), Future Planet Capital (www.futureplanetcapital.com), Genomics England (www.genomicsengland.co.uk), Parkwalk Advisors (www.parkwalkadvisors.com), Wellcome Trust Sanger Institute (www.sanger.ac.uk)</t>
        </is>
      </c>
      <c r="BC122" s="193" t="inlineStr">
        <is>
          <t/>
        </is>
      </c>
      <c r="BD122" s="194" t="inlineStr">
        <is>
          <t/>
        </is>
      </c>
      <c r="BE122" s="195" t="inlineStr">
        <is>
          <t/>
        </is>
      </c>
      <c r="BF122" s="196" t="inlineStr">
        <is>
          <t>Taylor Vinters (Legal Advisor), Taylor Wessing (Legal Advisor)</t>
        </is>
      </c>
      <c r="BG122" s="197" t="n">
        <v>41761.0</v>
      </c>
      <c r="BH122" s="198" t="n">
        <v>0.42</v>
      </c>
      <c r="BI122" s="199" t="inlineStr">
        <is>
          <t>Actual</t>
        </is>
      </c>
      <c r="BJ122" s="200" t="inlineStr">
        <is>
          <t/>
        </is>
      </c>
      <c r="BK122" s="201" t="inlineStr">
        <is>
          <t/>
        </is>
      </c>
      <c r="BL122" s="202" t="inlineStr">
        <is>
          <t>Grant</t>
        </is>
      </c>
      <c r="BM122" s="203" t="inlineStr">
        <is>
          <t/>
        </is>
      </c>
      <c r="BN122" s="204" t="inlineStr">
        <is>
          <t/>
        </is>
      </c>
      <c r="BO122" s="205" t="inlineStr">
        <is>
          <t>Other</t>
        </is>
      </c>
      <c r="BP122" s="206" t="inlineStr">
        <is>
          <t/>
        </is>
      </c>
      <c r="BQ122" s="207" t="inlineStr">
        <is>
          <t/>
        </is>
      </c>
      <c r="BR122" s="208" t="inlineStr">
        <is>
          <t/>
        </is>
      </c>
      <c r="BS122" s="209" t="inlineStr">
        <is>
          <t>Completed</t>
        </is>
      </c>
      <c r="BT122" s="210" t="n">
        <v>42852.0</v>
      </c>
      <c r="BU122" s="211" t="n">
        <v>9.43</v>
      </c>
      <c r="BV122" s="212" t="inlineStr">
        <is>
          <t>Actual</t>
        </is>
      </c>
      <c r="BW122" s="213" t="inlineStr">
        <is>
          <t/>
        </is>
      </c>
      <c r="BX122" s="214" t="inlineStr">
        <is>
          <t/>
        </is>
      </c>
      <c r="BY122" s="215" t="inlineStr">
        <is>
          <t>Early Stage VC</t>
        </is>
      </c>
      <c r="BZ122" s="216" t="inlineStr">
        <is>
          <t>Series B</t>
        </is>
      </c>
      <c r="CA122" s="217" t="inlineStr">
        <is>
          <t/>
        </is>
      </c>
      <c r="CB122" s="218" t="inlineStr">
        <is>
          <t>Venture Capital</t>
        </is>
      </c>
      <c r="CC122" s="219" t="inlineStr">
        <is>
          <t/>
        </is>
      </c>
      <c r="CD122" s="220" t="inlineStr">
        <is>
          <t/>
        </is>
      </c>
      <c r="CE122" s="221" t="inlineStr">
        <is>
          <t/>
        </is>
      </c>
      <c r="CF122" s="222" t="inlineStr">
        <is>
          <t>Completed</t>
        </is>
      </c>
      <c r="CG122" s="223" t="inlineStr">
        <is>
          <t>0,18%</t>
        </is>
      </c>
      <c r="CH122" s="224" t="inlineStr">
        <is>
          <t>77</t>
        </is>
      </c>
      <c r="CI122" s="225" t="inlineStr">
        <is>
          <t>0,01%</t>
        </is>
      </c>
      <c r="CJ122" s="226" t="inlineStr">
        <is>
          <t>5,49%</t>
        </is>
      </c>
      <c r="CK122" s="227" t="inlineStr">
        <is>
          <t>0,00%</t>
        </is>
      </c>
      <c r="CL122" s="228" t="inlineStr">
        <is>
          <t>18</t>
        </is>
      </c>
      <c r="CM122" s="229" t="inlineStr">
        <is>
          <t>0,36%</t>
        </is>
      </c>
      <c r="CN122" s="230" t="inlineStr">
        <is>
          <t>84</t>
        </is>
      </c>
      <c r="CO122" s="231" t="inlineStr">
        <is>
          <t>0,00%</t>
        </is>
      </c>
      <c r="CP122" s="232" t="inlineStr">
        <is>
          <t>26</t>
        </is>
      </c>
      <c r="CQ122" s="233" t="inlineStr">
        <is>
          <t/>
        </is>
      </c>
      <c r="CR122" s="234" t="inlineStr">
        <is>
          <t/>
        </is>
      </c>
      <c r="CS122" s="235" t="inlineStr">
        <is>
          <t>0,00%</t>
        </is>
      </c>
      <c r="CT122" s="236" t="inlineStr">
        <is>
          <t>18</t>
        </is>
      </c>
      <c r="CU122" s="237" t="inlineStr">
        <is>
          <t>0,72%</t>
        </is>
      </c>
      <c r="CV122" s="238" t="inlineStr">
        <is>
          <t>95</t>
        </is>
      </c>
      <c r="CW122" s="239" t="inlineStr">
        <is>
          <t>1,36x</t>
        </is>
      </c>
      <c r="CX122" s="240" t="inlineStr">
        <is>
          <t>56</t>
        </is>
      </c>
      <c r="CY122" s="241" t="inlineStr">
        <is>
          <t>0,02x</t>
        </is>
      </c>
      <c r="CZ122" s="242" t="inlineStr">
        <is>
          <t>1,29%</t>
        </is>
      </c>
      <c r="DA122" s="243" t="inlineStr">
        <is>
          <t>1,28x</t>
        </is>
      </c>
      <c r="DB122" s="244" t="inlineStr">
        <is>
          <t>57</t>
        </is>
      </c>
      <c r="DC122" s="245" t="inlineStr">
        <is>
          <t>1,44x</t>
        </is>
      </c>
      <c r="DD122" s="246" t="inlineStr">
        <is>
          <t>55</t>
        </is>
      </c>
      <c r="DE122" s="247" t="inlineStr">
        <is>
          <t>1,28x</t>
        </is>
      </c>
      <c r="DF122" s="248" t="inlineStr">
        <is>
          <t>55</t>
        </is>
      </c>
      <c r="DG122" s="249" t="inlineStr">
        <is>
          <t/>
        </is>
      </c>
      <c r="DH122" s="250" t="inlineStr">
        <is>
          <t/>
        </is>
      </c>
      <c r="DI122" s="251" t="inlineStr">
        <is>
          <t>0,12x</t>
        </is>
      </c>
      <c r="DJ122" s="252" t="inlineStr">
        <is>
          <t>16</t>
        </is>
      </c>
      <c r="DK122" s="253" t="inlineStr">
        <is>
          <t>2,77x</t>
        </is>
      </c>
      <c r="DL122" s="254" t="inlineStr">
        <is>
          <t>69</t>
        </is>
      </c>
      <c r="DM122" s="255" t="inlineStr">
        <is>
          <t>791</t>
        </is>
      </c>
      <c r="DN122" s="256" t="inlineStr">
        <is>
          <t>-12</t>
        </is>
      </c>
      <c r="DO122" s="257" t="inlineStr">
        <is>
          <t>-1,49%</t>
        </is>
      </c>
      <c r="DP122" s="258" t="inlineStr">
        <is>
          <t>92</t>
        </is>
      </c>
      <c r="DQ122" s="259" t="inlineStr">
        <is>
          <t>2</t>
        </is>
      </c>
      <c r="DR122" s="260" t="inlineStr">
        <is>
          <t>2,22%</t>
        </is>
      </c>
      <c r="DS122" s="261" t="inlineStr">
        <is>
          <t/>
        </is>
      </c>
      <c r="DT122" s="262" t="inlineStr">
        <is>
          <t/>
        </is>
      </c>
      <c r="DU122" s="263" t="inlineStr">
        <is>
          <t/>
        </is>
      </c>
      <c r="DV122" s="264" t="inlineStr">
        <is>
          <t>947</t>
        </is>
      </c>
      <c r="DW122" s="265" t="inlineStr">
        <is>
          <t>6</t>
        </is>
      </c>
      <c r="DX122" s="266" t="inlineStr">
        <is>
          <t>0,64%</t>
        </is>
      </c>
      <c r="DY122" s="267" t="inlineStr">
        <is>
          <t>PitchBook Research</t>
        </is>
      </c>
      <c r="DZ122" s="786">
        <f>HYPERLINK("https://my.pitchbook.com?c=100193-50", "View company online")</f>
      </c>
    </row>
    <row r="123">
      <c r="A123" s="9" t="inlineStr">
        <is>
          <t>159455-98</t>
        </is>
      </c>
      <c r="B123" s="10" t="inlineStr">
        <is>
          <t>Connecterra (Health Monitoring Technology)</t>
        </is>
      </c>
      <c r="C123" s="11" t="inlineStr">
        <is>
          <t/>
        </is>
      </c>
      <c r="D123" s="12" t="inlineStr">
        <is>
          <t>Connecterra</t>
        </is>
      </c>
      <c r="E123" s="13" t="inlineStr">
        <is>
          <t>159455-98</t>
        </is>
      </c>
      <c r="F123" s="14" t="inlineStr">
        <is>
          <t>Developer of an animal health monitoring technology. The company provides multiple behavior detection and predictions including animal heat, estrus cycles and health analysis.</t>
        </is>
      </c>
      <c r="G123" s="15" t="inlineStr">
        <is>
          <t>Business Products and Services (B2B)</t>
        </is>
      </c>
      <c r="H123" s="16" t="inlineStr">
        <is>
          <t>Commercial Services</t>
        </is>
      </c>
      <c r="I123" s="17" t="inlineStr">
        <is>
          <t>Other Commercial Services</t>
        </is>
      </c>
      <c r="J123" s="18" t="inlineStr">
        <is>
          <t>Other Commercial Services*; Other Healthcare Technology Systems; Vertical Market Software</t>
        </is>
      </c>
      <c r="K123" s="19" t="inlineStr">
        <is>
          <t>AgTech, Big Data, Internet of Things</t>
        </is>
      </c>
      <c r="L123" s="20" t="inlineStr">
        <is>
          <t>Venture Capital-Backed</t>
        </is>
      </c>
      <c r="M123" s="21" t="n">
        <v>10.39</v>
      </c>
      <c r="N123" s="22" t="inlineStr">
        <is>
          <t>Startup</t>
        </is>
      </c>
      <c r="O123" s="23" t="inlineStr">
        <is>
          <t>Privately Held (backing)</t>
        </is>
      </c>
      <c r="P123" s="24" t="inlineStr">
        <is>
          <t>Venture Capital</t>
        </is>
      </c>
      <c r="Q123" s="25" t="inlineStr">
        <is>
          <t>www.connecterra.io</t>
        </is>
      </c>
      <c r="R123" s="26" t="n">
        <v>6.0</v>
      </c>
      <c r="S123" s="27" t="inlineStr">
        <is>
          <t/>
        </is>
      </c>
      <c r="T123" s="28" t="inlineStr">
        <is>
          <t/>
        </is>
      </c>
      <c r="U123" s="29" t="n">
        <v>2014.0</v>
      </c>
      <c r="V123" s="30" t="inlineStr">
        <is>
          <t/>
        </is>
      </c>
      <c r="W123" s="31" t="inlineStr">
        <is>
          <t/>
        </is>
      </c>
      <c r="X123" s="32" t="inlineStr">
        <is>
          <t/>
        </is>
      </c>
      <c r="Y123" s="33" t="inlineStr">
        <is>
          <t/>
        </is>
      </c>
      <c r="Z123" s="34" t="inlineStr">
        <is>
          <t/>
        </is>
      </c>
      <c r="AA123" s="35" t="inlineStr">
        <is>
          <t/>
        </is>
      </c>
      <c r="AB123" s="36" t="inlineStr">
        <is>
          <t/>
        </is>
      </c>
      <c r="AC123" s="37" t="inlineStr">
        <is>
          <t/>
        </is>
      </c>
      <c r="AD123" s="38" t="inlineStr">
        <is>
          <t/>
        </is>
      </c>
      <c r="AE123" s="39" t="inlineStr">
        <is>
          <t>135846-73P</t>
        </is>
      </c>
      <c r="AF123" s="40" t="inlineStr">
        <is>
          <t>Yasir Khokhar</t>
        </is>
      </c>
      <c r="AG123" s="41" t="inlineStr">
        <is>
          <t>Co-Founder &amp; Chief Executive Officer</t>
        </is>
      </c>
      <c r="AH123" s="42" t="inlineStr">
        <is>
          <t/>
        </is>
      </c>
      <c r="AI123" s="43" t="inlineStr">
        <is>
          <t/>
        </is>
      </c>
      <c r="AJ123" s="44" t="inlineStr">
        <is>
          <t>Amsterdam, Netherlands</t>
        </is>
      </c>
      <c r="AK123" s="45" t="inlineStr">
        <is>
          <t>Weteringschans 165 C</t>
        </is>
      </c>
      <c r="AL123" s="46" t="inlineStr">
        <is>
          <t/>
        </is>
      </c>
      <c r="AM123" s="47" t="inlineStr">
        <is>
          <t>Amsterdam</t>
        </is>
      </c>
      <c r="AN123" s="48" t="inlineStr">
        <is>
          <t/>
        </is>
      </c>
      <c r="AO123" s="49" t="inlineStr">
        <is>
          <t>1017 XD</t>
        </is>
      </c>
      <c r="AP123" s="50" t="inlineStr">
        <is>
          <t>Netherlands</t>
        </is>
      </c>
      <c r="AQ123" s="51" t="inlineStr">
        <is>
          <t/>
        </is>
      </c>
      <c r="AR123" s="52" t="inlineStr">
        <is>
          <t/>
        </is>
      </c>
      <c r="AS123" s="53" t="inlineStr">
        <is>
          <t>info@connecterra.io</t>
        </is>
      </c>
      <c r="AT123" s="54" t="inlineStr">
        <is>
          <t>Europe</t>
        </is>
      </c>
      <c r="AU123" s="55" t="inlineStr">
        <is>
          <t>Western Europe</t>
        </is>
      </c>
      <c r="AV123" s="56" t="inlineStr">
        <is>
          <t>The company is in talks to raise GBP 6.7 million Series A venture funding from Breed Reply, MENA Ventures, NeNa Ventures and other undisclosed investor of venture funding in 2017. The company raised EUR 1.6 million of seed funding in a deal led by Breed Reply on May 17, 2016. MENA Ventures, DeNA and Elias Tabet also participated in the round. The company intends to use the funds to launch its products, hire staff and manufacturing more devices. The company is being actively tracked by PitchBook.</t>
        </is>
      </c>
      <c r="AW123" s="57" t="inlineStr">
        <is>
          <t>Accelerator Assembly, Breed Reply, DeNA, Elias Tabet, MENA Venture Investments</t>
        </is>
      </c>
      <c r="AX123" s="58" t="n">
        <v>5.0</v>
      </c>
      <c r="AY123" s="59" t="inlineStr">
        <is>
          <t/>
        </is>
      </c>
      <c r="AZ123" s="60" t="inlineStr">
        <is>
          <t/>
        </is>
      </c>
      <c r="BA123" s="61" t="inlineStr">
        <is>
          <t/>
        </is>
      </c>
      <c r="BB123" s="62" t="inlineStr">
        <is>
          <t>Accelerator Assembly (www.acceleratorassembly.eu), Breed Reply (www.breedreply.com), DeNA (www.dena.com), MENA Venture Investments (www.mvi.vc)</t>
        </is>
      </c>
      <c r="BC123" s="63" t="inlineStr">
        <is>
          <t/>
        </is>
      </c>
      <c r="BD123" s="64" t="inlineStr">
        <is>
          <t/>
        </is>
      </c>
      <c r="BE123" s="65" t="inlineStr">
        <is>
          <t>Foot Anstey (Legal Advisor)</t>
        </is>
      </c>
      <c r="BF123" s="66" t="inlineStr">
        <is>
          <t>Foot Anstey (Legal Advisor)</t>
        </is>
      </c>
      <c r="BG123" s="67" t="n">
        <v>42026.0</v>
      </c>
      <c r="BH123" s="68" t="n">
        <v>0.3</v>
      </c>
      <c r="BI123" s="69" t="inlineStr">
        <is>
          <t>Actual</t>
        </is>
      </c>
      <c r="BJ123" s="70" t="inlineStr">
        <is>
          <t/>
        </is>
      </c>
      <c r="BK123" s="71" t="inlineStr">
        <is>
          <t/>
        </is>
      </c>
      <c r="BL123" s="72" t="inlineStr">
        <is>
          <t>Grant</t>
        </is>
      </c>
      <c r="BM123" s="73" t="inlineStr">
        <is>
          <t/>
        </is>
      </c>
      <c r="BN123" s="74" t="inlineStr">
        <is>
          <t/>
        </is>
      </c>
      <c r="BO123" s="75" t="inlineStr">
        <is>
          <t>Other</t>
        </is>
      </c>
      <c r="BP123" s="76" t="inlineStr">
        <is>
          <t/>
        </is>
      </c>
      <c r="BQ123" s="77" t="inlineStr">
        <is>
          <t/>
        </is>
      </c>
      <c r="BR123" s="78" t="inlineStr">
        <is>
          <t/>
        </is>
      </c>
      <c r="BS123" s="79" t="inlineStr">
        <is>
          <t>Completed</t>
        </is>
      </c>
      <c r="BT123" s="80" t="n">
        <v>42614.0</v>
      </c>
      <c r="BU123" s="81" t="n">
        <v>8.79</v>
      </c>
      <c r="BV123" s="82" t="inlineStr">
        <is>
          <t>Actual</t>
        </is>
      </c>
      <c r="BW123" s="83" t="inlineStr">
        <is>
          <t/>
        </is>
      </c>
      <c r="BX123" s="84" t="inlineStr">
        <is>
          <t/>
        </is>
      </c>
      <c r="BY123" s="85" t="inlineStr">
        <is>
          <t>Early Stage VC</t>
        </is>
      </c>
      <c r="BZ123" s="86" t="inlineStr">
        <is>
          <t>Series A</t>
        </is>
      </c>
      <c r="CA123" s="87" t="inlineStr">
        <is>
          <t/>
        </is>
      </c>
      <c r="CB123" s="88" t="inlineStr">
        <is>
          <t>Venture Capital</t>
        </is>
      </c>
      <c r="CC123" s="89" t="inlineStr">
        <is>
          <t/>
        </is>
      </c>
      <c r="CD123" s="90" t="inlineStr">
        <is>
          <t/>
        </is>
      </c>
      <c r="CE123" s="91" t="inlineStr">
        <is>
          <t/>
        </is>
      </c>
      <c r="CF123" s="92" t="inlineStr">
        <is>
          <t>Completed</t>
        </is>
      </c>
      <c r="CG123" s="93" t="inlineStr">
        <is>
          <t>-0,46%</t>
        </is>
      </c>
      <c r="CH123" s="94" t="inlineStr">
        <is>
          <t>9</t>
        </is>
      </c>
      <c r="CI123" s="95" t="inlineStr">
        <is>
          <t>-0,10%</t>
        </is>
      </c>
      <c r="CJ123" s="96" t="inlineStr">
        <is>
          <t>-29,67%</t>
        </is>
      </c>
      <c r="CK123" s="97" t="inlineStr">
        <is>
          <t>-1,09%</t>
        </is>
      </c>
      <c r="CL123" s="98" t="inlineStr">
        <is>
          <t>8</t>
        </is>
      </c>
      <c r="CM123" s="99" t="inlineStr">
        <is>
          <t>0,18%</t>
        </is>
      </c>
      <c r="CN123" s="100" t="inlineStr">
        <is>
          <t>71</t>
        </is>
      </c>
      <c r="CO123" s="101" t="inlineStr">
        <is>
          <t>0,00%</t>
        </is>
      </c>
      <c r="CP123" s="102" t="inlineStr">
        <is>
          <t>26</t>
        </is>
      </c>
      <c r="CQ123" s="103" t="inlineStr">
        <is>
          <t>-2,19%</t>
        </is>
      </c>
      <c r="CR123" s="104" t="inlineStr">
        <is>
          <t>1</t>
        </is>
      </c>
      <c r="CS123" s="105" t="inlineStr">
        <is>
          <t>0,25%</t>
        </is>
      </c>
      <c r="CT123" s="106" t="inlineStr">
        <is>
          <t>75</t>
        </is>
      </c>
      <c r="CU123" s="107" t="inlineStr">
        <is>
          <t>0,11%</t>
        </is>
      </c>
      <c r="CV123" s="108" t="inlineStr">
        <is>
          <t>69</t>
        </is>
      </c>
      <c r="CW123" s="109" t="inlineStr">
        <is>
          <t>1,51x</t>
        </is>
      </c>
      <c r="CX123" s="110" t="inlineStr">
        <is>
          <t>58</t>
        </is>
      </c>
      <c r="CY123" s="111" t="inlineStr">
        <is>
          <t>0,02x</t>
        </is>
      </c>
      <c r="CZ123" s="112" t="inlineStr">
        <is>
          <t>1,35%</t>
        </is>
      </c>
      <c r="DA123" s="113" t="inlineStr">
        <is>
          <t>2,09x</t>
        </is>
      </c>
      <c r="DB123" s="114" t="inlineStr">
        <is>
          <t>67</t>
        </is>
      </c>
      <c r="DC123" s="115" t="inlineStr">
        <is>
          <t>0,94x</t>
        </is>
      </c>
      <c r="DD123" s="116" t="inlineStr">
        <is>
          <t>47</t>
        </is>
      </c>
      <c r="DE123" s="117" t="inlineStr">
        <is>
          <t>0,62x</t>
        </is>
      </c>
      <c r="DF123" s="118" t="inlineStr">
        <is>
          <t>41</t>
        </is>
      </c>
      <c r="DG123" s="119" t="inlineStr">
        <is>
          <t>3,56x</t>
        </is>
      </c>
      <c r="DH123" s="120" t="inlineStr">
        <is>
          <t>74</t>
        </is>
      </c>
      <c r="DI123" s="121" t="inlineStr">
        <is>
          <t>0,56x</t>
        </is>
      </c>
      <c r="DJ123" s="122" t="inlineStr">
        <is>
          <t>40</t>
        </is>
      </c>
      <c r="DK123" s="123" t="inlineStr">
        <is>
          <t>1,31x</t>
        </is>
      </c>
      <c r="DL123" s="124" t="inlineStr">
        <is>
          <t>55</t>
        </is>
      </c>
      <c r="DM123" s="125" t="inlineStr">
        <is>
          <t>382</t>
        </is>
      </c>
      <c r="DN123" s="126" t="inlineStr">
        <is>
          <t>-9</t>
        </is>
      </c>
      <c r="DO123" s="127" t="inlineStr">
        <is>
          <t>-2,30%</t>
        </is>
      </c>
      <c r="DP123" s="128" t="inlineStr">
        <is>
          <t>449</t>
        </is>
      </c>
      <c r="DQ123" s="129" t="inlineStr">
        <is>
          <t>1</t>
        </is>
      </c>
      <c r="DR123" s="130" t="inlineStr">
        <is>
          <t>0,22%</t>
        </is>
      </c>
      <c r="DS123" s="131" t="inlineStr">
        <is>
          <t>128</t>
        </is>
      </c>
      <c r="DT123" s="132" t="inlineStr">
        <is>
          <t>-2</t>
        </is>
      </c>
      <c r="DU123" s="133" t="inlineStr">
        <is>
          <t>-1,54%</t>
        </is>
      </c>
      <c r="DV123" s="134" t="inlineStr">
        <is>
          <t>451</t>
        </is>
      </c>
      <c r="DW123" s="135" t="inlineStr">
        <is>
          <t>0</t>
        </is>
      </c>
      <c r="DX123" s="136" t="inlineStr">
        <is>
          <t>0,00%</t>
        </is>
      </c>
      <c r="DY123" s="137" t="inlineStr">
        <is>
          <t>PitchBook Research</t>
        </is>
      </c>
      <c r="DZ123" s="785">
        <f>HYPERLINK("https://my.pitchbook.com?c=159455-98", "View company online")</f>
      </c>
    </row>
    <row r="124">
      <c r="A124" s="139" t="inlineStr">
        <is>
          <t>99274-60</t>
        </is>
      </c>
      <c r="B124" s="140" t="inlineStr">
        <is>
          <t>Coorpacademy</t>
        </is>
      </c>
      <c r="C124" s="141" t="inlineStr">
        <is>
          <t/>
        </is>
      </c>
      <c r="D124" s="142" t="inlineStr">
        <is>
          <t/>
        </is>
      </c>
      <c r="E124" s="143" t="inlineStr">
        <is>
          <t>99274-60</t>
        </is>
      </c>
      <c r="F124" s="144" t="inlineStr">
        <is>
          <t>Provider of online learning services. The company provides open online courses and corporate communication services with their collaborators, customers and their networks.</t>
        </is>
      </c>
      <c r="G124" s="145" t="inlineStr">
        <is>
          <t>Business Products and Services (B2B)</t>
        </is>
      </c>
      <c r="H124" s="146" t="inlineStr">
        <is>
          <t>Commercial Services</t>
        </is>
      </c>
      <c r="I124" s="147" t="inlineStr">
        <is>
          <t>Education and Training Services (B2B)</t>
        </is>
      </c>
      <c r="J124" s="148" t="inlineStr">
        <is>
          <t>Education and Training Services (B2B)*</t>
        </is>
      </c>
      <c r="K124" s="149" t="inlineStr">
        <is>
          <t>EdTech</t>
        </is>
      </c>
      <c r="L124" s="150" t="inlineStr">
        <is>
          <t>Venture Capital-Backed</t>
        </is>
      </c>
      <c r="M124" s="151" t="n">
        <v>21.96</v>
      </c>
      <c r="N124" s="152" t="inlineStr">
        <is>
          <t>Startup</t>
        </is>
      </c>
      <c r="O124" s="153" t="inlineStr">
        <is>
          <t>Privately Held (backing)</t>
        </is>
      </c>
      <c r="P124" s="154" t="inlineStr">
        <is>
          <t>Venture Capital</t>
        </is>
      </c>
      <c r="Q124" s="155" t="inlineStr">
        <is>
          <t>www.coorpacademy.com</t>
        </is>
      </c>
      <c r="R124" s="156" t="n">
        <v>44.0</v>
      </c>
      <c r="S124" s="157" t="inlineStr">
        <is>
          <t/>
        </is>
      </c>
      <c r="T124" s="158" t="inlineStr">
        <is>
          <t/>
        </is>
      </c>
      <c r="U124" s="159" t="n">
        <v>2013.0</v>
      </c>
      <c r="V124" s="160" t="inlineStr">
        <is>
          <t/>
        </is>
      </c>
      <c r="W124" s="161" t="inlineStr">
        <is>
          <t/>
        </is>
      </c>
      <c r="X124" s="162" t="inlineStr">
        <is>
          <t/>
        </is>
      </c>
      <c r="Y124" s="163" t="inlineStr">
        <is>
          <t/>
        </is>
      </c>
      <c r="Z124" s="164" t="inlineStr">
        <is>
          <t/>
        </is>
      </c>
      <c r="AA124" s="165" t="inlineStr">
        <is>
          <t/>
        </is>
      </c>
      <c r="AB124" s="166" t="inlineStr">
        <is>
          <t/>
        </is>
      </c>
      <c r="AC124" s="167" t="inlineStr">
        <is>
          <t/>
        </is>
      </c>
      <c r="AD124" s="168" t="inlineStr">
        <is>
          <t/>
        </is>
      </c>
      <c r="AE124" s="169" t="inlineStr">
        <is>
          <t>84106-18P</t>
        </is>
      </c>
      <c r="AF124" s="170" t="inlineStr">
        <is>
          <t>Arnauld Mitre</t>
        </is>
      </c>
      <c r="AG124" s="171" t="inlineStr">
        <is>
          <t>Co-Founder and Content Strategy &amp; Business Development Lead</t>
        </is>
      </c>
      <c r="AH124" s="172" t="inlineStr">
        <is>
          <t>am@coorpacademy.com</t>
        </is>
      </c>
      <c r="AI124" s="173" t="inlineStr">
        <is>
          <t>+33 (0)1 71 60 40 93</t>
        </is>
      </c>
      <c r="AJ124" s="174" t="inlineStr">
        <is>
          <t>Paris, France</t>
        </is>
      </c>
      <c r="AK124" s="175" t="inlineStr">
        <is>
          <t>50 rue d'Aboukir</t>
        </is>
      </c>
      <c r="AL124" s="176" t="inlineStr">
        <is>
          <t/>
        </is>
      </c>
      <c r="AM124" s="177" t="inlineStr">
        <is>
          <t>Paris</t>
        </is>
      </c>
      <c r="AN124" s="178" t="inlineStr">
        <is>
          <t/>
        </is>
      </c>
      <c r="AO124" s="179" t="inlineStr">
        <is>
          <t>75002</t>
        </is>
      </c>
      <c r="AP124" s="180" t="inlineStr">
        <is>
          <t>France</t>
        </is>
      </c>
      <c r="AQ124" s="181" t="inlineStr">
        <is>
          <t>+33 (0)1 71 60 40 93</t>
        </is>
      </c>
      <c r="AR124" s="182" t="inlineStr">
        <is>
          <t/>
        </is>
      </c>
      <c r="AS124" s="183" t="inlineStr">
        <is>
          <t>team@coorpacademy.com</t>
        </is>
      </c>
      <c r="AT124" s="184" t="inlineStr">
        <is>
          <t>Europe</t>
        </is>
      </c>
      <c r="AU124" s="185" t="inlineStr">
        <is>
          <t>Western Europe</t>
        </is>
      </c>
      <c r="AV124" s="186" t="inlineStr">
        <is>
          <t>The company raised $11 million of venture funding from lead investor Serena Capital on October 11, 2016. NextStageAM and Debiopharm Investment funds also participated. The company will use the funding to expand its business across Europe and develop new content partnerships. With the round, the company has now raised a total of $14.5 million in funding to date.</t>
        </is>
      </c>
      <c r="AW124" s="187" t="inlineStr">
        <is>
          <t>Debiopharm Investment, NextStage AM, Serena Capital</t>
        </is>
      </c>
      <c r="AX124" s="188" t="n">
        <v>3.0</v>
      </c>
      <c r="AY124" s="189" t="inlineStr">
        <is>
          <t/>
        </is>
      </c>
      <c r="AZ124" s="190" t="inlineStr">
        <is>
          <t/>
        </is>
      </c>
      <c r="BA124" s="191" t="inlineStr">
        <is>
          <t/>
        </is>
      </c>
      <c r="BB124" s="192" t="inlineStr">
        <is>
          <t>NextStage AM (www.nextstage-am.com), Serena Capital (www.serenacapital.com)</t>
        </is>
      </c>
      <c r="BC124" s="193" t="inlineStr">
        <is>
          <t/>
        </is>
      </c>
      <c r="BD124" s="194" t="inlineStr">
        <is>
          <t/>
        </is>
      </c>
      <c r="BE124" s="195" t="inlineStr">
        <is>
          <t/>
        </is>
      </c>
      <c r="BF124" s="196" t="inlineStr">
        <is>
          <t>Cambon Partners (Advisor)</t>
        </is>
      </c>
      <c r="BG124" s="197" t="n">
        <v>41950.0</v>
      </c>
      <c r="BH124" s="198" t="n">
        <v>12.0</v>
      </c>
      <c r="BI124" s="199" t="inlineStr">
        <is>
          <t>Actual</t>
        </is>
      </c>
      <c r="BJ124" s="200" t="inlineStr">
        <is>
          <t/>
        </is>
      </c>
      <c r="BK124" s="201" t="inlineStr">
        <is>
          <t/>
        </is>
      </c>
      <c r="BL124" s="202" t="inlineStr">
        <is>
          <t>Early Stage VC</t>
        </is>
      </c>
      <c r="BM124" s="203" t="inlineStr">
        <is>
          <t/>
        </is>
      </c>
      <c r="BN124" s="204" t="inlineStr">
        <is>
          <t/>
        </is>
      </c>
      <c r="BO124" s="205" t="inlineStr">
        <is>
          <t>Venture Capital</t>
        </is>
      </c>
      <c r="BP124" s="206" t="inlineStr">
        <is>
          <t/>
        </is>
      </c>
      <c r="BQ124" s="207" t="inlineStr">
        <is>
          <t/>
        </is>
      </c>
      <c r="BR124" s="208" t="inlineStr">
        <is>
          <t/>
        </is>
      </c>
      <c r="BS124" s="209" t="inlineStr">
        <is>
          <t>Completed</t>
        </is>
      </c>
      <c r="BT124" s="210" t="n">
        <v>42654.0</v>
      </c>
      <c r="BU124" s="211" t="n">
        <v>9.96</v>
      </c>
      <c r="BV124" s="212" t="inlineStr">
        <is>
          <t>Actual</t>
        </is>
      </c>
      <c r="BW124" s="213" t="inlineStr">
        <is>
          <t/>
        </is>
      </c>
      <c r="BX124" s="214" t="inlineStr">
        <is>
          <t/>
        </is>
      </c>
      <c r="BY124" s="215" t="inlineStr">
        <is>
          <t>Early Stage VC</t>
        </is>
      </c>
      <c r="BZ124" s="216" t="inlineStr">
        <is>
          <t/>
        </is>
      </c>
      <c r="CA124" s="217" t="inlineStr">
        <is>
          <t/>
        </is>
      </c>
      <c r="CB124" s="218" t="inlineStr">
        <is>
          <t>Venture Capital</t>
        </is>
      </c>
      <c r="CC124" s="219" t="inlineStr">
        <is>
          <t/>
        </is>
      </c>
      <c r="CD124" s="220" t="inlineStr">
        <is>
          <t/>
        </is>
      </c>
      <c r="CE124" s="221" t="inlineStr">
        <is>
          <t/>
        </is>
      </c>
      <c r="CF124" s="222" t="inlineStr">
        <is>
          <t>Completed</t>
        </is>
      </c>
      <c r="CG124" s="223" t="inlineStr">
        <is>
          <t>-3,14%</t>
        </is>
      </c>
      <c r="CH124" s="224" t="inlineStr">
        <is>
          <t>1</t>
        </is>
      </c>
      <c r="CI124" s="225" t="inlineStr">
        <is>
          <t>0,04%</t>
        </is>
      </c>
      <c r="CJ124" s="226" t="inlineStr">
        <is>
          <t>1,39%</t>
        </is>
      </c>
      <c r="CK124" s="227" t="inlineStr">
        <is>
          <t>-7,12%</t>
        </is>
      </c>
      <c r="CL124" s="228" t="inlineStr">
        <is>
          <t>1</t>
        </is>
      </c>
      <c r="CM124" s="229" t="inlineStr">
        <is>
          <t>0,84%</t>
        </is>
      </c>
      <c r="CN124" s="230" t="inlineStr">
        <is>
          <t>95</t>
        </is>
      </c>
      <c r="CO124" s="231" t="inlineStr">
        <is>
          <t>-7,12%</t>
        </is>
      </c>
      <c r="CP124" s="232" t="inlineStr">
        <is>
          <t>4</t>
        </is>
      </c>
      <c r="CQ124" s="233" t="inlineStr">
        <is>
          <t/>
        </is>
      </c>
      <c r="CR124" s="234" t="inlineStr">
        <is>
          <t/>
        </is>
      </c>
      <c r="CS124" s="235" t="inlineStr">
        <is>
          <t>1,33%</t>
        </is>
      </c>
      <c r="CT124" s="236" t="inlineStr">
        <is>
          <t>96</t>
        </is>
      </c>
      <c r="CU124" s="237" t="inlineStr">
        <is>
          <t>0,35%</t>
        </is>
      </c>
      <c r="CV124" s="238" t="inlineStr">
        <is>
          <t>87</t>
        </is>
      </c>
      <c r="CW124" s="239" t="inlineStr">
        <is>
          <t>3,67x</t>
        </is>
      </c>
      <c r="CX124" s="240" t="inlineStr">
        <is>
          <t>74</t>
        </is>
      </c>
      <c r="CY124" s="241" t="inlineStr">
        <is>
          <t>0,03x</t>
        </is>
      </c>
      <c r="CZ124" s="242" t="inlineStr">
        <is>
          <t>0,69%</t>
        </is>
      </c>
      <c r="DA124" s="243" t="inlineStr">
        <is>
          <t>5,29x</t>
        </is>
      </c>
      <c r="DB124" s="244" t="inlineStr">
        <is>
          <t>81</t>
        </is>
      </c>
      <c r="DC124" s="245" t="inlineStr">
        <is>
          <t>2,05x</t>
        </is>
      </c>
      <c r="DD124" s="246" t="inlineStr">
        <is>
          <t>62</t>
        </is>
      </c>
      <c r="DE124" s="247" t="inlineStr">
        <is>
          <t>5,29x</t>
        </is>
      </c>
      <c r="DF124" s="248" t="inlineStr">
        <is>
          <t>77</t>
        </is>
      </c>
      <c r="DG124" s="249" t="inlineStr">
        <is>
          <t/>
        </is>
      </c>
      <c r="DH124" s="250" t="inlineStr">
        <is>
          <t/>
        </is>
      </c>
      <c r="DI124" s="251" t="inlineStr">
        <is>
          <t>0,91x</t>
        </is>
      </c>
      <c r="DJ124" s="252" t="inlineStr">
        <is>
          <t>49</t>
        </is>
      </c>
      <c r="DK124" s="253" t="inlineStr">
        <is>
          <t>3,20x</t>
        </is>
      </c>
      <c r="DL124" s="254" t="inlineStr">
        <is>
          <t>71</t>
        </is>
      </c>
      <c r="DM124" s="255" t="inlineStr">
        <is>
          <t>3.456</t>
        </is>
      </c>
      <c r="DN124" s="256" t="inlineStr">
        <is>
          <t>-601</t>
        </is>
      </c>
      <c r="DO124" s="257" t="inlineStr">
        <is>
          <t>-14,81%</t>
        </is>
      </c>
      <c r="DP124" s="258" t="inlineStr">
        <is>
          <t>720</t>
        </is>
      </c>
      <c r="DQ124" s="259" t="inlineStr">
        <is>
          <t>9</t>
        </is>
      </c>
      <c r="DR124" s="260" t="inlineStr">
        <is>
          <t>1,27%</t>
        </is>
      </c>
      <c r="DS124" s="261" t="inlineStr">
        <is>
          <t/>
        </is>
      </c>
      <c r="DT124" s="262" t="inlineStr">
        <is>
          <t/>
        </is>
      </c>
      <c r="DU124" s="263" t="inlineStr">
        <is>
          <t/>
        </is>
      </c>
      <c r="DV124" s="264" t="inlineStr">
        <is>
          <t>1.096</t>
        </is>
      </c>
      <c r="DW124" s="265" t="inlineStr">
        <is>
          <t>6</t>
        </is>
      </c>
      <c r="DX124" s="266" t="inlineStr">
        <is>
          <t>0,55%</t>
        </is>
      </c>
      <c r="DY124" s="267" t="inlineStr">
        <is>
          <t>PitchBook Research</t>
        </is>
      </c>
      <c r="DZ124" s="786">
        <f>HYPERLINK("https://my.pitchbook.com?c=99274-60", "View company online")</f>
      </c>
    </row>
    <row r="125">
      <c r="A125" s="9" t="inlineStr">
        <is>
          <t>154688-77</t>
        </is>
      </c>
      <c r="B125" s="10" t="inlineStr">
        <is>
          <t>CornerJob</t>
        </is>
      </c>
      <c r="C125" s="11" t="inlineStr">
        <is>
          <t/>
        </is>
      </c>
      <c r="D125" s="12" t="inlineStr">
        <is>
          <t/>
        </is>
      </c>
      <c r="E125" s="13" t="inlineStr">
        <is>
          <t>154688-77</t>
        </is>
      </c>
      <c r="F125" s="14" t="inlineStr">
        <is>
          <t>Developer of a mobile recruiting platform created to facilitate connection between blue-collar and service jobs. The company's mobile recruiting platform focuses on non-executive positions in the markets by using tools for communication between employers and candidates, job filters and location-based capabilities.</t>
        </is>
      </c>
      <c r="G125" s="15" t="inlineStr">
        <is>
          <t>Information Technology</t>
        </is>
      </c>
      <c r="H125" s="16" t="inlineStr">
        <is>
          <t>Software</t>
        </is>
      </c>
      <c r="I125" s="17" t="inlineStr">
        <is>
          <t>Social/Platform Software</t>
        </is>
      </c>
      <c r="J125" s="18" t="inlineStr">
        <is>
          <t>Social/Platform Software*; Human Capital Services; Application Software</t>
        </is>
      </c>
      <c r="K125" s="19" t="inlineStr">
        <is>
          <t>Mobile, SaaS</t>
        </is>
      </c>
      <c r="L125" s="20" t="inlineStr">
        <is>
          <t>Venture Capital-Backed</t>
        </is>
      </c>
      <c r="M125" s="21" t="n">
        <v>36.24</v>
      </c>
      <c r="N125" s="22" t="inlineStr">
        <is>
          <t>Startup</t>
        </is>
      </c>
      <c r="O125" s="23" t="inlineStr">
        <is>
          <t>Privately Held (backing)</t>
        </is>
      </c>
      <c r="P125" s="24" t="inlineStr">
        <is>
          <t>Venture Capital</t>
        </is>
      </c>
      <c r="Q125" s="25" t="inlineStr">
        <is>
          <t>www.cornerjob.com</t>
        </is>
      </c>
      <c r="R125" s="26" t="n">
        <v>62.0</v>
      </c>
      <c r="S125" s="27" t="inlineStr">
        <is>
          <t/>
        </is>
      </c>
      <c r="T125" s="28" t="inlineStr">
        <is>
          <t/>
        </is>
      </c>
      <c r="U125" s="29" t="n">
        <v>2015.0</v>
      </c>
      <c r="V125" s="30" t="inlineStr">
        <is>
          <t/>
        </is>
      </c>
      <c r="W125" s="31" t="inlineStr">
        <is>
          <t/>
        </is>
      </c>
      <c r="X125" s="32" t="inlineStr">
        <is>
          <t/>
        </is>
      </c>
      <c r="Y125" s="33" t="inlineStr">
        <is>
          <t/>
        </is>
      </c>
      <c r="Z125" s="34" t="inlineStr">
        <is>
          <t/>
        </is>
      </c>
      <c r="AA125" s="35" t="inlineStr">
        <is>
          <t/>
        </is>
      </c>
      <c r="AB125" s="36" t="inlineStr">
        <is>
          <t/>
        </is>
      </c>
      <c r="AC125" s="37" t="inlineStr">
        <is>
          <t/>
        </is>
      </c>
      <c r="AD125" s="38" t="inlineStr">
        <is>
          <t/>
        </is>
      </c>
      <c r="AE125" s="39" t="inlineStr">
        <is>
          <t/>
        </is>
      </c>
      <c r="AF125" s="40" t="inlineStr">
        <is>
          <t/>
        </is>
      </c>
      <c r="AG125" s="41" t="inlineStr">
        <is>
          <t/>
        </is>
      </c>
      <c r="AH125" s="42" t="inlineStr">
        <is>
          <t/>
        </is>
      </c>
      <c r="AI125" s="43" t="inlineStr">
        <is>
          <t/>
        </is>
      </c>
      <c r="AJ125" s="44" t="inlineStr">
        <is>
          <t>Barcelona, Spain</t>
        </is>
      </c>
      <c r="AK125" s="45" t="inlineStr">
        <is>
          <t>Edificio Palau de Mar</t>
        </is>
      </c>
      <c r="AL125" s="46" t="inlineStr">
        <is>
          <t>Plaza Pau Vila nº1, Planta primera Sector AD</t>
        </is>
      </c>
      <c r="AM125" s="47" t="inlineStr">
        <is>
          <t>Barcelona</t>
        </is>
      </c>
      <c r="AN125" s="48" t="inlineStr">
        <is>
          <t/>
        </is>
      </c>
      <c r="AO125" s="49" t="inlineStr">
        <is>
          <t>08039</t>
        </is>
      </c>
      <c r="AP125" s="50" t="inlineStr">
        <is>
          <t>Spain</t>
        </is>
      </c>
      <c r="AQ125" s="51" t="inlineStr">
        <is>
          <t/>
        </is>
      </c>
      <c r="AR125" s="52" t="inlineStr">
        <is>
          <t/>
        </is>
      </c>
      <c r="AS125" s="53" t="inlineStr">
        <is>
          <t>support@cornerjob.com</t>
        </is>
      </c>
      <c r="AT125" s="54" t="inlineStr">
        <is>
          <t>Europe</t>
        </is>
      </c>
      <c r="AU125" s="55" t="inlineStr">
        <is>
          <t>Southern Europe</t>
        </is>
      </c>
      <c r="AV125" s="56" t="inlineStr">
        <is>
          <t>The company raised $22 million of Series C venture funding from Northzone Ventures, Innogest, Randstad Innovation Fund and e.ventures on August 1, 2017. Samaipata Ventures, Caixa Capital Risc, Sabadell Capital, Mediaset, Mediaset España Comunicación, TF1 Group, RTL Group, 5M Ventures, Media Digital Ventures, Augesco Ventures and Tv Azteca also participated in the round. The fund will be used for product development and to expand its leadership position in digital recruitment in all the countries where it operates (Italy, France, Spain and Mexico).</t>
        </is>
      </c>
      <c r="AW125" s="57" t="inlineStr">
        <is>
          <t>5M Ventures, Antai Venture Builder, Augesco Ventures, Banco Sabadell Foundation, Bonsai Venture Capital, Caixa Capital Risc, e.ventures, Innogest, Ithaca Investments, Keyword Venture Capital, Media Digital Ventures, Mediaset, Mediaset España Comunicación, Northzone Ventures, Randstad Innovation Fund, RTL Group, Sabadell Capital, Samaipata Ventures, TF1 Group, Tv Azteca, Variv Capital</t>
        </is>
      </c>
      <c r="AX125" s="58" t="n">
        <v>21.0</v>
      </c>
      <c r="AY125" s="59" t="inlineStr">
        <is>
          <t/>
        </is>
      </c>
      <c r="AZ125" s="60" t="inlineStr">
        <is>
          <t/>
        </is>
      </c>
      <c r="BA125" s="61" t="inlineStr">
        <is>
          <t/>
        </is>
      </c>
      <c r="BB125" s="62" t="inlineStr">
        <is>
          <t>5M Ventures (www.5m-ventures.com), Antai Venture Builder (www.antaivb.com), Augesco Ventures (www.augesco-ventures.com), Bonsai Venture Capital (www.bonsaiventurecapital.com), Caixa Capital Risc (www.caixacapitalrisc.es), e.ventures (www.eventures.vc), Innogest (www.innogest.it), Keyword Venture Capital (www.keyword.vc), Media Digital Ventures (www.mediadigitalventures.com), Mediaset (www.mediaset.it), Mediaset España Comunicación (www.mediaset.es), Northzone Ventures (www.northzone.com), RTL Group (www.rtlgroup.com), Sabadell Capital (bstartup.bancsabadell.com/investment/?lang=en), Samaipata Ventures (www.samaipataventures.com), Tv Azteca (www.irtvazteca.com), Variv Capital (www.variv.com)</t>
        </is>
      </c>
      <c r="BC125" s="63" t="inlineStr">
        <is>
          <t/>
        </is>
      </c>
      <c r="BD125" s="64" t="inlineStr">
        <is>
          <t/>
        </is>
      </c>
      <c r="BE125" s="65" t="inlineStr">
        <is>
          <t/>
        </is>
      </c>
      <c r="BF125" s="66" t="inlineStr">
        <is>
          <t>Rousaud Costas Duran (Legal Advisor), Empresa Nacional de Innovación</t>
        </is>
      </c>
      <c r="BG125" s="67" t="n">
        <v>42404.0</v>
      </c>
      <c r="BH125" s="68" t="n">
        <v>9.01</v>
      </c>
      <c r="BI125" s="69" t="inlineStr">
        <is>
          <t>Actual</t>
        </is>
      </c>
      <c r="BJ125" s="70" t="inlineStr">
        <is>
          <t/>
        </is>
      </c>
      <c r="BK125" s="71" t="inlineStr">
        <is>
          <t/>
        </is>
      </c>
      <c r="BL125" s="72" t="inlineStr">
        <is>
          <t>Early Stage VC</t>
        </is>
      </c>
      <c r="BM125" s="73" t="inlineStr">
        <is>
          <t>Series A</t>
        </is>
      </c>
      <c r="BN125" s="74" t="inlineStr">
        <is>
          <t/>
        </is>
      </c>
      <c r="BO125" s="75" t="inlineStr">
        <is>
          <t>Venture Capital</t>
        </is>
      </c>
      <c r="BP125" s="76" t="inlineStr">
        <is>
          <t>Loan</t>
        </is>
      </c>
      <c r="BQ125" s="77" t="inlineStr">
        <is>
          <t/>
        </is>
      </c>
      <c r="BR125" s="78" t="inlineStr">
        <is>
          <t/>
        </is>
      </c>
      <c r="BS125" s="79" t="inlineStr">
        <is>
          <t>Completed</t>
        </is>
      </c>
      <c r="BT125" s="80" t="n">
        <v>42948.0</v>
      </c>
      <c r="BU125" s="81" t="n">
        <v>18.62</v>
      </c>
      <c r="BV125" s="82" t="inlineStr">
        <is>
          <t>Actual</t>
        </is>
      </c>
      <c r="BW125" s="83" t="inlineStr">
        <is>
          <t/>
        </is>
      </c>
      <c r="BX125" s="84" t="inlineStr">
        <is>
          <t/>
        </is>
      </c>
      <c r="BY125" s="85" t="inlineStr">
        <is>
          <t>Later Stage VC</t>
        </is>
      </c>
      <c r="BZ125" s="86" t="inlineStr">
        <is>
          <t>Series C</t>
        </is>
      </c>
      <c r="CA125" s="87" t="inlineStr">
        <is>
          <t/>
        </is>
      </c>
      <c r="CB125" s="88" t="inlineStr">
        <is>
          <t>Venture Capital</t>
        </is>
      </c>
      <c r="CC125" s="89" t="inlineStr">
        <is>
          <t/>
        </is>
      </c>
      <c r="CD125" s="90" t="inlineStr">
        <is>
          <t/>
        </is>
      </c>
      <c r="CE125" s="91" t="inlineStr">
        <is>
          <t/>
        </is>
      </c>
      <c r="CF125" s="92" t="inlineStr">
        <is>
          <t>Completed</t>
        </is>
      </c>
      <c r="CG125" s="93" t="inlineStr">
        <is>
          <t>0,10%</t>
        </is>
      </c>
      <c r="CH125" s="94" t="inlineStr">
        <is>
          <t>73</t>
        </is>
      </c>
      <c r="CI125" s="95" t="inlineStr">
        <is>
          <t>-0,03%</t>
        </is>
      </c>
      <c r="CJ125" s="96" t="inlineStr">
        <is>
          <t>-21,03%</t>
        </is>
      </c>
      <c r="CK125" s="97" t="inlineStr">
        <is>
          <t>-0,38%</t>
        </is>
      </c>
      <c r="CL125" s="98" t="inlineStr">
        <is>
          <t>13</t>
        </is>
      </c>
      <c r="CM125" s="99" t="inlineStr">
        <is>
          <t>0,58%</t>
        </is>
      </c>
      <c r="CN125" s="100" t="inlineStr">
        <is>
          <t>91</t>
        </is>
      </c>
      <c r="CO125" s="101" t="inlineStr">
        <is>
          <t>-1,34%</t>
        </is>
      </c>
      <c r="CP125" s="102" t="inlineStr">
        <is>
          <t>18</t>
        </is>
      </c>
      <c r="CQ125" s="103" t="inlineStr">
        <is>
          <t>0,58%</t>
        </is>
      </c>
      <c r="CR125" s="104" t="inlineStr">
        <is>
          <t>87</t>
        </is>
      </c>
      <c r="CS125" s="105" t="inlineStr">
        <is>
          <t>0,19%</t>
        </is>
      </c>
      <c r="CT125" s="106" t="inlineStr">
        <is>
          <t>69</t>
        </is>
      </c>
      <c r="CU125" s="107" t="inlineStr">
        <is>
          <t>0,97%</t>
        </is>
      </c>
      <c r="CV125" s="108" t="inlineStr">
        <is>
          <t>97</t>
        </is>
      </c>
      <c r="CW125" s="109" t="inlineStr">
        <is>
          <t>120,10x</t>
        </is>
      </c>
      <c r="CX125" s="110" t="inlineStr">
        <is>
          <t>98</t>
        </is>
      </c>
      <c r="CY125" s="111" t="inlineStr">
        <is>
          <t>2,28x</t>
        </is>
      </c>
      <c r="CZ125" s="112" t="inlineStr">
        <is>
          <t>1,94%</t>
        </is>
      </c>
      <c r="DA125" s="113" t="inlineStr">
        <is>
          <t>54,50x</t>
        </is>
      </c>
      <c r="DB125" s="114" t="inlineStr">
        <is>
          <t>96</t>
        </is>
      </c>
      <c r="DC125" s="115" t="inlineStr">
        <is>
          <t>185,70x</t>
        </is>
      </c>
      <c r="DD125" s="116" t="inlineStr">
        <is>
          <t>98</t>
        </is>
      </c>
      <c r="DE125" s="117" t="inlineStr">
        <is>
          <t>98,44x</t>
        </is>
      </c>
      <c r="DF125" s="118" t="inlineStr">
        <is>
          <t>96</t>
        </is>
      </c>
      <c r="DG125" s="119" t="inlineStr">
        <is>
          <t>10,56x</t>
        </is>
      </c>
      <c r="DH125" s="120" t="inlineStr">
        <is>
          <t>87</t>
        </is>
      </c>
      <c r="DI125" s="121" t="inlineStr">
        <is>
          <t>367,84x</t>
        </is>
      </c>
      <c r="DJ125" s="122" t="inlineStr">
        <is>
          <t>98</t>
        </is>
      </c>
      <c r="DK125" s="123" t="inlineStr">
        <is>
          <t>3,57x</t>
        </is>
      </c>
      <c r="DL125" s="124" t="inlineStr">
        <is>
          <t>73</t>
        </is>
      </c>
      <c r="DM125" s="125" t="inlineStr">
        <is>
          <t>62.284</t>
        </is>
      </c>
      <c r="DN125" s="126" t="inlineStr">
        <is>
          <t>-5.238</t>
        </is>
      </c>
      <c r="DO125" s="127" t="inlineStr">
        <is>
          <t>-7,76%</t>
        </is>
      </c>
      <c r="DP125" s="128" t="inlineStr">
        <is>
          <t>293.670</t>
        </is>
      </c>
      <c r="DQ125" s="129" t="inlineStr">
        <is>
          <t>1.055</t>
        </is>
      </c>
      <c r="DR125" s="130" t="inlineStr">
        <is>
          <t>0,36%</t>
        </is>
      </c>
      <c r="DS125" s="131" t="inlineStr">
        <is>
          <t>378</t>
        </is>
      </c>
      <c r="DT125" s="132" t="inlineStr">
        <is>
          <t>2</t>
        </is>
      </c>
      <c r="DU125" s="133" t="inlineStr">
        <is>
          <t>0,53%</t>
        </is>
      </c>
      <c r="DV125" s="134" t="inlineStr">
        <is>
          <t>1.215</t>
        </is>
      </c>
      <c r="DW125" s="135" t="inlineStr">
        <is>
          <t>12</t>
        </is>
      </c>
      <c r="DX125" s="136" t="inlineStr">
        <is>
          <t>1,00%</t>
        </is>
      </c>
      <c r="DY125" s="137" t="inlineStr">
        <is>
          <t>PitchBook Research</t>
        </is>
      </c>
      <c r="DZ125" s="785">
        <f>HYPERLINK("https://my.pitchbook.com?c=154688-77", "View company online")</f>
      </c>
    </row>
    <row r="126">
      <c r="A126" s="139" t="inlineStr">
        <is>
          <t>185544-82</t>
        </is>
      </c>
      <c r="B126" s="140" t="inlineStr">
        <is>
          <t>Coya</t>
        </is>
      </c>
      <c r="C126" s="141" t="inlineStr">
        <is>
          <t/>
        </is>
      </c>
      <c r="D126" s="142" t="inlineStr">
        <is>
          <t/>
        </is>
      </c>
      <c r="E126" s="143" t="inlineStr">
        <is>
          <t>185544-82</t>
        </is>
      </c>
      <c r="F126" s="144" t="inlineStr">
        <is>
          <t>Operator of a digital insurance provider intended to protect peoples interests. The company's digital insurance firm designs and builds products for broker intermediaries rather than around customer, enabling brokers to manage life's risks and join our customer's journey.</t>
        </is>
      </c>
      <c r="G126" s="145" t="inlineStr">
        <is>
          <t>Financial Services</t>
        </is>
      </c>
      <c r="H126" s="146" t="inlineStr">
        <is>
          <t>Insurance</t>
        </is>
      </c>
      <c r="I126" s="147" t="inlineStr">
        <is>
          <t>Insurance Brokers</t>
        </is>
      </c>
      <c r="J126" s="148" t="inlineStr">
        <is>
          <t>Insurance Brokers*; Other Insurance</t>
        </is>
      </c>
      <c r="K126" s="149" t="inlineStr">
        <is>
          <t/>
        </is>
      </c>
      <c r="L126" s="150" t="inlineStr">
        <is>
          <t>Venture Capital-Backed</t>
        </is>
      </c>
      <c r="M126" s="151" t="n">
        <v>8.47</v>
      </c>
      <c r="N126" s="152" t="inlineStr">
        <is>
          <t>Generating Revenue</t>
        </is>
      </c>
      <c r="O126" s="153" t="inlineStr">
        <is>
          <t>Privately Held (backing)</t>
        </is>
      </c>
      <c r="P126" s="154" t="inlineStr">
        <is>
          <t>Venture Capital</t>
        </is>
      </c>
      <c r="Q126" s="155" t="inlineStr">
        <is>
          <t>www.coya.me</t>
        </is>
      </c>
      <c r="R126" s="156" t="n">
        <v>30.0</v>
      </c>
      <c r="S126" s="157" t="inlineStr">
        <is>
          <t/>
        </is>
      </c>
      <c r="T126" s="158" t="inlineStr">
        <is>
          <t/>
        </is>
      </c>
      <c r="U126" s="159" t="n">
        <v>2016.0</v>
      </c>
      <c r="V126" s="160" t="inlineStr">
        <is>
          <t/>
        </is>
      </c>
      <c r="W126" s="161" t="inlineStr">
        <is>
          <t/>
        </is>
      </c>
      <c r="X126" s="162" t="inlineStr">
        <is>
          <t/>
        </is>
      </c>
      <c r="Y126" s="163" t="inlineStr">
        <is>
          <t/>
        </is>
      </c>
      <c r="Z126" s="164" t="inlineStr">
        <is>
          <t/>
        </is>
      </c>
      <c r="AA126" s="165" t="inlineStr">
        <is>
          <t/>
        </is>
      </c>
      <c r="AB126" s="166" t="inlineStr">
        <is>
          <t/>
        </is>
      </c>
      <c r="AC126" s="167" t="inlineStr">
        <is>
          <t/>
        </is>
      </c>
      <c r="AD126" s="168" t="inlineStr">
        <is>
          <t/>
        </is>
      </c>
      <c r="AE126" s="169" t="inlineStr">
        <is>
          <t>169813-00P</t>
        </is>
      </c>
      <c r="AF126" s="170" t="inlineStr">
        <is>
          <t>Andrew Shaw</t>
        </is>
      </c>
      <c r="AG126" s="171" t="inlineStr">
        <is>
          <t>Chief Executive Officer &amp; Co-Founder</t>
        </is>
      </c>
      <c r="AH126" s="172" t="inlineStr">
        <is>
          <t>andrew.shaw@coya.com</t>
        </is>
      </c>
      <c r="AI126" s="173" t="inlineStr">
        <is>
          <t/>
        </is>
      </c>
      <c r="AJ126" s="174" t="inlineStr">
        <is>
          <t>Berlin, Germany</t>
        </is>
      </c>
      <c r="AK126" s="175" t="inlineStr">
        <is>
          <t>Stralauer Allee 2a</t>
        </is>
      </c>
      <c r="AL126" s="176" t="inlineStr">
        <is>
          <t/>
        </is>
      </c>
      <c r="AM126" s="177" t="inlineStr">
        <is>
          <t>Berlin</t>
        </is>
      </c>
      <c r="AN126" s="178" t="inlineStr">
        <is>
          <t/>
        </is>
      </c>
      <c r="AO126" s="179" t="inlineStr">
        <is>
          <t>10245</t>
        </is>
      </c>
      <c r="AP126" s="180" t="inlineStr">
        <is>
          <t>Germany</t>
        </is>
      </c>
      <c r="AQ126" s="181" t="inlineStr">
        <is>
          <t/>
        </is>
      </c>
      <c r="AR126" s="182" t="inlineStr">
        <is>
          <t/>
        </is>
      </c>
      <c r="AS126" s="183" t="inlineStr">
        <is>
          <t>hello@coya.com</t>
        </is>
      </c>
      <c r="AT126" s="184" t="inlineStr">
        <is>
          <t>Europe</t>
        </is>
      </c>
      <c r="AU126" s="185" t="inlineStr">
        <is>
          <t>Western Europe</t>
        </is>
      </c>
      <c r="AV126" s="186" t="inlineStr">
        <is>
          <t>The company raised over $10 million of seed funding in a deal led by Valar Ventures on August 28, 2017. La Famiglia, e.ventures, Mato Peric, Rolf Schrömgens, Elvir Omerbegovic, Marco Knauf, Sebastian Diemer and Alexander Graubner-Müller also participated in the round. The company intends to use the funds to continue to expand operations hiring new people to build the platform.</t>
        </is>
      </c>
      <c r="AW126" s="187" t="inlineStr">
        <is>
          <t>Alexander Graubner-Müller, e.ventures, Elvir Omerbegovic, La Famiglia, Marco Knauf, Mato Peric, Rolf Schrömgens, Sebastian Diemer, Valar Ventures</t>
        </is>
      </c>
      <c r="AX126" s="188" t="n">
        <v>9.0</v>
      </c>
      <c r="AY126" s="189" t="inlineStr">
        <is>
          <t/>
        </is>
      </c>
      <c r="AZ126" s="190" t="inlineStr">
        <is>
          <t/>
        </is>
      </c>
      <c r="BA126" s="191" t="inlineStr">
        <is>
          <t/>
        </is>
      </c>
      <c r="BB126" s="192" t="inlineStr">
        <is>
          <t>e.ventures (www.eventures.vc), La Famiglia (lafamiglia.vc), Mato Peric (de.linkedin.com/in/matoperic), Valar Ventures (www.valarventures.com)</t>
        </is>
      </c>
      <c r="BC126" s="193" t="inlineStr">
        <is>
          <t/>
        </is>
      </c>
      <c r="BD126" s="194" t="inlineStr">
        <is>
          <t/>
        </is>
      </c>
      <c r="BE126" s="195" t="inlineStr">
        <is>
          <t/>
        </is>
      </c>
      <c r="BF126" s="196" t="inlineStr">
        <is>
          <t/>
        </is>
      </c>
      <c r="BG126" s="197" t="n">
        <v>42975.0</v>
      </c>
      <c r="BH126" s="198" t="n">
        <v>8.47</v>
      </c>
      <c r="BI126" s="199" t="inlineStr">
        <is>
          <t>Estimated</t>
        </is>
      </c>
      <c r="BJ126" s="200" t="inlineStr">
        <is>
          <t/>
        </is>
      </c>
      <c r="BK126" s="201" t="inlineStr">
        <is>
          <t/>
        </is>
      </c>
      <c r="BL126" s="202" t="inlineStr">
        <is>
          <t>Seed Round</t>
        </is>
      </c>
      <c r="BM126" s="203" t="inlineStr">
        <is>
          <t>Seed</t>
        </is>
      </c>
      <c r="BN126" s="204" t="inlineStr">
        <is>
          <t/>
        </is>
      </c>
      <c r="BO126" s="205" t="inlineStr">
        <is>
          <t>Venture Capital</t>
        </is>
      </c>
      <c r="BP126" s="206" t="inlineStr">
        <is>
          <t/>
        </is>
      </c>
      <c r="BQ126" s="207" t="inlineStr">
        <is>
          <t/>
        </is>
      </c>
      <c r="BR126" s="208" t="inlineStr">
        <is>
          <t/>
        </is>
      </c>
      <c r="BS126" s="209" t="inlineStr">
        <is>
          <t>Completed</t>
        </is>
      </c>
      <c r="BT126" s="210" t="n">
        <v>42975.0</v>
      </c>
      <c r="BU126" s="211" t="n">
        <v>8.47</v>
      </c>
      <c r="BV126" s="212" t="inlineStr">
        <is>
          <t>Estimated</t>
        </is>
      </c>
      <c r="BW126" s="213" t="inlineStr">
        <is>
          <t/>
        </is>
      </c>
      <c r="BX126" s="214" t="inlineStr">
        <is>
          <t/>
        </is>
      </c>
      <c r="BY126" s="215" t="inlineStr">
        <is>
          <t>Seed Round</t>
        </is>
      </c>
      <c r="BZ126" s="216" t="inlineStr">
        <is>
          <t>Seed</t>
        </is>
      </c>
      <c r="CA126" s="217" t="inlineStr">
        <is>
          <t/>
        </is>
      </c>
      <c r="CB126" s="218" t="inlineStr">
        <is>
          <t>Venture Capital</t>
        </is>
      </c>
      <c r="CC126" s="219" t="inlineStr">
        <is>
          <t/>
        </is>
      </c>
      <c r="CD126" s="220" t="inlineStr">
        <is>
          <t/>
        </is>
      </c>
      <c r="CE126" s="221" t="inlineStr">
        <is>
          <t/>
        </is>
      </c>
      <c r="CF126" s="222" t="inlineStr">
        <is>
          <t>Completed</t>
        </is>
      </c>
      <c r="CG126" s="223" t="inlineStr">
        <is>
          <t/>
        </is>
      </c>
      <c r="CH126" s="224" t="inlineStr">
        <is>
          <t/>
        </is>
      </c>
      <c r="CI126" s="225" t="inlineStr">
        <is>
          <t/>
        </is>
      </c>
      <c r="CJ126" s="226" t="inlineStr">
        <is>
          <t/>
        </is>
      </c>
      <c r="CK126" s="227" t="inlineStr">
        <is>
          <t/>
        </is>
      </c>
      <c r="CL126" s="228" t="inlineStr">
        <is>
          <t/>
        </is>
      </c>
      <c r="CM126" s="229" t="inlineStr">
        <is>
          <t/>
        </is>
      </c>
      <c r="CN126" s="230" t="inlineStr">
        <is>
          <t/>
        </is>
      </c>
      <c r="CO126" s="231" t="inlineStr">
        <is>
          <t/>
        </is>
      </c>
      <c r="CP126" s="232" t="inlineStr">
        <is>
          <t/>
        </is>
      </c>
      <c r="CQ126" s="233" t="inlineStr">
        <is>
          <t/>
        </is>
      </c>
      <c r="CR126" s="234" t="inlineStr">
        <is>
          <t/>
        </is>
      </c>
      <c r="CS126" s="235" t="inlineStr">
        <is>
          <t/>
        </is>
      </c>
      <c r="CT126" s="236" t="inlineStr">
        <is>
          <t/>
        </is>
      </c>
      <c r="CU126" s="237" t="inlineStr">
        <is>
          <t/>
        </is>
      </c>
      <c r="CV126" s="238" t="inlineStr">
        <is>
          <t/>
        </is>
      </c>
      <c r="CW126" s="239" t="inlineStr">
        <is>
          <t/>
        </is>
      </c>
      <c r="CX126" s="240" t="inlineStr">
        <is>
          <t/>
        </is>
      </c>
      <c r="CY126" s="241" t="inlineStr">
        <is>
          <t/>
        </is>
      </c>
      <c r="CZ126" s="242" t="inlineStr">
        <is>
          <t/>
        </is>
      </c>
      <c r="DA126" s="243" t="inlineStr">
        <is>
          <t/>
        </is>
      </c>
      <c r="DB126" s="244" t="inlineStr">
        <is>
          <t/>
        </is>
      </c>
      <c r="DC126" s="245" t="inlineStr">
        <is>
          <t/>
        </is>
      </c>
      <c r="DD126" s="246" t="inlineStr">
        <is>
          <t/>
        </is>
      </c>
      <c r="DE126" s="247" t="inlineStr">
        <is>
          <t/>
        </is>
      </c>
      <c r="DF126" s="248" t="inlineStr">
        <is>
          <t/>
        </is>
      </c>
      <c r="DG126" s="249" t="inlineStr">
        <is>
          <t/>
        </is>
      </c>
      <c r="DH126" s="250" t="inlineStr">
        <is>
          <t/>
        </is>
      </c>
      <c r="DI126" s="251" t="inlineStr">
        <is>
          <t/>
        </is>
      </c>
      <c r="DJ126" s="252" t="inlineStr">
        <is>
          <t/>
        </is>
      </c>
      <c r="DK126" s="253" t="inlineStr">
        <is>
          <t/>
        </is>
      </c>
      <c r="DL126" s="254" t="inlineStr">
        <is>
          <t/>
        </is>
      </c>
      <c r="DM126" s="255" t="inlineStr">
        <is>
          <t/>
        </is>
      </c>
      <c r="DN126" s="256" t="inlineStr">
        <is>
          <t/>
        </is>
      </c>
      <c r="DO126" s="257" t="inlineStr">
        <is>
          <t/>
        </is>
      </c>
      <c r="DP126" s="258" t="inlineStr">
        <is>
          <t/>
        </is>
      </c>
      <c r="DQ126" s="259" t="inlineStr">
        <is>
          <t/>
        </is>
      </c>
      <c r="DR126" s="260" t="inlineStr">
        <is>
          <t/>
        </is>
      </c>
      <c r="DS126" s="261" t="inlineStr">
        <is>
          <t/>
        </is>
      </c>
      <c r="DT126" s="262" t="inlineStr">
        <is>
          <t/>
        </is>
      </c>
      <c r="DU126" s="263" t="inlineStr">
        <is>
          <t/>
        </is>
      </c>
      <c r="DV126" s="264" t="inlineStr">
        <is>
          <t/>
        </is>
      </c>
      <c r="DW126" s="265" t="inlineStr">
        <is>
          <t/>
        </is>
      </c>
      <c r="DX126" s="266" t="inlineStr">
        <is>
          <t/>
        </is>
      </c>
      <c r="DY126" s="267" t="inlineStr">
        <is>
          <t>PitchBook Research</t>
        </is>
      </c>
      <c r="DZ126" s="786">
        <f>HYPERLINK("https://my.pitchbook.com?c=185544-82", "View company online")</f>
      </c>
    </row>
    <row r="127">
      <c r="A127" s="9" t="inlineStr">
        <is>
          <t>62356-33</t>
        </is>
      </c>
      <c r="B127" s="10" t="inlineStr">
        <is>
          <t>Crate Technology</t>
        </is>
      </c>
      <c r="C127" s="11" t="inlineStr">
        <is>
          <t/>
        </is>
      </c>
      <c r="D127" s="12" t="inlineStr">
        <is>
          <t>Crate.io, Crate</t>
        </is>
      </c>
      <c r="E127" s="13" t="inlineStr">
        <is>
          <t>62356-33</t>
        </is>
      </c>
      <c r="F127" s="14" t="inlineStr">
        <is>
          <t>Provider of SQL database for containerized architectures. The company offers a database that runs with clients' existing network architecture and offers sub-second queries on tabular data and semi-structured records.</t>
        </is>
      </c>
      <c r="G127" s="15" t="inlineStr">
        <is>
          <t>Information Technology</t>
        </is>
      </c>
      <c r="H127" s="16" t="inlineStr">
        <is>
          <t>Software</t>
        </is>
      </c>
      <c r="I127" s="17" t="inlineStr">
        <is>
          <t>Application Software</t>
        </is>
      </c>
      <c r="J127" s="18" t="inlineStr">
        <is>
          <t>Application Software*; Database Software</t>
        </is>
      </c>
      <c r="K127" s="19" t="inlineStr">
        <is>
          <t>Big Data</t>
        </is>
      </c>
      <c r="L127" s="20" t="inlineStr">
        <is>
          <t>Venture Capital-Backed</t>
        </is>
      </c>
      <c r="M127" s="21" t="n">
        <v>7.19</v>
      </c>
      <c r="N127" s="22" t="inlineStr">
        <is>
          <t>Generating Revenue</t>
        </is>
      </c>
      <c r="O127" s="23" t="inlineStr">
        <is>
          <t>Privately Held (backing)</t>
        </is>
      </c>
      <c r="P127" s="24" t="inlineStr">
        <is>
          <t>Venture Capital</t>
        </is>
      </c>
      <c r="Q127" s="25" t="inlineStr">
        <is>
          <t>www.crate.io</t>
        </is>
      </c>
      <c r="R127" s="26" t="n">
        <v>21.0</v>
      </c>
      <c r="S127" s="27" t="inlineStr">
        <is>
          <t/>
        </is>
      </c>
      <c r="T127" s="28" t="inlineStr">
        <is>
          <t/>
        </is>
      </c>
      <c r="U127" s="29" t="n">
        <v>2013.0</v>
      </c>
      <c r="V127" s="30" t="inlineStr">
        <is>
          <t/>
        </is>
      </c>
      <c r="W127" s="31" t="inlineStr">
        <is>
          <t/>
        </is>
      </c>
      <c r="X127" s="32" t="inlineStr">
        <is>
          <t/>
        </is>
      </c>
      <c r="Y127" s="33" t="inlineStr">
        <is>
          <t/>
        </is>
      </c>
      <c r="Z127" s="34" t="inlineStr">
        <is>
          <t/>
        </is>
      </c>
      <c r="AA127" s="35" t="inlineStr">
        <is>
          <t/>
        </is>
      </c>
      <c r="AB127" s="36" t="inlineStr">
        <is>
          <t/>
        </is>
      </c>
      <c r="AC127" s="37" t="inlineStr">
        <is>
          <t/>
        </is>
      </c>
      <c r="AD127" s="38" t="inlineStr">
        <is>
          <t/>
        </is>
      </c>
      <c r="AE127" s="39" t="inlineStr">
        <is>
          <t>64901-71P</t>
        </is>
      </c>
      <c r="AF127" s="40" t="inlineStr">
        <is>
          <t>Jodok Batlogg</t>
        </is>
      </c>
      <c r="AG127" s="41" t="inlineStr">
        <is>
          <t>Co-Founder &amp; Chief Technology Officer</t>
        </is>
      </c>
      <c r="AH127" s="42" t="inlineStr">
        <is>
          <t>jodok@crate.io</t>
        </is>
      </c>
      <c r="AI127" s="43" t="inlineStr">
        <is>
          <t>+1 (415) 358-0808</t>
        </is>
      </c>
      <c r="AJ127" s="44" t="inlineStr">
        <is>
          <t>Dornbirn, Austria</t>
        </is>
      </c>
      <c r="AK127" s="45" t="inlineStr">
        <is>
          <t>Hintere Achmühlerstrasse 1</t>
        </is>
      </c>
      <c r="AL127" s="46" t="inlineStr">
        <is>
          <t/>
        </is>
      </c>
      <c r="AM127" s="47" t="inlineStr">
        <is>
          <t>Dornbirn</t>
        </is>
      </c>
      <c r="AN127" s="48" t="inlineStr">
        <is>
          <t/>
        </is>
      </c>
      <c r="AO127" s="49" t="inlineStr">
        <is>
          <t>6850</t>
        </is>
      </c>
      <c r="AP127" s="50" t="inlineStr">
        <is>
          <t>Austria</t>
        </is>
      </c>
      <c r="AQ127" s="51" t="inlineStr">
        <is>
          <t>+43 (0)557 2909 808</t>
        </is>
      </c>
      <c r="AR127" s="52" t="inlineStr">
        <is>
          <t>+43 (0)557 2909 8087 7</t>
        </is>
      </c>
      <c r="AS127" s="53" t="inlineStr">
        <is>
          <t/>
        </is>
      </c>
      <c r="AT127" s="54" t="inlineStr">
        <is>
          <t>Europe</t>
        </is>
      </c>
      <c r="AU127" s="55" t="inlineStr">
        <is>
          <t>Western Europe</t>
        </is>
      </c>
      <c r="AV127" s="56" t="inlineStr">
        <is>
          <t>The company raised EUR 2.5 million of seed funding from led by Vito Ventures on December 15, 2016. Sunstone Capital, Dawn Capital, Draper Esprit and Speedinvest also invested in this round. The company will use the funds to further expand its new headquarters in San Francisco, CA, and to increase its development and sales efforts. Previously, the company raised $4 million of seed funding in a deal led by Dawn Capital, Sunstone Capital, Draper Esprit, Speedinvest and Solomon Hykes on March 15, 2016.</t>
        </is>
      </c>
      <c r="AW127" s="57" t="inlineStr">
        <is>
          <t>Dawn Capital, Draper Esprit, Solomon Hykes, Speedinvest, Sunstone Capital, Vito Ventures</t>
        </is>
      </c>
      <c r="AX127" s="58" t="n">
        <v>6.0</v>
      </c>
      <c r="AY127" s="59" t="inlineStr">
        <is>
          <t/>
        </is>
      </c>
      <c r="AZ127" s="60" t="inlineStr">
        <is>
          <t/>
        </is>
      </c>
      <c r="BA127" s="61" t="inlineStr">
        <is>
          <t/>
        </is>
      </c>
      <c r="BB127" s="62" t="inlineStr">
        <is>
          <t>Dawn Capital (www.dawncapital.com), Draper Esprit (www.draperesprit.com), Speedinvest (www.speedinvest.com), Sunstone Capital (www.sunstone.eu), Vito Ventures (www.vito.vc)</t>
        </is>
      </c>
      <c r="BC127" s="63" t="inlineStr">
        <is>
          <t/>
        </is>
      </c>
      <c r="BD127" s="64" t="inlineStr">
        <is>
          <t/>
        </is>
      </c>
      <c r="BE127" s="65" t="inlineStr">
        <is>
          <t>True Capital Partners (Advisor)</t>
        </is>
      </c>
      <c r="BF127" s="66" t="inlineStr">
        <is>
          <t>True Capital Partners (Advisor)</t>
        </is>
      </c>
      <c r="BG127" s="67" t="n">
        <v>41754.0</v>
      </c>
      <c r="BH127" s="68" t="n">
        <v>1.09</v>
      </c>
      <c r="BI127" s="69" t="inlineStr">
        <is>
          <t>Actual</t>
        </is>
      </c>
      <c r="BJ127" s="70" t="inlineStr">
        <is>
          <t/>
        </is>
      </c>
      <c r="BK127" s="71" t="inlineStr">
        <is>
          <t/>
        </is>
      </c>
      <c r="BL127" s="72" t="inlineStr">
        <is>
          <t>Early Stage VC</t>
        </is>
      </c>
      <c r="BM127" s="73" t="inlineStr">
        <is>
          <t/>
        </is>
      </c>
      <c r="BN127" s="74" t="inlineStr">
        <is>
          <t/>
        </is>
      </c>
      <c r="BO127" s="75" t="inlineStr">
        <is>
          <t>Venture Capital</t>
        </is>
      </c>
      <c r="BP127" s="76" t="inlineStr">
        <is>
          <t/>
        </is>
      </c>
      <c r="BQ127" s="77" t="inlineStr">
        <is>
          <t/>
        </is>
      </c>
      <c r="BR127" s="78" t="inlineStr">
        <is>
          <t/>
        </is>
      </c>
      <c r="BS127" s="79" t="inlineStr">
        <is>
          <t>Completed</t>
        </is>
      </c>
      <c r="BT127" s="80" t="n">
        <v>42719.0</v>
      </c>
      <c r="BU127" s="81" t="n">
        <v>2.5</v>
      </c>
      <c r="BV127" s="82" t="inlineStr">
        <is>
          <t>Actual</t>
        </is>
      </c>
      <c r="BW127" s="83" t="inlineStr">
        <is>
          <t/>
        </is>
      </c>
      <c r="BX127" s="84" t="inlineStr">
        <is>
          <t/>
        </is>
      </c>
      <c r="BY127" s="85" t="inlineStr">
        <is>
          <t>Seed Round</t>
        </is>
      </c>
      <c r="BZ127" s="86" t="inlineStr">
        <is>
          <t>Seed</t>
        </is>
      </c>
      <c r="CA127" s="87" t="inlineStr">
        <is>
          <t/>
        </is>
      </c>
      <c r="CB127" s="88" t="inlineStr">
        <is>
          <t>Venture Capital</t>
        </is>
      </c>
      <c r="CC127" s="89" t="inlineStr">
        <is>
          <t/>
        </is>
      </c>
      <c r="CD127" s="90" t="inlineStr">
        <is>
          <t/>
        </is>
      </c>
      <c r="CE127" s="91" t="inlineStr">
        <is>
          <t/>
        </is>
      </c>
      <c r="CF127" s="92" t="inlineStr">
        <is>
          <t>Completed</t>
        </is>
      </c>
      <c r="CG127" s="93" t="inlineStr">
        <is>
          <t>-0,13%</t>
        </is>
      </c>
      <c r="CH127" s="94" t="inlineStr">
        <is>
          <t>13</t>
        </is>
      </c>
      <c r="CI127" s="95" t="inlineStr">
        <is>
          <t>0,01%</t>
        </is>
      </c>
      <c r="CJ127" s="96" t="inlineStr">
        <is>
          <t>8,46%</t>
        </is>
      </c>
      <c r="CK127" s="97" t="inlineStr">
        <is>
          <t>-0,42%</t>
        </is>
      </c>
      <c r="CL127" s="98" t="inlineStr">
        <is>
          <t>13</t>
        </is>
      </c>
      <c r="CM127" s="99" t="inlineStr">
        <is>
          <t>0,16%</t>
        </is>
      </c>
      <c r="CN127" s="100" t="inlineStr">
        <is>
          <t>69</t>
        </is>
      </c>
      <c r="CO127" s="101" t="inlineStr">
        <is>
          <t>-0,84%</t>
        </is>
      </c>
      <c r="CP127" s="102" t="inlineStr">
        <is>
          <t>21</t>
        </is>
      </c>
      <c r="CQ127" s="103" t="inlineStr">
        <is>
          <t>0,00%</t>
        </is>
      </c>
      <c r="CR127" s="104" t="inlineStr">
        <is>
          <t>13</t>
        </is>
      </c>
      <c r="CS127" s="105" t="inlineStr">
        <is>
          <t>0,20%</t>
        </is>
      </c>
      <c r="CT127" s="106" t="inlineStr">
        <is>
          <t>70</t>
        </is>
      </c>
      <c r="CU127" s="107" t="inlineStr">
        <is>
          <t>0,12%</t>
        </is>
      </c>
      <c r="CV127" s="108" t="inlineStr">
        <is>
          <t>70</t>
        </is>
      </c>
      <c r="CW127" s="109" t="inlineStr">
        <is>
          <t>6,66x</t>
        </is>
      </c>
      <c r="CX127" s="110" t="inlineStr">
        <is>
          <t>82</t>
        </is>
      </c>
      <c r="CY127" s="111" t="inlineStr">
        <is>
          <t>0,06x</t>
        </is>
      </c>
      <c r="CZ127" s="112" t="inlineStr">
        <is>
          <t>0,84%</t>
        </is>
      </c>
      <c r="DA127" s="113" t="inlineStr">
        <is>
          <t>10,03x</t>
        </is>
      </c>
      <c r="DB127" s="114" t="inlineStr">
        <is>
          <t>87</t>
        </is>
      </c>
      <c r="DC127" s="115" t="inlineStr">
        <is>
          <t>3,29x</t>
        </is>
      </c>
      <c r="DD127" s="116" t="inlineStr">
        <is>
          <t>70</t>
        </is>
      </c>
      <c r="DE127" s="117" t="inlineStr">
        <is>
          <t>18,53x</t>
        </is>
      </c>
      <c r="DF127" s="118" t="inlineStr">
        <is>
          <t>88</t>
        </is>
      </c>
      <c r="DG127" s="119" t="inlineStr">
        <is>
          <t>1,53x</t>
        </is>
      </c>
      <c r="DH127" s="120" t="inlineStr">
        <is>
          <t>59</t>
        </is>
      </c>
      <c r="DI127" s="121" t="inlineStr">
        <is>
          <t>0,65x</t>
        </is>
      </c>
      <c r="DJ127" s="122" t="inlineStr">
        <is>
          <t>43</t>
        </is>
      </c>
      <c r="DK127" s="123" t="inlineStr">
        <is>
          <t>5,94x</t>
        </is>
      </c>
      <c r="DL127" s="124" t="inlineStr">
        <is>
          <t>80</t>
        </is>
      </c>
      <c r="DM127" s="125" t="inlineStr">
        <is>
          <t>11.319</t>
        </is>
      </c>
      <c r="DN127" s="126" t="inlineStr">
        <is>
          <t>233</t>
        </is>
      </c>
      <c r="DO127" s="127" t="inlineStr">
        <is>
          <t>2,10%</t>
        </is>
      </c>
      <c r="DP127" s="128" t="inlineStr">
        <is>
          <t>514</t>
        </is>
      </c>
      <c r="DQ127" s="129" t="inlineStr">
        <is>
          <t>3</t>
        </is>
      </c>
      <c r="DR127" s="130" t="inlineStr">
        <is>
          <t>0,59%</t>
        </is>
      </c>
      <c r="DS127" s="131" t="inlineStr">
        <is>
          <t>54</t>
        </is>
      </c>
      <c r="DT127" s="132" t="inlineStr">
        <is>
          <t>0</t>
        </is>
      </c>
      <c r="DU127" s="133" t="inlineStr">
        <is>
          <t>0,00%</t>
        </is>
      </c>
      <c r="DV127" s="134" t="inlineStr">
        <is>
          <t>2.032</t>
        </is>
      </c>
      <c r="DW127" s="135" t="inlineStr">
        <is>
          <t>6</t>
        </is>
      </c>
      <c r="DX127" s="136" t="inlineStr">
        <is>
          <t>0,30%</t>
        </is>
      </c>
      <c r="DY127" s="137" t="inlineStr">
        <is>
          <t>PitchBook Research</t>
        </is>
      </c>
      <c r="DZ127" s="785">
        <f>HYPERLINK("https://my.pitchbook.com?c=62356-33", "View company online")</f>
      </c>
    </row>
    <row r="128">
      <c r="A128" s="139" t="inlineStr">
        <is>
          <t>62322-76</t>
        </is>
      </c>
      <c r="B128" s="140" t="inlineStr">
        <is>
          <t>Creavo Medical Technologies</t>
        </is>
      </c>
      <c r="C128" s="141" t="inlineStr">
        <is>
          <t>Quantum Imaging</t>
        </is>
      </c>
      <c r="D128" s="142" t="inlineStr">
        <is>
          <t/>
        </is>
      </c>
      <c r="E128" s="143" t="inlineStr">
        <is>
          <t>62322-76</t>
        </is>
      </c>
      <c r="F128" s="144" t="inlineStr">
        <is>
          <t>Provider of medical imaging devices designed to create detection technology to support patient care. The company's medical imaging devices specializes in detection of acute coronary syndromes and ischemia, enabling doctors to meet global healthcare needs and to help deliver better patient outcomes.</t>
        </is>
      </c>
      <c r="G128" s="145" t="inlineStr">
        <is>
          <t>Healthcare</t>
        </is>
      </c>
      <c r="H128" s="146" t="inlineStr">
        <is>
          <t>Healthcare Devices and Supplies</t>
        </is>
      </c>
      <c r="I128" s="147" t="inlineStr">
        <is>
          <t>Diagnostic Equipment</t>
        </is>
      </c>
      <c r="J128" s="148" t="inlineStr">
        <is>
          <t>Diagnostic Equipment*; Other Devices and Supplies</t>
        </is>
      </c>
      <c r="K128" s="149" t="inlineStr">
        <is>
          <t/>
        </is>
      </c>
      <c r="L128" s="150" t="inlineStr">
        <is>
          <t>Venture Capital-Backed</t>
        </is>
      </c>
      <c r="M128" s="151" t="n">
        <v>7.92</v>
      </c>
      <c r="N128" s="152" t="inlineStr">
        <is>
          <t>Startup</t>
        </is>
      </c>
      <c r="O128" s="153" t="inlineStr">
        <is>
          <t>Privately Held (backing)</t>
        </is>
      </c>
      <c r="P128" s="154" t="inlineStr">
        <is>
          <t>Venture Capital</t>
        </is>
      </c>
      <c r="Q128" s="155" t="inlineStr">
        <is>
          <t>www.creavomedtech.com</t>
        </is>
      </c>
      <c r="R128" s="156" t="n">
        <v>7.0</v>
      </c>
      <c r="S128" s="157" t="inlineStr">
        <is>
          <t/>
        </is>
      </c>
      <c r="T128" s="158" t="inlineStr">
        <is>
          <t/>
        </is>
      </c>
      <c r="U128" s="159" t="n">
        <v>2014.0</v>
      </c>
      <c r="V128" s="160" t="inlineStr">
        <is>
          <t/>
        </is>
      </c>
      <c r="W128" s="161" t="inlineStr">
        <is>
          <t/>
        </is>
      </c>
      <c r="X128" s="162" t="inlineStr">
        <is>
          <t/>
        </is>
      </c>
      <c r="Y128" s="163" t="n">
        <v>1.03344</v>
      </c>
      <c r="Z128" s="164" t="inlineStr">
        <is>
          <t/>
        </is>
      </c>
      <c r="AA128" s="165" t="inlineStr">
        <is>
          <t/>
        </is>
      </c>
      <c r="AB128" s="166" t="inlineStr">
        <is>
          <t/>
        </is>
      </c>
      <c r="AC128" s="167" t="inlineStr">
        <is>
          <t/>
        </is>
      </c>
      <c r="AD128" s="168" t="inlineStr">
        <is>
          <t>FY 2015</t>
        </is>
      </c>
      <c r="AE128" s="169" t="inlineStr">
        <is>
          <t>64787-86P</t>
        </is>
      </c>
      <c r="AF128" s="170" t="inlineStr">
        <is>
          <t>Steven Parker</t>
        </is>
      </c>
      <c r="AG128" s="171" t="inlineStr">
        <is>
          <t>Board Member &amp; Chief Executive Officer</t>
        </is>
      </c>
      <c r="AH128" s="172" t="inlineStr">
        <is>
          <t>steve.parker@quantumimaging.eu</t>
        </is>
      </c>
      <c r="AI128" s="173" t="inlineStr">
        <is>
          <t>+44 (0)84 5643 9108</t>
        </is>
      </c>
      <c r="AJ128" s="174" t="inlineStr">
        <is>
          <t>Coventry, United Kingdom</t>
        </is>
      </c>
      <c r="AK128" s="175" t="inlineStr">
        <is>
          <t>2020 House, Siskin Drive</t>
        </is>
      </c>
      <c r="AL128" s="176" t="inlineStr">
        <is>
          <t>Middlemarch Business Park</t>
        </is>
      </c>
      <c r="AM128" s="177" t="inlineStr">
        <is>
          <t>Coventry</t>
        </is>
      </c>
      <c r="AN128" s="178" t="inlineStr">
        <is>
          <t>England</t>
        </is>
      </c>
      <c r="AO128" s="179" t="inlineStr">
        <is>
          <t>CV3 4FJ</t>
        </is>
      </c>
      <c r="AP128" s="180" t="inlineStr">
        <is>
          <t>United Kingdom</t>
        </is>
      </c>
      <c r="AQ128" s="181" t="inlineStr">
        <is>
          <t>+44 (0)19 2667 0560</t>
        </is>
      </c>
      <c r="AR128" s="182" t="inlineStr">
        <is>
          <t/>
        </is>
      </c>
      <c r="AS128" s="183" t="inlineStr">
        <is>
          <t>info@quantumimaging.eu</t>
        </is>
      </c>
      <c r="AT128" s="184" t="inlineStr">
        <is>
          <t>Europe</t>
        </is>
      </c>
      <c r="AU128" s="185" t="inlineStr">
        <is>
          <t>Western Europe</t>
        </is>
      </c>
      <c r="AV128" s="186" t="inlineStr">
        <is>
          <t>The company raised GBP 4.6 million of Series A venture funding in a deal led by IP Group on February 5, 2016. University of Leeds Endowment, company's management and other undisclosed investors also participated in the round. The company intends to use the funds for further development of its imaging technology.</t>
        </is>
      </c>
      <c r="AW128" s="187" t="inlineStr">
        <is>
          <t>IP Group, University of Leeds Endowment</t>
        </is>
      </c>
      <c r="AX128" s="188" t="n">
        <v>2.0</v>
      </c>
      <c r="AY128" s="189" t="inlineStr">
        <is>
          <t/>
        </is>
      </c>
      <c r="AZ128" s="190" t="inlineStr">
        <is>
          <t/>
        </is>
      </c>
      <c r="BA128" s="191" t="inlineStr">
        <is>
          <t/>
        </is>
      </c>
      <c r="BB128" s="192" t="inlineStr">
        <is>
          <t>IP Group (www.ipgroupplc.com), University of Leeds Endowment (www.leeds.ac.uk)</t>
        </is>
      </c>
      <c r="BC128" s="193" t="inlineStr">
        <is>
          <t/>
        </is>
      </c>
      <c r="BD128" s="194" t="inlineStr">
        <is>
          <t/>
        </is>
      </c>
      <c r="BE128" s="195" t="inlineStr">
        <is>
          <t/>
        </is>
      </c>
      <c r="BF128" s="196" t="inlineStr">
        <is>
          <t/>
        </is>
      </c>
      <c r="BG128" s="197" t="inlineStr">
        <is>
          <t/>
        </is>
      </c>
      <c r="BH128" s="198" t="inlineStr">
        <is>
          <t/>
        </is>
      </c>
      <c r="BI128" s="199" t="inlineStr">
        <is>
          <t/>
        </is>
      </c>
      <c r="BJ128" s="200" t="inlineStr">
        <is>
          <t/>
        </is>
      </c>
      <c r="BK128" s="201" t="inlineStr">
        <is>
          <t/>
        </is>
      </c>
      <c r="BL128" s="202" t="inlineStr">
        <is>
          <t>Grant</t>
        </is>
      </c>
      <c r="BM128" s="203" t="inlineStr">
        <is>
          <t/>
        </is>
      </c>
      <c r="BN128" s="204" t="inlineStr">
        <is>
          <t/>
        </is>
      </c>
      <c r="BO128" s="205" t="inlineStr">
        <is>
          <t>Other</t>
        </is>
      </c>
      <c r="BP128" s="206" t="inlineStr">
        <is>
          <t/>
        </is>
      </c>
      <c r="BQ128" s="207" t="inlineStr">
        <is>
          <t/>
        </is>
      </c>
      <c r="BR128" s="208" t="inlineStr">
        <is>
          <t/>
        </is>
      </c>
      <c r="BS128" s="209" t="inlineStr">
        <is>
          <t>Completed</t>
        </is>
      </c>
      <c r="BT128" s="210" t="n">
        <v>42405.0</v>
      </c>
      <c r="BU128" s="211" t="n">
        <v>5.94</v>
      </c>
      <c r="BV128" s="212" t="inlineStr">
        <is>
          <t>Actual</t>
        </is>
      </c>
      <c r="BW128" s="213" t="inlineStr">
        <is>
          <t/>
        </is>
      </c>
      <c r="BX128" s="214" t="inlineStr">
        <is>
          <t/>
        </is>
      </c>
      <c r="BY128" s="215" t="inlineStr">
        <is>
          <t>Early Stage VC</t>
        </is>
      </c>
      <c r="BZ128" s="216" t="inlineStr">
        <is>
          <t>Series A</t>
        </is>
      </c>
      <c r="CA128" s="217" t="inlineStr">
        <is>
          <t/>
        </is>
      </c>
      <c r="CB128" s="218" t="inlineStr">
        <is>
          <t>Venture Capital</t>
        </is>
      </c>
      <c r="CC128" s="219" t="inlineStr">
        <is>
          <t/>
        </is>
      </c>
      <c r="CD128" s="220" t="inlineStr">
        <is>
          <t/>
        </is>
      </c>
      <c r="CE128" s="221" t="inlineStr">
        <is>
          <t/>
        </is>
      </c>
      <c r="CF128" s="222" t="inlineStr">
        <is>
          <t>Completed</t>
        </is>
      </c>
      <c r="CG128" s="223" t="inlineStr">
        <is>
          <t>1,84%</t>
        </is>
      </c>
      <c r="CH128" s="224" t="inlineStr">
        <is>
          <t>93</t>
        </is>
      </c>
      <c r="CI128" s="225" t="inlineStr">
        <is>
          <t>0,00%</t>
        </is>
      </c>
      <c r="CJ128" s="226" t="inlineStr">
        <is>
          <t>-0,04%</t>
        </is>
      </c>
      <c r="CK128" s="227" t="inlineStr">
        <is>
          <t>0,00%</t>
        </is>
      </c>
      <c r="CL128" s="228" t="inlineStr">
        <is>
          <t>18</t>
        </is>
      </c>
      <c r="CM128" s="229" t="inlineStr">
        <is>
          <t>3,68%</t>
        </is>
      </c>
      <c r="CN128" s="230" t="inlineStr">
        <is>
          <t>100</t>
        </is>
      </c>
      <c r="CO128" s="231" t="inlineStr">
        <is>
          <t>0,00%</t>
        </is>
      </c>
      <c r="CP128" s="232" t="inlineStr">
        <is>
          <t>26</t>
        </is>
      </c>
      <c r="CQ128" s="233" t="inlineStr">
        <is>
          <t>0,00%</t>
        </is>
      </c>
      <c r="CR128" s="234" t="inlineStr">
        <is>
          <t>13</t>
        </is>
      </c>
      <c r="CS128" s="235" t="inlineStr">
        <is>
          <t/>
        </is>
      </c>
      <c r="CT128" s="236" t="inlineStr">
        <is>
          <t/>
        </is>
      </c>
      <c r="CU128" s="237" t="inlineStr">
        <is>
          <t>3,68%</t>
        </is>
      </c>
      <c r="CV128" s="238" t="inlineStr">
        <is>
          <t>100</t>
        </is>
      </c>
      <c r="CW128" s="239" t="inlineStr">
        <is>
          <t>0,48x</t>
        </is>
      </c>
      <c r="CX128" s="240" t="inlineStr">
        <is>
          <t>33</t>
        </is>
      </c>
      <c r="CY128" s="241" t="inlineStr">
        <is>
          <t>0,01x</t>
        </is>
      </c>
      <c r="CZ128" s="242" t="inlineStr">
        <is>
          <t>1,48%</t>
        </is>
      </c>
      <c r="DA128" s="243" t="inlineStr">
        <is>
          <t>0,56x</t>
        </is>
      </c>
      <c r="DB128" s="244" t="inlineStr">
        <is>
          <t>38</t>
        </is>
      </c>
      <c r="DC128" s="245" t="inlineStr">
        <is>
          <t>0,39x</t>
        </is>
      </c>
      <c r="DD128" s="246" t="inlineStr">
        <is>
          <t>31</t>
        </is>
      </c>
      <c r="DE128" s="247" t="inlineStr">
        <is>
          <t>0,68x</t>
        </is>
      </c>
      <c r="DF128" s="248" t="inlineStr">
        <is>
          <t>43</t>
        </is>
      </c>
      <c r="DG128" s="249" t="inlineStr">
        <is>
          <t>0,44x</t>
        </is>
      </c>
      <c r="DH128" s="250" t="inlineStr">
        <is>
          <t>34</t>
        </is>
      </c>
      <c r="DI128" s="251" t="inlineStr">
        <is>
          <t/>
        </is>
      </c>
      <c r="DJ128" s="252" t="inlineStr">
        <is>
          <t/>
        </is>
      </c>
      <c r="DK128" s="253" t="inlineStr">
        <is>
          <t>0,39x</t>
        </is>
      </c>
      <c r="DL128" s="254" t="inlineStr">
        <is>
          <t>35</t>
        </is>
      </c>
      <c r="DM128" s="255" t="inlineStr">
        <is>
          <t>425</t>
        </is>
      </c>
      <c r="DN128" s="256" t="inlineStr">
        <is>
          <t>-28</t>
        </is>
      </c>
      <c r="DO128" s="257" t="inlineStr">
        <is>
          <t>-6,18%</t>
        </is>
      </c>
      <c r="DP128" s="258" t="inlineStr">
        <is>
          <t/>
        </is>
      </c>
      <c r="DQ128" s="259" t="inlineStr">
        <is>
          <t/>
        </is>
      </c>
      <c r="DR128" s="260" t="inlineStr">
        <is>
          <t/>
        </is>
      </c>
      <c r="DS128" s="261" t="inlineStr">
        <is>
          <t>16</t>
        </is>
      </c>
      <c r="DT128" s="262" t="inlineStr">
        <is>
          <t>1</t>
        </is>
      </c>
      <c r="DU128" s="263" t="inlineStr">
        <is>
          <t>6,67%</t>
        </is>
      </c>
      <c r="DV128" s="264" t="inlineStr">
        <is>
          <t>135</t>
        </is>
      </c>
      <c r="DW128" s="265" t="inlineStr">
        <is>
          <t>3</t>
        </is>
      </c>
      <c r="DX128" s="266" t="inlineStr">
        <is>
          <t>2,27%</t>
        </is>
      </c>
      <c r="DY128" s="267" t="inlineStr">
        <is>
          <t>PitchBook Research</t>
        </is>
      </c>
      <c r="DZ128" s="786">
        <f>HYPERLINK("https://my.pitchbook.com?c=62322-76", "View company online")</f>
      </c>
    </row>
    <row r="129">
      <c r="A129" s="9" t="inlineStr">
        <is>
          <t>64778-50</t>
        </is>
      </c>
      <c r="B129" s="10" t="inlineStr">
        <is>
          <t>Credit Benchmark</t>
        </is>
      </c>
      <c r="C129" s="11" t="inlineStr">
        <is>
          <t/>
        </is>
      </c>
      <c r="D129" s="12" t="inlineStr">
        <is>
          <t/>
        </is>
      </c>
      <c r="E129" s="13" t="inlineStr">
        <is>
          <t>64778-50</t>
        </is>
      </c>
      <c r="F129" s="14" t="inlineStr">
        <is>
          <t>Provider of credit risk data and analytics for the management of sovereign, institutional and corporate credit risk. The company's contributed data model aggregates data and credit risk estimates produced by banks and multiple market participants using the internal ratings-based approach.</t>
        </is>
      </c>
      <c r="G129" s="15" t="inlineStr">
        <is>
          <t>Information Technology</t>
        </is>
      </c>
      <c r="H129" s="16" t="inlineStr">
        <is>
          <t>Software</t>
        </is>
      </c>
      <c r="I129" s="17" t="inlineStr">
        <is>
          <t>Financial Software</t>
        </is>
      </c>
      <c r="J129" s="18" t="inlineStr">
        <is>
          <t>Financial Software*; Media and Information Services (B2B); Database Software</t>
        </is>
      </c>
      <c r="K129" s="19" t="inlineStr">
        <is>
          <t>Big Data, FinTech</t>
        </is>
      </c>
      <c r="L129" s="20" t="inlineStr">
        <is>
          <t>Venture Capital-Backed</t>
        </is>
      </c>
      <c r="M129" s="21" t="n">
        <v>24.96</v>
      </c>
      <c r="N129" s="22" t="inlineStr">
        <is>
          <t>Startup</t>
        </is>
      </c>
      <c r="O129" s="23" t="inlineStr">
        <is>
          <t>Privately Held (backing)</t>
        </is>
      </c>
      <c r="P129" s="24" t="inlineStr">
        <is>
          <t>Venture Capital</t>
        </is>
      </c>
      <c r="Q129" s="25" t="inlineStr">
        <is>
          <t>www.creditbenchmark.com</t>
        </is>
      </c>
      <c r="R129" s="26" t="n">
        <v>20.0</v>
      </c>
      <c r="S129" s="27" t="inlineStr">
        <is>
          <t/>
        </is>
      </c>
      <c r="T129" s="28" t="inlineStr">
        <is>
          <t/>
        </is>
      </c>
      <c r="U129" s="29" t="n">
        <v>2012.0</v>
      </c>
      <c r="V129" s="30" t="inlineStr">
        <is>
          <t/>
        </is>
      </c>
      <c r="W129" s="31" t="inlineStr">
        <is>
          <t/>
        </is>
      </c>
      <c r="X129" s="32" t="inlineStr">
        <is>
          <t/>
        </is>
      </c>
      <c r="Y129" s="33" t="inlineStr">
        <is>
          <t/>
        </is>
      </c>
      <c r="Z129" s="34" t="inlineStr">
        <is>
          <t/>
        </is>
      </c>
      <c r="AA129" s="35" t="inlineStr">
        <is>
          <t/>
        </is>
      </c>
      <c r="AB129" s="36" t="inlineStr">
        <is>
          <t/>
        </is>
      </c>
      <c r="AC129" s="37" t="inlineStr">
        <is>
          <t/>
        </is>
      </c>
      <c r="AD129" s="38" t="inlineStr">
        <is>
          <t/>
        </is>
      </c>
      <c r="AE129" s="39" t="inlineStr">
        <is>
          <t>72194-23P</t>
        </is>
      </c>
      <c r="AF129" s="40" t="inlineStr">
        <is>
          <t>Donal Smith</t>
        </is>
      </c>
      <c r="AG129" s="41" t="inlineStr">
        <is>
          <t>Board Member, Co-Founder, Chief Executive Officer &amp; Chairman</t>
        </is>
      </c>
      <c r="AH129" s="42" t="inlineStr">
        <is>
          <t>donal@creditbenchmark.org</t>
        </is>
      </c>
      <c r="AI129" s="43" t="inlineStr">
        <is>
          <t>+44 (0)20 7099 4322</t>
        </is>
      </c>
      <c r="AJ129" s="44" t="inlineStr">
        <is>
          <t>London, United Kingdom</t>
        </is>
      </c>
      <c r="AK129" s="45" t="inlineStr">
        <is>
          <t>Eagle House</t>
        </is>
      </c>
      <c r="AL129" s="46" t="inlineStr">
        <is>
          <t>167 City Road</t>
        </is>
      </c>
      <c r="AM129" s="47" t="inlineStr">
        <is>
          <t>London</t>
        </is>
      </c>
      <c r="AN129" s="48" t="inlineStr">
        <is>
          <t>England</t>
        </is>
      </c>
      <c r="AO129" s="49" t="inlineStr">
        <is>
          <t>EC1V 1AW</t>
        </is>
      </c>
      <c r="AP129" s="50" t="inlineStr">
        <is>
          <t>United Kingdom</t>
        </is>
      </c>
      <c r="AQ129" s="51" t="inlineStr">
        <is>
          <t>+44 (0)20 7099 4322</t>
        </is>
      </c>
      <c r="AR129" s="52" t="inlineStr">
        <is>
          <t/>
        </is>
      </c>
      <c r="AS129" s="53" t="inlineStr">
        <is>
          <t>info@creditbenchmark.org</t>
        </is>
      </c>
      <c r="AT129" s="54" t="inlineStr">
        <is>
          <t>Europe</t>
        </is>
      </c>
      <c r="AU129" s="55" t="inlineStr">
        <is>
          <t>Western Europe</t>
        </is>
      </c>
      <c r="AV129" s="56" t="inlineStr">
        <is>
          <t>The company raised GBP 13 million of Series B venture funding in deal led by Balderton Capital on July 15, 2015, putting the pre-money valuation at GBP 46.7 million. Index Ventures also participated in the round. The new funding will be used to expand company's data gathering efforts with global IRB banks, extend its intelligence platform and grow its international team and presence.</t>
        </is>
      </c>
      <c r="AW129" s="57" t="inlineStr">
        <is>
          <t>Balderton Capital, Index Ventures (UK)</t>
        </is>
      </c>
      <c r="AX129" s="58" t="n">
        <v>2.0</v>
      </c>
      <c r="AY129" s="59" t="inlineStr">
        <is>
          <t/>
        </is>
      </c>
      <c r="AZ129" s="60" t="inlineStr">
        <is>
          <t/>
        </is>
      </c>
      <c r="BA129" s="61" t="inlineStr">
        <is>
          <t/>
        </is>
      </c>
      <c r="BB129" s="62" t="inlineStr">
        <is>
          <t>Balderton Capital (www.balderton.com), Index Ventures (UK) (www.indexventures.com)</t>
        </is>
      </c>
      <c r="BC129" s="63" t="inlineStr">
        <is>
          <t/>
        </is>
      </c>
      <c r="BD129" s="64" t="inlineStr">
        <is>
          <t/>
        </is>
      </c>
      <c r="BE129" s="65" t="inlineStr">
        <is>
          <t>Fried Frank Harris Shriver &amp; Jacobson (Legal Advisor)</t>
        </is>
      </c>
      <c r="BF129" s="66" t="inlineStr">
        <is>
          <t/>
        </is>
      </c>
      <c r="BG129" s="67" t="n">
        <v>41829.0</v>
      </c>
      <c r="BH129" s="68" t="n">
        <v>6.59</v>
      </c>
      <c r="BI129" s="69" t="inlineStr">
        <is>
          <t>Actual</t>
        </is>
      </c>
      <c r="BJ129" s="70" t="n">
        <v>20.18</v>
      </c>
      <c r="BK129" s="71" t="inlineStr">
        <is>
          <t>Actual</t>
        </is>
      </c>
      <c r="BL129" s="72" t="inlineStr">
        <is>
          <t>Early Stage VC</t>
        </is>
      </c>
      <c r="BM129" s="73" t="inlineStr">
        <is>
          <t>Series A</t>
        </is>
      </c>
      <c r="BN129" s="74" t="inlineStr">
        <is>
          <t/>
        </is>
      </c>
      <c r="BO129" s="75" t="inlineStr">
        <is>
          <t>Venture Capital</t>
        </is>
      </c>
      <c r="BP129" s="76" t="inlineStr">
        <is>
          <t/>
        </is>
      </c>
      <c r="BQ129" s="77" t="inlineStr">
        <is>
          <t/>
        </is>
      </c>
      <c r="BR129" s="78" t="inlineStr">
        <is>
          <t/>
        </is>
      </c>
      <c r="BS129" s="79" t="inlineStr">
        <is>
          <t>Completed</t>
        </is>
      </c>
      <c r="BT129" s="80" t="n">
        <v>42200.0</v>
      </c>
      <c r="BU129" s="81" t="n">
        <v>18.37</v>
      </c>
      <c r="BV129" s="82" t="inlineStr">
        <is>
          <t>Actual</t>
        </is>
      </c>
      <c r="BW129" s="83" t="n">
        <v>84.36</v>
      </c>
      <c r="BX129" s="84" t="inlineStr">
        <is>
          <t>Actual</t>
        </is>
      </c>
      <c r="BY129" s="85" t="inlineStr">
        <is>
          <t>Early Stage VC</t>
        </is>
      </c>
      <c r="BZ129" s="86" t="inlineStr">
        <is>
          <t>Series B</t>
        </is>
      </c>
      <c r="CA129" s="87" t="inlineStr">
        <is>
          <t/>
        </is>
      </c>
      <c r="CB129" s="88" t="inlineStr">
        <is>
          <t>Venture Capital</t>
        </is>
      </c>
      <c r="CC129" s="89" t="inlineStr">
        <is>
          <t/>
        </is>
      </c>
      <c r="CD129" s="90" t="inlineStr">
        <is>
          <t/>
        </is>
      </c>
      <c r="CE129" s="91" t="inlineStr">
        <is>
          <t/>
        </is>
      </c>
      <c r="CF129" s="92" t="inlineStr">
        <is>
          <t>Completed</t>
        </is>
      </c>
      <c r="CG129" s="93" t="inlineStr">
        <is>
          <t>0,48%</t>
        </is>
      </c>
      <c r="CH129" s="94" t="inlineStr">
        <is>
          <t>84</t>
        </is>
      </c>
      <c r="CI129" s="95" t="inlineStr">
        <is>
          <t>0,09%</t>
        </is>
      </c>
      <c r="CJ129" s="96" t="inlineStr">
        <is>
          <t>21,46%</t>
        </is>
      </c>
      <c r="CK129" s="97" t="inlineStr">
        <is>
          <t>0,12%</t>
        </is>
      </c>
      <c r="CL129" s="98" t="inlineStr">
        <is>
          <t>81</t>
        </is>
      </c>
      <c r="CM129" s="99" t="inlineStr">
        <is>
          <t>0,85%</t>
        </is>
      </c>
      <c r="CN129" s="100" t="inlineStr">
        <is>
          <t>95</t>
        </is>
      </c>
      <c r="CO129" s="101" t="inlineStr">
        <is>
          <t>0,12%</t>
        </is>
      </c>
      <c r="CP129" s="102" t="inlineStr">
        <is>
          <t>79</t>
        </is>
      </c>
      <c r="CQ129" s="103" t="inlineStr">
        <is>
          <t/>
        </is>
      </c>
      <c r="CR129" s="104" t="inlineStr">
        <is>
          <t/>
        </is>
      </c>
      <c r="CS129" s="105" t="inlineStr">
        <is>
          <t/>
        </is>
      </c>
      <c r="CT129" s="106" t="inlineStr">
        <is>
          <t/>
        </is>
      </c>
      <c r="CU129" s="107" t="inlineStr">
        <is>
          <t>0,85%</t>
        </is>
      </c>
      <c r="CV129" s="108" t="inlineStr">
        <is>
          <t>96</t>
        </is>
      </c>
      <c r="CW129" s="109" t="inlineStr">
        <is>
          <t>1,56x</t>
        </is>
      </c>
      <c r="CX129" s="110" t="inlineStr">
        <is>
          <t>59</t>
        </is>
      </c>
      <c r="CY129" s="111" t="inlineStr">
        <is>
          <t>0,03x</t>
        </is>
      </c>
      <c r="CZ129" s="112" t="inlineStr">
        <is>
          <t>1,84%</t>
        </is>
      </c>
      <c r="DA129" s="113" t="inlineStr">
        <is>
          <t>1,58x</t>
        </is>
      </c>
      <c r="DB129" s="114" t="inlineStr">
        <is>
          <t>62</t>
        </is>
      </c>
      <c r="DC129" s="115" t="inlineStr">
        <is>
          <t>1,54x</t>
        </is>
      </c>
      <c r="DD129" s="116" t="inlineStr">
        <is>
          <t>56</t>
        </is>
      </c>
      <c r="DE129" s="117" t="inlineStr">
        <is>
          <t>1,58x</t>
        </is>
      </c>
      <c r="DF129" s="118" t="inlineStr">
        <is>
          <t>59</t>
        </is>
      </c>
      <c r="DG129" s="119" t="inlineStr">
        <is>
          <t/>
        </is>
      </c>
      <c r="DH129" s="120" t="inlineStr">
        <is>
          <t/>
        </is>
      </c>
      <c r="DI129" s="121" t="inlineStr">
        <is>
          <t/>
        </is>
      </c>
      <c r="DJ129" s="122" t="inlineStr">
        <is>
          <t/>
        </is>
      </c>
      <c r="DK129" s="123" t="inlineStr">
        <is>
          <t>1,54x</t>
        </is>
      </c>
      <c r="DL129" s="124" t="inlineStr">
        <is>
          <t>58</t>
        </is>
      </c>
      <c r="DM129" s="125" t="inlineStr">
        <is>
          <t>986</t>
        </is>
      </c>
      <c r="DN129" s="126" t="inlineStr">
        <is>
          <t>-42</t>
        </is>
      </c>
      <c r="DO129" s="127" t="inlineStr">
        <is>
          <t>-4,09%</t>
        </is>
      </c>
      <c r="DP129" s="128" t="inlineStr">
        <is>
          <t/>
        </is>
      </c>
      <c r="DQ129" s="129" t="inlineStr">
        <is>
          <t/>
        </is>
      </c>
      <c r="DR129" s="130" t="inlineStr">
        <is>
          <t/>
        </is>
      </c>
      <c r="DS129" s="131" t="inlineStr">
        <is>
          <t/>
        </is>
      </c>
      <c r="DT129" s="132" t="inlineStr">
        <is>
          <t/>
        </is>
      </c>
      <c r="DU129" s="133" t="inlineStr">
        <is>
          <t/>
        </is>
      </c>
      <c r="DV129" s="134" t="inlineStr">
        <is>
          <t>523</t>
        </is>
      </c>
      <c r="DW129" s="135" t="inlineStr">
        <is>
          <t>6</t>
        </is>
      </c>
      <c r="DX129" s="136" t="inlineStr">
        <is>
          <t>1,16%</t>
        </is>
      </c>
      <c r="DY129" s="137" t="inlineStr">
        <is>
          <t>PitchBook Research</t>
        </is>
      </c>
      <c r="DZ129" s="785">
        <f>HYPERLINK("https://my.pitchbook.com?c=64778-50", "View company online")</f>
      </c>
    </row>
    <row r="130">
      <c r="A130" s="139" t="inlineStr">
        <is>
          <t>151568-83</t>
        </is>
      </c>
      <c r="B130" s="140" t="inlineStr">
        <is>
          <t>CrossEngage</t>
        </is>
      </c>
      <c r="C130" s="141" t="inlineStr">
        <is>
          <t/>
        </is>
      </c>
      <c r="D130" s="142" t="inlineStr">
        <is>
          <t/>
        </is>
      </c>
      <c r="E130" s="143" t="inlineStr">
        <is>
          <t>151568-83</t>
        </is>
      </c>
      <c r="F130" s="144" t="inlineStr">
        <is>
          <t>Developer of a cloud-based open marketing platform designed for agile, cross-channel marketing. The company's cloud-based open marketing platform combines and integrates customer data with cross-channel campaign management capabilities, data sources and marketing channels so that the existing infrastructure does not need to be replaced, enabling businesses drive customer engagement, target customers who are about to slip away and increase customer loyalty with individual up- and cross-sell promotions.</t>
        </is>
      </c>
      <c r="G130" s="145" t="inlineStr">
        <is>
          <t>Business Products and Services (B2B)</t>
        </is>
      </c>
      <c r="H130" s="146" t="inlineStr">
        <is>
          <t>Commercial Services</t>
        </is>
      </c>
      <c r="I130" s="147" t="inlineStr">
        <is>
          <t>Media and Information Services (B2B)</t>
        </is>
      </c>
      <c r="J130" s="148" t="inlineStr">
        <is>
          <t>Media and Information Services (B2B)*; Business/Productivity Software</t>
        </is>
      </c>
      <c r="K130" s="149" t="inlineStr">
        <is>
          <t>Marketing Tech, SaaS</t>
        </is>
      </c>
      <c r="L130" s="150" t="inlineStr">
        <is>
          <t>Venture Capital-Backed</t>
        </is>
      </c>
      <c r="M130" s="151" t="n">
        <v>6.0</v>
      </c>
      <c r="N130" s="152" t="inlineStr">
        <is>
          <t>Generating Revenue</t>
        </is>
      </c>
      <c r="O130" s="153" t="inlineStr">
        <is>
          <t>Privately Held (backing)</t>
        </is>
      </c>
      <c r="P130" s="154" t="inlineStr">
        <is>
          <t>Venture Capital</t>
        </is>
      </c>
      <c r="Q130" s="155" t="inlineStr">
        <is>
          <t>www.crossengage.io</t>
        </is>
      </c>
      <c r="R130" s="156" t="n">
        <v>8.0</v>
      </c>
      <c r="S130" s="157" t="inlineStr">
        <is>
          <t/>
        </is>
      </c>
      <c r="T130" s="158" t="inlineStr">
        <is>
          <t/>
        </is>
      </c>
      <c r="U130" s="159" t="n">
        <v>2015.0</v>
      </c>
      <c r="V130" s="160" t="inlineStr">
        <is>
          <t/>
        </is>
      </c>
      <c r="W130" s="161" t="inlineStr">
        <is>
          <t/>
        </is>
      </c>
      <c r="X130" s="162" t="inlineStr">
        <is>
          <t/>
        </is>
      </c>
      <c r="Y130" s="163" t="inlineStr">
        <is>
          <t/>
        </is>
      </c>
      <c r="Z130" s="164" t="inlineStr">
        <is>
          <t/>
        </is>
      </c>
      <c r="AA130" s="165" t="inlineStr">
        <is>
          <t/>
        </is>
      </c>
      <c r="AB130" s="166" t="inlineStr">
        <is>
          <t/>
        </is>
      </c>
      <c r="AC130" s="167" t="inlineStr">
        <is>
          <t/>
        </is>
      </c>
      <c r="AD130" s="168" t="inlineStr">
        <is>
          <t/>
        </is>
      </c>
      <c r="AE130" s="169" t="inlineStr">
        <is>
          <t>52956-01P</t>
        </is>
      </c>
      <c r="AF130" s="170" t="inlineStr">
        <is>
          <t>Manuel Hinz</t>
        </is>
      </c>
      <c r="AG130" s="171" t="inlineStr">
        <is>
          <t>Co-Founder &amp; Co-Managing Director</t>
        </is>
      </c>
      <c r="AH130" s="172" t="inlineStr">
        <is>
          <t>manuel.hinz@crossengage.io</t>
        </is>
      </c>
      <c r="AI130" s="173" t="inlineStr">
        <is>
          <t>+49 (0)30 2576 6033</t>
        </is>
      </c>
      <c r="AJ130" s="174" t="inlineStr">
        <is>
          <t>Berlin, Germany</t>
        </is>
      </c>
      <c r="AK130" s="175" t="inlineStr">
        <is>
          <t>Bertha-Benz-Str. 5</t>
        </is>
      </c>
      <c r="AL130" s="176" t="inlineStr">
        <is>
          <t/>
        </is>
      </c>
      <c r="AM130" s="177" t="inlineStr">
        <is>
          <t>Berlin</t>
        </is>
      </c>
      <c r="AN130" s="178" t="inlineStr">
        <is>
          <t/>
        </is>
      </c>
      <c r="AO130" s="179" t="inlineStr">
        <is>
          <t>10557</t>
        </is>
      </c>
      <c r="AP130" s="180" t="inlineStr">
        <is>
          <t>Germany</t>
        </is>
      </c>
      <c r="AQ130" s="181" t="inlineStr">
        <is>
          <t>+49 (0)30 2576 6033</t>
        </is>
      </c>
      <c r="AR130" s="182" t="inlineStr">
        <is>
          <t/>
        </is>
      </c>
      <c r="AS130" s="183" t="inlineStr">
        <is>
          <t>info@crossengage.io</t>
        </is>
      </c>
      <c r="AT130" s="184" t="inlineStr">
        <is>
          <t>Europe</t>
        </is>
      </c>
      <c r="AU130" s="185" t="inlineStr">
        <is>
          <t>Western Europe</t>
        </is>
      </c>
      <c r="AV130" s="186" t="inlineStr">
        <is>
          <t>The company raised EUR 3.2 million of Series 2 seed funding from Earlybird Venture Capital, Project A Ventures, Capnamic Ventures and 42CAP on November 1, 2016.</t>
        </is>
      </c>
      <c r="AW130" s="187" t="inlineStr">
        <is>
          <t>42CAP, Andre Alpar, Björn Kolbmüller, Capnamic Ventures, Cavalry Ventures, David Khalil, Earlybird Venture Capital, Finn Hänsel, Heilemann Ventures, IBB Beteiligungsgesellschaft, Iris Capital Management, Johannes Schaback, Lukas Brosseder, Maik Metzen, Markus Koczy, Paul Schwarzenholz, Philipp Kreibohm, Project A Ventures, Robert Maier, TA Ventures, Ventech, Voltage Ventures, Vorwerk Ventures</t>
        </is>
      </c>
      <c r="AX130" s="188" t="n">
        <v>23.0</v>
      </c>
      <c r="AY130" s="189" t="inlineStr">
        <is>
          <t/>
        </is>
      </c>
      <c r="AZ130" s="190" t="inlineStr">
        <is>
          <t/>
        </is>
      </c>
      <c r="BA130" s="191" t="inlineStr">
        <is>
          <t/>
        </is>
      </c>
      <c r="BB130" s="192" t="inlineStr">
        <is>
          <t>42CAP (www.42cap.com), Andre Alpar (www.andrealpar.de), Capnamic Ventures (www.capnamic.com), Cavalry Ventures (www.cavalry.vc), Earlybird Venture Capital (www.earlybird.com), Heilemann Ventures (www.heilemann-ventures.com), IBB Beteiligungsgesellschaft (www.ibb-bet.de), Iris Capital Management (www.iriscapital.com), Project A Ventures (www.project-a.com/en), TA Ventures (www.taventures.vc), Ventech (www.ventechvc.com), Voltage Ventures (www.voltage.vc)</t>
        </is>
      </c>
      <c r="BC130" s="193" t="inlineStr">
        <is>
          <t/>
        </is>
      </c>
      <c r="BD130" s="194" t="inlineStr">
        <is>
          <t/>
        </is>
      </c>
      <c r="BE130" s="195" t="inlineStr">
        <is>
          <t/>
        </is>
      </c>
      <c r="BF130" s="196" t="inlineStr">
        <is>
          <t/>
        </is>
      </c>
      <c r="BG130" s="197" t="n">
        <v>42339.0</v>
      </c>
      <c r="BH130" s="198" t="n">
        <v>2.8</v>
      </c>
      <c r="BI130" s="199" t="inlineStr">
        <is>
          <t>Actual</t>
        </is>
      </c>
      <c r="BJ130" s="200" t="inlineStr">
        <is>
          <t/>
        </is>
      </c>
      <c r="BK130" s="201" t="inlineStr">
        <is>
          <t/>
        </is>
      </c>
      <c r="BL130" s="202" t="inlineStr">
        <is>
          <t>Seed Round</t>
        </is>
      </c>
      <c r="BM130" s="203" t="inlineStr">
        <is>
          <t>Series 1</t>
        </is>
      </c>
      <c r="BN130" s="204" t="inlineStr">
        <is>
          <t/>
        </is>
      </c>
      <c r="BO130" s="205" t="inlineStr">
        <is>
          <t>Venture Capital</t>
        </is>
      </c>
      <c r="BP130" s="206" t="inlineStr">
        <is>
          <t/>
        </is>
      </c>
      <c r="BQ130" s="207" t="inlineStr">
        <is>
          <t/>
        </is>
      </c>
      <c r="BR130" s="208" t="inlineStr">
        <is>
          <t/>
        </is>
      </c>
      <c r="BS130" s="209" t="inlineStr">
        <is>
          <t>Completed</t>
        </is>
      </c>
      <c r="BT130" s="210" t="n">
        <v>42675.0</v>
      </c>
      <c r="BU130" s="211" t="n">
        <v>3.2</v>
      </c>
      <c r="BV130" s="212" t="inlineStr">
        <is>
          <t>Actual</t>
        </is>
      </c>
      <c r="BW130" s="213" t="inlineStr">
        <is>
          <t/>
        </is>
      </c>
      <c r="BX130" s="214" t="inlineStr">
        <is>
          <t/>
        </is>
      </c>
      <c r="BY130" s="215" t="inlineStr">
        <is>
          <t>Seed Round</t>
        </is>
      </c>
      <c r="BZ130" s="216" t="inlineStr">
        <is>
          <t>Series 2</t>
        </is>
      </c>
      <c r="CA130" s="217" t="inlineStr">
        <is>
          <t/>
        </is>
      </c>
      <c r="CB130" s="218" t="inlineStr">
        <is>
          <t>Venture Capital</t>
        </is>
      </c>
      <c r="CC130" s="219" t="inlineStr">
        <is>
          <t/>
        </is>
      </c>
      <c r="CD130" s="220" t="inlineStr">
        <is>
          <t/>
        </is>
      </c>
      <c r="CE130" s="221" t="inlineStr">
        <is>
          <t/>
        </is>
      </c>
      <c r="CF130" s="222" t="inlineStr">
        <is>
          <t>Completed</t>
        </is>
      </c>
      <c r="CG130" s="223" t="inlineStr">
        <is>
          <t>0,96%</t>
        </is>
      </c>
      <c r="CH130" s="224" t="inlineStr">
        <is>
          <t>88</t>
        </is>
      </c>
      <c r="CI130" s="225" t="inlineStr">
        <is>
          <t>0,00%</t>
        </is>
      </c>
      <c r="CJ130" s="226" t="inlineStr">
        <is>
          <t>-0,25%</t>
        </is>
      </c>
      <c r="CK130" s="227" t="inlineStr">
        <is>
          <t>1,18%</t>
        </is>
      </c>
      <c r="CL130" s="228" t="inlineStr">
        <is>
          <t>88</t>
        </is>
      </c>
      <c r="CM130" s="229" t="inlineStr">
        <is>
          <t>0,75%</t>
        </is>
      </c>
      <c r="CN130" s="230" t="inlineStr">
        <is>
          <t>94</t>
        </is>
      </c>
      <c r="CO130" s="231" t="inlineStr">
        <is>
          <t>2,85%</t>
        </is>
      </c>
      <c r="CP130" s="232" t="inlineStr">
        <is>
          <t>92</t>
        </is>
      </c>
      <c r="CQ130" s="233" t="inlineStr">
        <is>
          <t>-0,49%</t>
        </is>
      </c>
      <c r="CR130" s="234" t="inlineStr">
        <is>
          <t>7</t>
        </is>
      </c>
      <c r="CS130" s="235" t="inlineStr">
        <is>
          <t>0,47%</t>
        </is>
      </c>
      <c r="CT130" s="236" t="inlineStr">
        <is>
          <t>86</t>
        </is>
      </c>
      <c r="CU130" s="237" t="inlineStr">
        <is>
          <t>1,03%</t>
        </is>
      </c>
      <c r="CV130" s="238" t="inlineStr">
        <is>
          <t>97</t>
        </is>
      </c>
      <c r="CW130" s="239" t="inlineStr">
        <is>
          <t>1,83x</t>
        </is>
      </c>
      <c r="CX130" s="240" t="inlineStr">
        <is>
          <t>62</t>
        </is>
      </c>
      <c r="CY130" s="241" t="inlineStr">
        <is>
          <t>0,04x</t>
        </is>
      </c>
      <c r="CZ130" s="242" t="inlineStr">
        <is>
          <t>2,32%</t>
        </is>
      </c>
      <c r="DA130" s="243" t="inlineStr">
        <is>
          <t>3,12x</t>
        </is>
      </c>
      <c r="DB130" s="244" t="inlineStr">
        <is>
          <t>74</t>
        </is>
      </c>
      <c r="DC130" s="245" t="inlineStr">
        <is>
          <t>0,55x</t>
        </is>
      </c>
      <c r="DD130" s="246" t="inlineStr">
        <is>
          <t>37</t>
        </is>
      </c>
      <c r="DE130" s="247" t="inlineStr">
        <is>
          <t>3,48x</t>
        </is>
      </c>
      <c r="DF130" s="248" t="inlineStr">
        <is>
          <t>72</t>
        </is>
      </c>
      <c r="DG130" s="249" t="inlineStr">
        <is>
          <t>2,75x</t>
        </is>
      </c>
      <c r="DH130" s="250" t="inlineStr">
        <is>
          <t>70</t>
        </is>
      </c>
      <c r="DI130" s="251" t="inlineStr">
        <is>
          <t>0,31x</t>
        </is>
      </c>
      <c r="DJ130" s="252" t="inlineStr">
        <is>
          <t>31</t>
        </is>
      </c>
      <c r="DK130" s="253" t="inlineStr">
        <is>
          <t>0,79x</t>
        </is>
      </c>
      <c r="DL130" s="254" t="inlineStr">
        <is>
          <t>46</t>
        </is>
      </c>
      <c r="DM130" s="255" t="inlineStr">
        <is>
          <t>2.140</t>
        </is>
      </c>
      <c r="DN130" s="256" t="inlineStr">
        <is>
          <t>9</t>
        </is>
      </c>
      <c r="DO130" s="257" t="inlineStr">
        <is>
          <t>0,42%</t>
        </is>
      </c>
      <c r="DP130" s="258" t="inlineStr">
        <is>
          <t>247</t>
        </is>
      </c>
      <c r="DQ130" s="259" t="inlineStr">
        <is>
          <t>0</t>
        </is>
      </c>
      <c r="DR130" s="260" t="inlineStr">
        <is>
          <t>0,00%</t>
        </is>
      </c>
      <c r="DS130" s="261" t="inlineStr">
        <is>
          <t>98</t>
        </is>
      </c>
      <c r="DT130" s="262" t="inlineStr">
        <is>
          <t>2</t>
        </is>
      </c>
      <c r="DU130" s="263" t="inlineStr">
        <is>
          <t>2,08%</t>
        </is>
      </c>
      <c r="DV130" s="264" t="inlineStr">
        <is>
          <t>268</t>
        </is>
      </c>
      <c r="DW130" s="265" t="inlineStr">
        <is>
          <t>2</t>
        </is>
      </c>
      <c r="DX130" s="266" t="inlineStr">
        <is>
          <t>0,75%</t>
        </is>
      </c>
      <c r="DY130" s="267" t="inlineStr">
        <is>
          <t>PitchBook Research</t>
        </is>
      </c>
      <c r="DZ130" s="786">
        <f>HYPERLINK("https://my.pitchbook.com?c=151568-83", "View company online")</f>
      </c>
    </row>
    <row r="131">
      <c r="A131" s="9" t="inlineStr">
        <is>
          <t>108842-32</t>
        </is>
      </c>
      <c r="B131" s="10" t="inlineStr">
        <is>
          <t>Cryex Group</t>
        </is>
      </c>
      <c r="C131" s="11" t="inlineStr">
        <is>
          <t/>
        </is>
      </c>
      <c r="D131" s="12" t="inlineStr">
        <is>
          <t>Cryex</t>
        </is>
      </c>
      <c r="E131" s="13" t="inlineStr">
        <is>
          <t>108842-32</t>
        </is>
      </c>
      <c r="F131" s="14" t="inlineStr">
        <is>
          <t>Provider of an online platform for digital currency exchange services. The company's platform bridges the gap between traditional financial markets and offers a trading model which provides transparency on price and cost.</t>
        </is>
      </c>
      <c r="G131" s="15" t="inlineStr">
        <is>
          <t>Information Technology</t>
        </is>
      </c>
      <c r="H131" s="16" t="inlineStr">
        <is>
          <t>Software</t>
        </is>
      </c>
      <c r="I131" s="17" t="inlineStr">
        <is>
          <t>Financial Software</t>
        </is>
      </c>
      <c r="J131" s="18" t="inlineStr">
        <is>
          <t>Financial Software*; Social/Platform Software</t>
        </is>
      </c>
      <c r="K131" s="19" t="inlineStr">
        <is>
          <t>FinTech</t>
        </is>
      </c>
      <c r="L131" s="20" t="inlineStr">
        <is>
          <t>Venture Capital-Backed</t>
        </is>
      </c>
      <c r="M131" s="21" t="n">
        <v>8.95</v>
      </c>
      <c r="N131" s="22" t="inlineStr">
        <is>
          <t>Startup</t>
        </is>
      </c>
      <c r="O131" s="23" t="inlineStr">
        <is>
          <t>Privately Held (backing)</t>
        </is>
      </c>
      <c r="P131" s="24" t="inlineStr">
        <is>
          <t>Venture Capital</t>
        </is>
      </c>
      <c r="Q131" s="25" t="inlineStr">
        <is>
          <t>www.cryex.com</t>
        </is>
      </c>
      <c r="R131" s="26" t="n">
        <v>15.0</v>
      </c>
      <c r="S131" s="27" t="inlineStr">
        <is>
          <t/>
        </is>
      </c>
      <c r="T131" s="28" t="inlineStr">
        <is>
          <t/>
        </is>
      </c>
      <c r="U131" s="29" t="n">
        <v>2013.0</v>
      </c>
      <c r="V131" s="30" t="inlineStr">
        <is>
          <t/>
        </is>
      </c>
      <c r="W131" s="31" t="inlineStr">
        <is>
          <t/>
        </is>
      </c>
      <c r="X131" s="32" t="inlineStr">
        <is>
          <t/>
        </is>
      </c>
      <c r="Y131" s="33" t="n">
        <v>0.81767</v>
      </c>
      <c r="Z131" s="34" t="inlineStr">
        <is>
          <t/>
        </is>
      </c>
      <c r="AA131" s="35" t="n">
        <v>-35.40785</v>
      </c>
      <c r="AB131" s="36" t="inlineStr">
        <is>
          <t/>
        </is>
      </c>
      <c r="AC131" s="37" t="inlineStr">
        <is>
          <t/>
        </is>
      </c>
      <c r="AD131" s="38" t="inlineStr">
        <is>
          <t>FY 2015</t>
        </is>
      </c>
      <c r="AE131" s="39" t="inlineStr">
        <is>
          <t>107111-71P</t>
        </is>
      </c>
      <c r="AF131" s="40" t="inlineStr">
        <is>
          <t>Johan Palm</t>
        </is>
      </c>
      <c r="AG131" s="41" t="inlineStr">
        <is>
          <t>Chief Marketing Officer &amp; Co-Founder</t>
        </is>
      </c>
      <c r="AH131" s="42" t="inlineStr">
        <is>
          <t>johan.palm@cryex.com</t>
        </is>
      </c>
      <c r="AI131" s="43" t="inlineStr">
        <is>
          <t>+46 (0)8 244 21 80</t>
        </is>
      </c>
      <c r="AJ131" s="44" t="inlineStr">
        <is>
          <t>Stockholm, Sweden</t>
        </is>
      </c>
      <c r="AK131" s="45" t="inlineStr">
        <is>
          <t>Box 3652</t>
        </is>
      </c>
      <c r="AL131" s="46" t="inlineStr">
        <is>
          <t/>
        </is>
      </c>
      <c r="AM131" s="47" t="inlineStr">
        <is>
          <t>Stockholm</t>
        </is>
      </c>
      <c r="AN131" s="48" t="inlineStr">
        <is>
          <t/>
        </is>
      </c>
      <c r="AO131" s="49" t="inlineStr">
        <is>
          <t>103 59</t>
        </is>
      </c>
      <c r="AP131" s="50" t="inlineStr">
        <is>
          <t>Sweden</t>
        </is>
      </c>
      <c r="AQ131" s="51" t="inlineStr">
        <is>
          <t>+46 (0)8 244 21 80</t>
        </is>
      </c>
      <c r="AR131" s="52" t="inlineStr">
        <is>
          <t/>
        </is>
      </c>
      <c r="AS131" s="53" t="inlineStr">
        <is>
          <t>info@cryex.com</t>
        </is>
      </c>
      <c r="AT131" s="54" t="inlineStr">
        <is>
          <t>Europe</t>
        </is>
      </c>
      <c r="AU131" s="55" t="inlineStr">
        <is>
          <t>Northern Europe</t>
        </is>
      </c>
      <c r="AV131" s="56" t="inlineStr">
        <is>
          <t>The company raised $10 million of venture funding from White Star Capital, Residence Ventures and Northzone Ventures on May 7, 2015. SparkLabs Global Ventures also participated in this round.</t>
        </is>
      </c>
      <c r="AW131" s="57" t="inlineStr">
        <is>
          <t>Northzone Ventures, Residence Ventures, SparkLabs Global Ventures, White Star Capital</t>
        </is>
      </c>
      <c r="AX131" s="58" t="n">
        <v>4.0</v>
      </c>
      <c r="AY131" s="59" t="inlineStr">
        <is>
          <t/>
        </is>
      </c>
      <c r="AZ131" s="60" t="inlineStr">
        <is>
          <t/>
        </is>
      </c>
      <c r="BA131" s="61" t="inlineStr">
        <is>
          <t/>
        </is>
      </c>
      <c r="BB131" s="62" t="inlineStr">
        <is>
          <t>Northzone Ventures (www.northzone.com), Residence Ventures (www.residenceventures.com), SparkLabs Global Ventures (www.sparklabsglobal.com), White Star Capital (www.whitestarvc.com)</t>
        </is>
      </c>
      <c r="BC131" s="63" t="inlineStr">
        <is>
          <t/>
        </is>
      </c>
      <c r="BD131" s="64" t="inlineStr">
        <is>
          <t/>
        </is>
      </c>
      <c r="BE131" s="65" t="inlineStr">
        <is>
          <t/>
        </is>
      </c>
      <c r="BF131" s="66" t="inlineStr">
        <is>
          <t/>
        </is>
      </c>
      <c r="BG131" s="67" t="n">
        <v>42131.0</v>
      </c>
      <c r="BH131" s="68" t="n">
        <v>8.95</v>
      </c>
      <c r="BI131" s="69" t="inlineStr">
        <is>
          <t>Actual</t>
        </is>
      </c>
      <c r="BJ131" s="70" t="inlineStr">
        <is>
          <t/>
        </is>
      </c>
      <c r="BK131" s="71" t="inlineStr">
        <is>
          <t/>
        </is>
      </c>
      <c r="BL131" s="72" t="inlineStr">
        <is>
          <t>Early Stage VC</t>
        </is>
      </c>
      <c r="BM131" s="73" t="inlineStr">
        <is>
          <t/>
        </is>
      </c>
      <c r="BN131" s="74" t="inlineStr">
        <is>
          <t/>
        </is>
      </c>
      <c r="BO131" s="75" t="inlineStr">
        <is>
          <t>Venture Capital</t>
        </is>
      </c>
      <c r="BP131" s="76" t="inlineStr">
        <is>
          <t/>
        </is>
      </c>
      <c r="BQ131" s="77" t="inlineStr">
        <is>
          <t/>
        </is>
      </c>
      <c r="BR131" s="78" t="inlineStr">
        <is>
          <t/>
        </is>
      </c>
      <c r="BS131" s="79" t="inlineStr">
        <is>
          <t>Completed</t>
        </is>
      </c>
      <c r="BT131" s="80" t="n">
        <v>42131.0</v>
      </c>
      <c r="BU131" s="81" t="n">
        <v>8.95</v>
      </c>
      <c r="BV131" s="82" t="inlineStr">
        <is>
          <t>Actual</t>
        </is>
      </c>
      <c r="BW131" s="83" t="inlineStr">
        <is>
          <t/>
        </is>
      </c>
      <c r="BX131" s="84" t="inlineStr">
        <is>
          <t/>
        </is>
      </c>
      <c r="BY131" s="85" t="inlineStr">
        <is>
          <t>Early Stage VC</t>
        </is>
      </c>
      <c r="BZ131" s="86" t="inlineStr">
        <is>
          <t/>
        </is>
      </c>
      <c r="CA131" s="87" t="inlineStr">
        <is>
          <t/>
        </is>
      </c>
      <c r="CB131" s="88" t="inlineStr">
        <is>
          <t>Venture Capital</t>
        </is>
      </c>
      <c r="CC131" s="89" t="inlineStr">
        <is>
          <t/>
        </is>
      </c>
      <c r="CD131" s="90" t="inlineStr">
        <is>
          <t/>
        </is>
      </c>
      <c r="CE131" s="91" t="inlineStr">
        <is>
          <t/>
        </is>
      </c>
      <c r="CF131" s="92" t="inlineStr">
        <is>
          <t>Completed</t>
        </is>
      </c>
      <c r="CG131" s="93" t="inlineStr">
        <is>
          <t>0,05%</t>
        </is>
      </c>
      <c r="CH131" s="94" t="inlineStr">
        <is>
          <t>69</t>
        </is>
      </c>
      <c r="CI131" s="95" t="inlineStr">
        <is>
          <t>0,04%</t>
        </is>
      </c>
      <c r="CJ131" s="96" t="inlineStr">
        <is>
          <t>324,57%</t>
        </is>
      </c>
      <c r="CK131" s="97" t="inlineStr">
        <is>
          <t>0,00%</t>
        </is>
      </c>
      <c r="CL131" s="98" t="inlineStr">
        <is>
          <t>18</t>
        </is>
      </c>
      <c r="CM131" s="99" t="inlineStr">
        <is>
          <t>0,10%</t>
        </is>
      </c>
      <c r="CN131" s="100" t="inlineStr">
        <is>
          <t>60</t>
        </is>
      </c>
      <c r="CO131" s="101" t="inlineStr">
        <is>
          <t>0,00%</t>
        </is>
      </c>
      <c r="CP131" s="102" t="inlineStr">
        <is>
          <t>26</t>
        </is>
      </c>
      <c r="CQ131" s="103" t="inlineStr">
        <is>
          <t>0,00%</t>
        </is>
      </c>
      <c r="CR131" s="104" t="inlineStr">
        <is>
          <t>13</t>
        </is>
      </c>
      <c r="CS131" s="105" t="inlineStr">
        <is>
          <t>0,20%</t>
        </is>
      </c>
      <c r="CT131" s="106" t="inlineStr">
        <is>
          <t>70</t>
        </is>
      </c>
      <c r="CU131" s="107" t="inlineStr">
        <is>
          <t>0,00%</t>
        </is>
      </c>
      <c r="CV131" s="108" t="inlineStr">
        <is>
          <t>20</t>
        </is>
      </c>
      <c r="CW131" s="109" t="inlineStr">
        <is>
          <t>1,14x</t>
        </is>
      </c>
      <c r="CX131" s="110" t="inlineStr">
        <is>
          <t>52</t>
        </is>
      </c>
      <c r="CY131" s="111" t="inlineStr">
        <is>
          <t>0,02x</t>
        </is>
      </c>
      <c r="CZ131" s="112" t="inlineStr">
        <is>
          <t>1,74%</t>
        </is>
      </c>
      <c r="DA131" s="113" t="inlineStr">
        <is>
          <t>1,80x</t>
        </is>
      </c>
      <c r="DB131" s="114" t="inlineStr">
        <is>
          <t>64</t>
        </is>
      </c>
      <c r="DC131" s="115" t="inlineStr">
        <is>
          <t>0,49x</t>
        </is>
      </c>
      <c r="DD131" s="116" t="inlineStr">
        <is>
          <t>35</t>
        </is>
      </c>
      <c r="DE131" s="117" t="inlineStr">
        <is>
          <t>0,54x</t>
        </is>
      </c>
      <c r="DF131" s="118" t="inlineStr">
        <is>
          <t>38</t>
        </is>
      </c>
      <c r="DG131" s="119" t="inlineStr">
        <is>
          <t>3,06x</t>
        </is>
      </c>
      <c r="DH131" s="120" t="inlineStr">
        <is>
          <t>72</t>
        </is>
      </c>
      <c r="DI131" s="121" t="inlineStr">
        <is>
          <t>0,16x</t>
        </is>
      </c>
      <c r="DJ131" s="122" t="inlineStr">
        <is>
          <t>20</t>
        </is>
      </c>
      <c r="DK131" s="123" t="inlineStr">
        <is>
          <t>0,81x</t>
        </is>
      </c>
      <c r="DL131" s="124" t="inlineStr">
        <is>
          <t>47</t>
        </is>
      </c>
      <c r="DM131" s="125" t="inlineStr">
        <is>
          <t>334</t>
        </is>
      </c>
      <c r="DN131" s="126" t="inlineStr">
        <is>
          <t>-11</t>
        </is>
      </c>
      <c r="DO131" s="127" t="inlineStr">
        <is>
          <t>-3,19%</t>
        </is>
      </c>
      <c r="DP131" s="128" t="inlineStr">
        <is>
          <t>128</t>
        </is>
      </c>
      <c r="DQ131" s="129" t="inlineStr">
        <is>
          <t>0</t>
        </is>
      </c>
      <c r="DR131" s="130" t="inlineStr">
        <is>
          <t>0,00%</t>
        </is>
      </c>
      <c r="DS131" s="131" t="inlineStr">
        <is>
          <t>110</t>
        </is>
      </c>
      <c r="DT131" s="132" t="inlineStr">
        <is>
          <t>-1</t>
        </is>
      </c>
      <c r="DU131" s="133" t="inlineStr">
        <is>
          <t>-0,90%</t>
        </is>
      </c>
      <c r="DV131" s="134" t="inlineStr">
        <is>
          <t>277</t>
        </is>
      </c>
      <c r="DW131" s="135" t="inlineStr">
        <is>
          <t>0</t>
        </is>
      </c>
      <c r="DX131" s="136" t="inlineStr">
        <is>
          <t>0,00%</t>
        </is>
      </c>
      <c r="DY131" s="137" t="inlineStr">
        <is>
          <t>PitchBook Research</t>
        </is>
      </c>
      <c r="DZ131" s="785">
        <f>HYPERLINK("https://my.pitchbook.com?c=108842-32", "View company online")</f>
      </c>
    </row>
    <row r="132">
      <c r="A132" s="139" t="inlineStr">
        <is>
          <t>154351-00</t>
        </is>
      </c>
      <c r="B132" s="140" t="inlineStr">
        <is>
          <t>Cubyn</t>
        </is>
      </c>
      <c r="C132" s="141" t="inlineStr">
        <is>
          <t/>
        </is>
      </c>
      <c r="D132" s="142" t="inlineStr">
        <is>
          <t/>
        </is>
      </c>
      <c r="E132" s="143" t="inlineStr">
        <is>
          <t>154351-00</t>
        </is>
      </c>
      <c r="F132" s="144" t="inlineStr">
        <is>
          <t>Developer of an on-demand logistics platform designed to simplify goods delivery. The company's on-demand platform offers businesses the option to pick their orders on-site in two hours, package them and ship them to any destination globally, enabling organizations to save time and money when shipping items internationally.</t>
        </is>
      </c>
      <c r="G132" s="145" t="inlineStr">
        <is>
          <t>Information Technology</t>
        </is>
      </c>
      <c r="H132" s="146" t="inlineStr">
        <is>
          <t>Software</t>
        </is>
      </c>
      <c r="I132" s="147" t="inlineStr">
        <is>
          <t>Application Software</t>
        </is>
      </c>
      <c r="J132" s="148" t="inlineStr">
        <is>
          <t>Application Software*; Logistics</t>
        </is>
      </c>
      <c r="K132" s="149" t="inlineStr">
        <is>
          <t/>
        </is>
      </c>
      <c r="L132" s="150" t="inlineStr">
        <is>
          <t>Venture Capital-Backed</t>
        </is>
      </c>
      <c r="M132" s="151" t="n">
        <v>7.19</v>
      </c>
      <c r="N132" s="152" t="inlineStr">
        <is>
          <t>Startup</t>
        </is>
      </c>
      <c r="O132" s="153" t="inlineStr">
        <is>
          <t>Privately Held (backing)</t>
        </is>
      </c>
      <c r="P132" s="154" t="inlineStr">
        <is>
          <t>Venture Capital</t>
        </is>
      </c>
      <c r="Q132" s="155" t="inlineStr">
        <is>
          <t>www.cubyn.com</t>
        </is>
      </c>
      <c r="R132" s="156" t="n">
        <v>14.0</v>
      </c>
      <c r="S132" s="157" t="inlineStr">
        <is>
          <t/>
        </is>
      </c>
      <c r="T132" s="158" t="inlineStr">
        <is>
          <t/>
        </is>
      </c>
      <c r="U132" s="159" t="n">
        <v>2014.0</v>
      </c>
      <c r="V132" s="160" t="inlineStr">
        <is>
          <t/>
        </is>
      </c>
      <c r="W132" s="161" t="inlineStr">
        <is>
          <t/>
        </is>
      </c>
      <c r="X132" s="162" t="inlineStr">
        <is>
          <t/>
        </is>
      </c>
      <c r="Y132" s="163" t="inlineStr">
        <is>
          <t/>
        </is>
      </c>
      <c r="Z132" s="164" t="inlineStr">
        <is>
          <t/>
        </is>
      </c>
      <c r="AA132" s="165" t="inlineStr">
        <is>
          <t/>
        </is>
      </c>
      <c r="AB132" s="166" t="inlineStr">
        <is>
          <t/>
        </is>
      </c>
      <c r="AC132" s="167" t="inlineStr">
        <is>
          <t/>
        </is>
      </c>
      <c r="AD132" s="168" t="inlineStr">
        <is>
          <t/>
        </is>
      </c>
      <c r="AE132" s="169" t="inlineStr">
        <is>
          <t>128981-53P</t>
        </is>
      </c>
      <c r="AF132" s="170" t="inlineStr">
        <is>
          <t>Adrien Baca</t>
        </is>
      </c>
      <c r="AG132" s="171" t="inlineStr">
        <is>
          <t>Co-Founder &amp; Chief Executive Officer</t>
        </is>
      </c>
      <c r="AH132" s="172" t="inlineStr">
        <is>
          <t>adrien@cubyn.com</t>
        </is>
      </c>
      <c r="AI132" s="173" t="inlineStr">
        <is>
          <t/>
        </is>
      </c>
      <c r="AJ132" s="174" t="inlineStr">
        <is>
          <t>Paris, France</t>
        </is>
      </c>
      <c r="AK132" s="175" t="inlineStr">
        <is>
          <t>26 Boulevard Saint-Denis</t>
        </is>
      </c>
      <c r="AL132" s="176" t="inlineStr">
        <is>
          <t/>
        </is>
      </c>
      <c r="AM132" s="177" t="inlineStr">
        <is>
          <t>Paris</t>
        </is>
      </c>
      <c r="AN132" s="178" t="inlineStr">
        <is>
          <t/>
        </is>
      </c>
      <c r="AO132" s="179" t="inlineStr">
        <is>
          <t>75010</t>
        </is>
      </c>
      <c r="AP132" s="180" t="inlineStr">
        <is>
          <t>France</t>
        </is>
      </c>
      <c r="AQ132" s="181" t="inlineStr">
        <is>
          <t/>
        </is>
      </c>
      <c r="AR132" s="182" t="inlineStr">
        <is>
          <t/>
        </is>
      </c>
      <c r="AS132" s="183" t="inlineStr">
        <is>
          <t>curieux@cubyn.com</t>
        </is>
      </c>
      <c r="AT132" s="184" t="inlineStr">
        <is>
          <t>Europe</t>
        </is>
      </c>
      <c r="AU132" s="185" t="inlineStr">
        <is>
          <t>Western Europe</t>
        </is>
      </c>
      <c r="AV132" s="186" t="inlineStr">
        <is>
          <t>The company raised $7 million of Series A venture funding in a deal led by DN Capital on July 20, 2017. Partech Ventures, BNP Paribas and 360 Capital Partners also participated in the round. The funds will be used to strengthen the company's leadership position in France, launch operations in new European cities, scale acquisition and consolidate the management team.</t>
        </is>
      </c>
      <c r="AW132" s="187" t="inlineStr">
        <is>
          <t>360 Capital Partners, BNP Paribas Développement, DN Capital, Henri Tachdjian, Jerome Do, Jérôme Lecat, Olivier Mathiot, Paris&amp;Co Incubateurs, Partech Ventures, Pascal Froux, Thierry Petit</t>
        </is>
      </c>
      <c r="AX132" s="188" t="n">
        <v>11.0</v>
      </c>
      <c r="AY132" s="189" t="inlineStr">
        <is>
          <t/>
        </is>
      </c>
      <c r="AZ132" s="190" t="inlineStr">
        <is>
          <t/>
        </is>
      </c>
      <c r="BA132" s="191" t="inlineStr">
        <is>
          <t/>
        </is>
      </c>
      <c r="BB132" s="192" t="inlineStr">
        <is>
          <t>360 Capital Partners (www.360capitalpartners.com), BNP Paribas Développement (www.bnpparibasdeveloppement.com), DN Capital (www.dncapital.com), Paris&amp;Co Incubateurs (www.incubateurs.parisandco.com), Partech Ventures (www.partechventures.com)</t>
        </is>
      </c>
      <c r="BC132" s="193" t="inlineStr">
        <is>
          <t/>
        </is>
      </c>
      <c r="BD132" s="194" t="inlineStr">
        <is>
          <t/>
        </is>
      </c>
      <c r="BE132" s="195" t="inlineStr">
        <is>
          <t/>
        </is>
      </c>
      <c r="BF132" s="196" t="inlineStr">
        <is>
          <t/>
        </is>
      </c>
      <c r="BG132" s="197" t="n">
        <v>42341.0</v>
      </c>
      <c r="BH132" s="198" t="n">
        <v>0.01</v>
      </c>
      <c r="BI132" s="199" t="inlineStr">
        <is>
          <t>Actual</t>
        </is>
      </c>
      <c r="BJ132" s="200" t="inlineStr">
        <is>
          <t/>
        </is>
      </c>
      <c r="BK132" s="201" t="inlineStr">
        <is>
          <t/>
        </is>
      </c>
      <c r="BL132" s="202" t="inlineStr">
        <is>
          <t>Accelerator/Incubator</t>
        </is>
      </c>
      <c r="BM132" s="203" t="inlineStr">
        <is>
          <t/>
        </is>
      </c>
      <c r="BN132" s="204" t="inlineStr">
        <is>
          <t/>
        </is>
      </c>
      <c r="BO132" s="205" t="inlineStr">
        <is>
          <t>Other</t>
        </is>
      </c>
      <c r="BP132" s="206" t="inlineStr">
        <is>
          <t/>
        </is>
      </c>
      <c r="BQ132" s="207" t="inlineStr">
        <is>
          <t/>
        </is>
      </c>
      <c r="BR132" s="208" t="inlineStr">
        <is>
          <t/>
        </is>
      </c>
      <c r="BS132" s="209" t="inlineStr">
        <is>
          <t>Completed</t>
        </is>
      </c>
      <c r="BT132" s="210" t="n">
        <v>42935.0</v>
      </c>
      <c r="BU132" s="211" t="n">
        <v>6.08</v>
      </c>
      <c r="BV132" s="212" t="inlineStr">
        <is>
          <t>Actual</t>
        </is>
      </c>
      <c r="BW132" s="213" t="inlineStr">
        <is>
          <t/>
        </is>
      </c>
      <c r="BX132" s="214" t="inlineStr">
        <is>
          <t/>
        </is>
      </c>
      <c r="BY132" s="215" t="inlineStr">
        <is>
          <t>Early Stage VC</t>
        </is>
      </c>
      <c r="BZ132" s="216" t="inlineStr">
        <is>
          <t>Series A</t>
        </is>
      </c>
      <c r="CA132" s="217" t="inlineStr">
        <is>
          <t/>
        </is>
      </c>
      <c r="CB132" s="218" t="inlineStr">
        <is>
          <t>Venture Capital</t>
        </is>
      </c>
      <c r="CC132" s="219" t="inlineStr">
        <is>
          <t/>
        </is>
      </c>
      <c r="CD132" s="220" t="inlineStr">
        <is>
          <t/>
        </is>
      </c>
      <c r="CE132" s="221" t="inlineStr">
        <is>
          <t/>
        </is>
      </c>
      <c r="CF132" s="222" t="inlineStr">
        <is>
          <t>Completed</t>
        </is>
      </c>
      <c r="CG132" s="223" t="inlineStr">
        <is>
          <t>-2,39%</t>
        </is>
      </c>
      <c r="CH132" s="224" t="inlineStr">
        <is>
          <t>2</t>
        </is>
      </c>
      <c r="CI132" s="225" t="inlineStr">
        <is>
          <t>0,00%</t>
        </is>
      </c>
      <c r="CJ132" s="226" t="inlineStr">
        <is>
          <t>-0,04%</t>
        </is>
      </c>
      <c r="CK132" s="227" t="inlineStr">
        <is>
          <t>-5,49%</t>
        </is>
      </c>
      <c r="CL132" s="228" t="inlineStr">
        <is>
          <t>1</t>
        </is>
      </c>
      <c r="CM132" s="229" t="inlineStr">
        <is>
          <t>0,70%</t>
        </is>
      </c>
      <c r="CN132" s="230" t="inlineStr">
        <is>
          <t>93</t>
        </is>
      </c>
      <c r="CO132" s="231" t="inlineStr">
        <is>
          <t>-10,97%</t>
        </is>
      </c>
      <c r="CP132" s="232" t="inlineStr">
        <is>
          <t>2</t>
        </is>
      </c>
      <c r="CQ132" s="233" t="inlineStr">
        <is>
          <t>0,00%</t>
        </is>
      </c>
      <c r="CR132" s="234" t="inlineStr">
        <is>
          <t>13</t>
        </is>
      </c>
      <c r="CS132" s="235" t="inlineStr">
        <is>
          <t>0,48%</t>
        </is>
      </c>
      <c r="CT132" s="236" t="inlineStr">
        <is>
          <t>87</t>
        </is>
      </c>
      <c r="CU132" s="237" t="inlineStr">
        <is>
          <t>0,92%</t>
        </is>
      </c>
      <c r="CV132" s="238" t="inlineStr">
        <is>
          <t>97</t>
        </is>
      </c>
      <c r="CW132" s="239" t="inlineStr">
        <is>
          <t>2,66x</t>
        </is>
      </c>
      <c r="CX132" s="240" t="inlineStr">
        <is>
          <t>69</t>
        </is>
      </c>
      <c r="CY132" s="241" t="inlineStr">
        <is>
          <t>0,04x</t>
        </is>
      </c>
      <c r="CZ132" s="242" t="inlineStr">
        <is>
          <t>1,39%</t>
        </is>
      </c>
      <c r="DA132" s="243" t="inlineStr">
        <is>
          <t>3,56x</t>
        </is>
      </c>
      <c r="DB132" s="244" t="inlineStr">
        <is>
          <t>76</t>
        </is>
      </c>
      <c r="DC132" s="245" t="inlineStr">
        <is>
          <t>1,76x</t>
        </is>
      </c>
      <c r="DD132" s="246" t="inlineStr">
        <is>
          <t>59</t>
        </is>
      </c>
      <c r="DE132" s="247" t="inlineStr">
        <is>
          <t>4,51x</t>
        </is>
      </c>
      <c r="DF132" s="248" t="inlineStr">
        <is>
          <t>75</t>
        </is>
      </c>
      <c r="DG132" s="249" t="inlineStr">
        <is>
          <t>2,61x</t>
        </is>
      </c>
      <c r="DH132" s="250" t="inlineStr">
        <is>
          <t>69</t>
        </is>
      </c>
      <c r="DI132" s="251" t="inlineStr">
        <is>
          <t>1,43x</t>
        </is>
      </c>
      <c r="DJ132" s="252" t="inlineStr">
        <is>
          <t>57</t>
        </is>
      </c>
      <c r="DK132" s="253" t="inlineStr">
        <is>
          <t>2,09x</t>
        </is>
      </c>
      <c r="DL132" s="254" t="inlineStr">
        <is>
          <t>64</t>
        </is>
      </c>
      <c r="DM132" s="255" t="inlineStr">
        <is>
          <t>3.028</t>
        </is>
      </c>
      <c r="DN132" s="256" t="inlineStr">
        <is>
          <t>-757</t>
        </is>
      </c>
      <c r="DO132" s="257" t="inlineStr">
        <is>
          <t>-20,00%</t>
        </is>
      </c>
      <c r="DP132" s="258" t="inlineStr">
        <is>
          <t>1.140</t>
        </is>
      </c>
      <c r="DQ132" s="259" t="inlineStr">
        <is>
          <t>3</t>
        </is>
      </c>
      <c r="DR132" s="260" t="inlineStr">
        <is>
          <t>0,26%</t>
        </is>
      </c>
      <c r="DS132" s="261" t="inlineStr">
        <is>
          <t>94</t>
        </is>
      </c>
      <c r="DT132" s="262" t="inlineStr">
        <is>
          <t>0</t>
        </is>
      </c>
      <c r="DU132" s="263" t="inlineStr">
        <is>
          <t>0,00%</t>
        </is>
      </c>
      <c r="DV132" s="264" t="inlineStr">
        <is>
          <t>718</t>
        </is>
      </c>
      <c r="DW132" s="265" t="inlineStr">
        <is>
          <t>2</t>
        </is>
      </c>
      <c r="DX132" s="266" t="inlineStr">
        <is>
          <t>0,28%</t>
        </is>
      </c>
      <c r="DY132" s="267" t="inlineStr">
        <is>
          <t>PitchBook Research</t>
        </is>
      </c>
      <c r="DZ132" s="786">
        <f>HYPERLINK("https://my.pitchbook.com?c=154351-00", "View company online")</f>
      </c>
    </row>
    <row r="133">
      <c r="A133" s="9" t="inlineStr">
        <is>
          <t>59974-66</t>
        </is>
      </c>
      <c r="B133" s="10" t="inlineStr">
        <is>
          <t>CupoNation</t>
        </is>
      </c>
      <c r="C133" s="11" t="inlineStr">
        <is>
          <t/>
        </is>
      </c>
      <c r="D133" s="12" t="inlineStr">
        <is>
          <t/>
        </is>
      </c>
      <c r="E133" s="13" t="inlineStr">
        <is>
          <t>59974-66</t>
        </is>
      </c>
      <c r="F133" s="14" t="inlineStr">
        <is>
          <t>Developer of an online coupon platform designed to provide discounts to customers while shopping online. The company's online coupon platform aggregates deals from various brands and retailers, enabling customers to save their money to meet their personal needs.</t>
        </is>
      </c>
      <c r="G133" s="15" t="inlineStr">
        <is>
          <t>Business Products and Services (B2B)</t>
        </is>
      </c>
      <c r="H133" s="16" t="inlineStr">
        <is>
          <t>Commercial Services</t>
        </is>
      </c>
      <c r="I133" s="17" t="inlineStr">
        <is>
          <t>Media and Information Services (B2B)</t>
        </is>
      </c>
      <c r="J133" s="18" t="inlineStr">
        <is>
          <t>Media and Information Services (B2B)*; Application Software; Social/Platform Software</t>
        </is>
      </c>
      <c r="K133" s="19" t="inlineStr">
        <is>
          <t>E-Commerce, Mobile, SaaS</t>
        </is>
      </c>
      <c r="L133" s="20" t="inlineStr">
        <is>
          <t>Venture Capital-Backed</t>
        </is>
      </c>
      <c r="M133" s="21" t="n">
        <v>20.39</v>
      </c>
      <c r="N133" s="22" t="inlineStr">
        <is>
          <t>Profitable</t>
        </is>
      </c>
      <c r="O133" s="23" t="inlineStr">
        <is>
          <t>Privately Held (backing)</t>
        </is>
      </c>
      <c r="P133" s="24" t="inlineStr">
        <is>
          <t>Venture Capital</t>
        </is>
      </c>
      <c r="Q133" s="25" t="inlineStr">
        <is>
          <t>www.cuponation.de</t>
        </is>
      </c>
      <c r="R133" s="26" t="n">
        <v>25.0</v>
      </c>
      <c r="S133" s="27" t="inlineStr">
        <is>
          <t/>
        </is>
      </c>
      <c r="T133" s="28" t="inlineStr">
        <is>
          <t/>
        </is>
      </c>
      <c r="U133" s="29" t="n">
        <v>2012.0</v>
      </c>
      <c r="V133" s="30" t="inlineStr">
        <is>
          <t/>
        </is>
      </c>
      <c r="W133" s="31" t="inlineStr">
        <is>
          <t/>
        </is>
      </c>
      <c r="X133" s="32" t="inlineStr">
        <is>
          <t/>
        </is>
      </c>
      <c r="Y133" s="33" t="n">
        <v>1.5894</v>
      </c>
      <c r="Z133" s="34" t="inlineStr">
        <is>
          <t/>
        </is>
      </c>
      <c r="AA133" s="35" t="n">
        <v>0.04594</v>
      </c>
      <c r="AB133" s="36" t="inlineStr">
        <is>
          <t/>
        </is>
      </c>
      <c r="AC133" s="37" t="inlineStr">
        <is>
          <t/>
        </is>
      </c>
      <c r="AD133" s="38" t="inlineStr">
        <is>
          <t>FY 2015</t>
        </is>
      </c>
      <c r="AE133" s="39" t="inlineStr">
        <is>
          <t>56197-45P</t>
        </is>
      </c>
      <c r="AF133" s="40" t="inlineStr">
        <is>
          <t>Maria Junqueira</t>
        </is>
      </c>
      <c r="AG133" s="41" t="inlineStr">
        <is>
          <t>Co-Founder &amp; Chief Executive Officer</t>
        </is>
      </c>
      <c r="AH133" s="42" t="inlineStr">
        <is>
          <t/>
        </is>
      </c>
      <c r="AI133" s="43" t="inlineStr">
        <is>
          <t>+49 (0)89 4161 2298 0</t>
        </is>
      </c>
      <c r="AJ133" s="44" t="inlineStr">
        <is>
          <t>Munich, Germany</t>
        </is>
      </c>
      <c r="AK133" s="45" t="inlineStr">
        <is>
          <t>Dingolfingerstr. 15</t>
        </is>
      </c>
      <c r="AL133" s="46" t="inlineStr">
        <is>
          <t/>
        </is>
      </c>
      <c r="AM133" s="47" t="inlineStr">
        <is>
          <t>Munich</t>
        </is>
      </c>
      <c r="AN133" s="48" t="inlineStr">
        <is>
          <t/>
        </is>
      </c>
      <c r="AO133" s="49" t="inlineStr">
        <is>
          <t>81673</t>
        </is>
      </c>
      <c r="AP133" s="50" t="inlineStr">
        <is>
          <t>Germany</t>
        </is>
      </c>
      <c r="AQ133" s="51" t="inlineStr">
        <is>
          <t>+49 (0)89 4161 2298 0</t>
        </is>
      </c>
      <c r="AR133" s="52" t="inlineStr">
        <is>
          <t>+49 (0)30 6098 4969 1</t>
        </is>
      </c>
      <c r="AS133" s="53" t="inlineStr">
        <is>
          <t>contact@cuponation.de</t>
        </is>
      </c>
      <c r="AT133" s="54" t="inlineStr">
        <is>
          <t>Europe</t>
        </is>
      </c>
      <c r="AU133" s="55" t="inlineStr">
        <is>
          <t>Western Europe</t>
        </is>
      </c>
      <c r="AV133" s="56" t="inlineStr">
        <is>
          <t>The company raised EUR 10 million of Series B venture funding from e.ventures, Holtzbrinck Ventures and New Enterprise Associates on December 10, 2015. Deutsche Telekom, ru-Net, Rocket Internet, SVB Financial Group, Columbia Lake Partners and Deutsche Telekom Capital Partners also participated in the round. The company will use the fund to further expand its business.</t>
        </is>
      </c>
      <c r="AW133" s="57" t="inlineStr">
        <is>
          <t>Columbia Lake Partners, Deutsche Telekom, Deutsche Telekom Capital Partners, Deutsche Telekom Strategic Investments, e.ventures, Holtzbrinck Ventures, New Enterprise Associates, Rocket Internet, ru-Net, Silicon Valley Bank</t>
        </is>
      </c>
      <c r="AX133" s="58" t="n">
        <v>10.0</v>
      </c>
      <c r="AY133" s="59" t="inlineStr">
        <is>
          <t/>
        </is>
      </c>
      <c r="AZ133" s="60" t="inlineStr">
        <is>
          <t/>
        </is>
      </c>
      <c r="BA133" s="61" t="inlineStr">
        <is>
          <t/>
        </is>
      </c>
      <c r="BB133" s="62" t="inlineStr">
        <is>
          <t>Columbia Lake Partners (www.clpgrowth.com), Deutsche Telekom (www.telekom.com), Deutsche Telekom Capital Partners (www.telekom-capital.com), e.ventures (www.eventures.vc), Holtzbrinck Ventures (www.holtzbrinck-ventures.com), New Enterprise Associates (www.nea.com), Rocket Internet (www.rocket-internet.com), ru-Net (www.ru-net.ru), Silicon Valley Bank (www.svb.com)</t>
        </is>
      </c>
      <c r="BC133" s="63" t="inlineStr">
        <is>
          <t/>
        </is>
      </c>
      <c r="BD133" s="64" t="inlineStr">
        <is>
          <t/>
        </is>
      </c>
      <c r="BE133" s="65" t="inlineStr">
        <is>
          <t/>
        </is>
      </c>
      <c r="BF133" s="66" t="inlineStr">
        <is>
          <t/>
        </is>
      </c>
      <c r="BG133" s="67" t="n">
        <v>41257.0</v>
      </c>
      <c r="BH133" s="68" t="n">
        <v>8.39</v>
      </c>
      <c r="BI133" s="69" t="inlineStr">
        <is>
          <t>Actual</t>
        </is>
      </c>
      <c r="BJ133" s="70" t="inlineStr">
        <is>
          <t/>
        </is>
      </c>
      <c r="BK133" s="71" t="inlineStr">
        <is>
          <t/>
        </is>
      </c>
      <c r="BL133" s="72" t="inlineStr">
        <is>
          <t>Early Stage VC</t>
        </is>
      </c>
      <c r="BM133" s="73" t="inlineStr">
        <is>
          <t/>
        </is>
      </c>
      <c r="BN133" s="74" t="inlineStr">
        <is>
          <t/>
        </is>
      </c>
      <c r="BO133" s="75" t="inlineStr">
        <is>
          <t>Venture Capital</t>
        </is>
      </c>
      <c r="BP133" s="76" t="inlineStr">
        <is>
          <t/>
        </is>
      </c>
      <c r="BQ133" s="77" t="inlineStr">
        <is>
          <t/>
        </is>
      </c>
      <c r="BR133" s="78" t="inlineStr">
        <is>
          <t/>
        </is>
      </c>
      <c r="BS133" s="79" t="inlineStr">
        <is>
          <t>Completed</t>
        </is>
      </c>
      <c r="BT133" s="80" t="n">
        <v>42348.0</v>
      </c>
      <c r="BU133" s="81" t="n">
        <v>10.0</v>
      </c>
      <c r="BV133" s="82" t="inlineStr">
        <is>
          <t>Actual</t>
        </is>
      </c>
      <c r="BW133" s="83" t="inlineStr">
        <is>
          <t/>
        </is>
      </c>
      <c r="BX133" s="84" t="inlineStr">
        <is>
          <t/>
        </is>
      </c>
      <c r="BY133" s="85" t="inlineStr">
        <is>
          <t>Early Stage VC</t>
        </is>
      </c>
      <c r="BZ133" s="86" t="inlineStr">
        <is>
          <t>Series B</t>
        </is>
      </c>
      <c r="CA133" s="87" t="inlineStr">
        <is>
          <t/>
        </is>
      </c>
      <c r="CB133" s="88" t="inlineStr">
        <is>
          <t>Venture Capital</t>
        </is>
      </c>
      <c r="CC133" s="89" t="inlineStr">
        <is>
          <t/>
        </is>
      </c>
      <c r="CD133" s="90" t="inlineStr">
        <is>
          <t/>
        </is>
      </c>
      <c r="CE133" s="91" t="inlineStr">
        <is>
          <t/>
        </is>
      </c>
      <c r="CF133" s="92" t="inlineStr">
        <is>
          <t>Completed</t>
        </is>
      </c>
      <c r="CG133" s="93" t="inlineStr">
        <is>
          <t>-0,35%</t>
        </is>
      </c>
      <c r="CH133" s="94" t="inlineStr">
        <is>
          <t>10</t>
        </is>
      </c>
      <c r="CI133" s="95" t="inlineStr">
        <is>
          <t>-0,01%</t>
        </is>
      </c>
      <c r="CJ133" s="96" t="inlineStr">
        <is>
          <t>-4,12%</t>
        </is>
      </c>
      <c r="CK133" s="97" t="inlineStr">
        <is>
          <t>-0,76%</t>
        </is>
      </c>
      <c r="CL133" s="98" t="inlineStr">
        <is>
          <t>10</t>
        </is>
      </c>
      <c r="CM133" s="99" t="inlineStr">
        <is>
          <t>0,06%</t>
        </is>
      </c>
      <c r="CN133" s="100" t="inlineStr">
        <is>
          <t>54</t>
        </is>
      </c>
      <c r="CO133" s="101" t="inlineStr">
        <is>
          <t>-2,17%</t>
        </is>
      </c>
      <c r="CP133" s="102" t="inlineStr">
        <is>
          <t>15</t>
        </is>
      </c>
      <c r="CQ133" s="103" t="inlineStr">
        <is>
          <t>0,64%</t>
        </is>
      </c>
      <c r="CR133" s="104" t="inlineStr">
        <is>
          <t>87</t>
        </is>
      </c>
      <c r="CS133" s="105" t="inlineStr">
        <is>
          <t>0,01%</t>
        </is>
      </c>
      <c r="CT133" s="106" t="inlineStr">
        <is>
          <t>41</t>
        </is>
      </c>
      <c r="CU133" s="107" t="inlineStr">
        <is>
          <t>0,10%</t>
        </is>
      </c>
      <c r="CV133" s="108" t="inlineStr">
        <is>
          <t>68</t>
        </is>
      </c>
      <c r="CW133" s="109" t="inlineStr">
        <is>
          <t>66,30x</t>
        </is>
      </c>
      <c r="CX133" s="110" t="inlineStr">
        <is>
          <t>97</t>
        </is>
      </c>
      <c r="CY133" s="111" t="inlineStr">
        <is>
          <t>0,97x</t>
        </is>
      </c>
      <c r="CZ133" s="112" t="inlineStr">
        <is>
          <t>1,49%</t>
        </is>
      </c>
      <c r="DA133" s="113" t="inlineStr">
        <is>
          <t>44,86x</t>
        </is>
      </c>
      <c r="DB133" s="114" t="inlineStr">
        <is>
          <t>96</t>
        </is>
      </c>
      <c r="DC133" s="115" t="inlineStr">
        <is>
          <t>87,74x</t>
        </is>
      </c>
      <c r="DD133" s="116" t="inlineStr">
        <is>
          <t>96</t>
        </is>
      </c>
      <c r="DE133" s="117" t="inlineStr">
        <is>
          <t>84,72x</t>
        </is>
      </c>
      <c r="DF133" s="118" t="inlineStr">
        <is>
          <t>95</t>
        </is>
      </c>
      <c r="DG133" s="119" t="inlineStr">
        <is>
          <t>5,00x</t>
        </is>
      </c>
      <c r="DH133" s="120" t="inlineStr">
        <is>
          <t>79</t>
        </is>
      </c>
      <c r="DI133" s="121" t="inlineStr">
        <is>
          <t>173,62x</t>
        </is>
      </c>
      <c r="DJ133" s="122" t="inlineStr">
        <is>
          <t>97</t>
        </is>
      </c>
      <c r="DK133" s="123" t="inlineStr">
        <is>
          <t>1,86x</t>
        </is>
      </c>
      <c r="DL133" s="124" t="inlineStr">
        <is>
          <t>62</t>
        </is>
      </c>
      <c r="DM133" s="125" t="inlineStr">
        <is>
          <t>52.114</t>
        </is>
      </c>
      <c r="DN133" s="126" t="inlineStr">
        <is>
          <t>-38</t>
        </is>
      </c>
      <c r="DO133" s="127" t="inlineStr">
        <is>
          <t>-0,07%</t>
        </is>
      </c>
      <c r="DP133" s="128" t="inlineStr">
        <is>
          <t>138.613</t>
        </is>
      </c>
      <c r="DQ133" s="129" t="inlineStr">
        <is>
          <t>40</t>
        </is>
      </c>
      <c r="DR133" s="130" t="inlineStr">
        <is>
          <t>0,03%</t>
        </is>
      </c>
      <c r="DS133" s="131" t="inlineStr">
        <is>
          <t>181</t>
        </is>
      </c>
      <c r="DT133" s="132" t="inlineStr">
        <is>
          <t>-2</t>
        </is>
      </c>
      <c r="DU133" s="133" t="inlineStr">
        <is>
          <t>-1,09%</t>
        </is>
      </c>
      <c r="DV133" s="134" t="inlineStr">
        <is>
          <t>636</t>
        </is>
      </c>
      <c r="DW133" s="135" t="inlineStr">
        <is>
          <t>3</t>
        </is>
      </c>
      <c r="DX133" s="136" t="inlineStr">
        <is>
          <t>0,47%</t>
        </is>
      </c>
      <c r="DY133" s="137" t="inlineStr">
        <is>
          <t>PitchBook Research</t>
        </is>
      </c>
      <c r="DZ133" s="785">
        <f>HYPERLINK("https://my.pitchbook.com?c=59974-66", "View company online")</f>
      </c>
    </row>
    <row r="134">
      <c r="A134" s="139" t="inlineStr">
        <is>
          <t>167458-69</t>
        </is>
      </c>
      <c r="B134" s="140" t="inlineStr">
        <is>
          <t>Curlew Power</t>
        </is>
      </c>
      <c r="C134" s="141" t="inlineStr">
        <is>
          <t/>
        </is>
      </c>
      <c r="D134" s="142" t="inlineStr">
        <is>
          <t/>
        </is>
      </c>
      <c r="E134" s="143" t="inlineStr">
        <is>
          <t>167458-69</t>
        </is>
      </c>
      <c r="F134" s="144" t="inlineStr">
        <is>
          <t>Operator and owner of an onshore wind farm facility, based in London, England. The company owns a wind farm which generates clean energy for around 5,550 homes annually.</t>
        </is>
      </c>
      <c r="G134" s="145" t="inlineStr">
        <is>
          <t>Energy</t>
        </is>
      </c>
      <c r="H134" s="146" t="inlineStr">
        <is>
          <t>Exploration, Production and Refining</t>
        </is>
      </c>
      <c r="I134" s="147" t="inlineStr">
        <is>
          <t>Energy Production</t>
        </is>
      </c>
      <c r="J134" s="148" t="inlineStr">
        <is>
          <t>Energy Production*</t>
        </is>
      </c>
      <c r="K134" s="149" t="inlineStr">
        <is>
          <t/>
        </is>
      </c>
      <c r="L134" s="150" t="inlineStr">
        <is>
          <t>Venture Capital-Backed</t>
        </is>
      </c>
      <c r="M134" s="151" t="n">
        <v>7.06</v>
      </c>
      <c r="N134" s="152" t="inlineStr">
        <is>
          <t>Generating Revenue</t>
        </is>
      </c>
      <c r="O134" s="153" t="inlineStr">
        <is>
          <t>Privately Held (backing)</t>
        </is>
      </c>
      <c r="P134" s="154" t="inlineStr">
        <is>
          <t>Venture Capital</t>
        </is>
      </c>
      <c r="Q134" s="155" t="inlineStr">
        <is>
          <t/>
        </is>
      </c>
      <c r="R134" s="156" t="inlineStr">
        <is>
          <t/>
        </is>
      </c>
      <c r="S134" s="157" t="inlineStr">
        <is>
          <t/>
        </is>
      </c>
      <c r="T134" s="158" t="inlineStr">
        <is>
          <t/>
        </is>
      </c>
      <c r="U134" s="159" t="n">
        <v>2014.0</v>
      </c>
      <c r="V134" s="160" t="inlineStr">
        <is>
          <t/>
        </is>
      </c>
      <c r="W134" s="161" t="inlineStr">
        <is>
          <t/>
        </is>
      </c>
      <c r="X134" s="162" t="inlineStr">
        <is>
          <t/>
        </is>
      </c>
      <c r="Y134" s="163" t="inlineStr">
        <is>
          <t/>
        </is>
      </c>
      <c r="Z134" s="164" t="inlineStr">
        <is>
          <t/>
        </is>
      </c>
      <c r="AA134" s="165" t="inlineStr">
        <is>
          <t/>
        </is>
      </c>
      <c r="AB134" s="166" t="inlineStr">
        <is>
          <t/>
        </is>
      </c>
      <c r="AC134" s="167" t="inlineStr">
        <is>
          <t/>
        </is>
      </c>
      <c r="AD134" s="168" t="inlineStr">
        <is>
          <t/>
        </is>
      </c>
      <c r="AE134" s="169" t="inlineStr">
        <is>
          <t/>
        </is>
      </c>
      <c r="AF134" s="170" t="inlineStr">
        <is>
          <t/>
        </is>
      </c>
      <c r="AG134" s="171" t="inlineStr">
        <is>
          <t/>
        </is>
      </c>
      <c r="AH134" s="172" t="inlineStr">
        <is>
          <t/>
        </is>
      </c>
      <c r="AI134" s="173" t="inlineStr">
        <is>
          <t/>
        </is>
      </c>
      <c r="AJ134" s="174" t="inlineStr">
        <is>
          <t>London, United Kingdom</t>
        </is>
      </c>
      <c r="AK134" s="175" t="inlineStr">
        <is>
          <t/>
        </is>
      </c>
      <c r="AL134" s="176" t="inlineStr">
        <is>
          <t/>
        </is>
      </c>
      <c r="AM134" s="177" t="inlineStr">
        <is>
          <t>London</t>
        </is>
      </c>
      <c r="AN134" s="178" t="inlineStr">
        <is>
          <t>England</t>
        </is>
      </c>
      <c r="AO134" s="179" t="inlineStr">
        <is>
          <t/>
        </is>
      </c>
      <c r="AP134" s="180" t="inlineStr">
        <is>
          <t>United Kingdom</t>
        </is>
      </c>
      <c r="AQ134" s="181" t="inlineStr">
        <is>
          <t/>
        </is>
      </c>
      <c r="AR134" s="182" t="inlineStr">
        <is>
          <t/>
        </is>
      </c>
      <c r="AS134" s="183" t="inlineStr">
        <is>
          <t/>
        </is>
      </c>
      <c r="AT134" s="184" t="inlineStr">
        <is>
          <t>Europe</t>
        </is>
      </c>
      <c r="AU134" s="185" t="inlineStr">
        <is>
          <t>Western Europe</t>
        </is>
      </c>
      <c r="AV134" s="186" t="inlineStr">
        <is>
          <t>The company raised GBP 5.6 million of venture funding from Downing on July 14, 2014, putting the company's pre-money valuation at GBP 100. The funds will be used to acquire additional wind power infrastructure.</t>
        </is>
      </c>
      <c r="AW134" s="187" t="inlineStr">
        <is>
          <t>Downing</t>
        </is>
      </c>
      <c r="AX134" s="188" t="n">
        <v>1.0</v>
      </c>
      <c r="AY134" s="189" t="inlineStr">
        <is>
          <t/>
        </is>
      </c>
      <c r="AZ134" s="190" t="inlineStr">
        <is>
          <t/>
        </is>
      </c>
      <c r="BA134" s="191" t="inlineStr">
        <is>
          <t/>
        </is>
      </c>
      <c r="BB134" s="192" t="inlineStr">
        <is>
          <t>Downing (www.downing.co.uk)</t>
        </is>
      </c>
      <c r="BC134" s="193" t="inlineStr">
        <is>
          <t/>
        </is>
      </c>
      <c r="BD134" s="194" t="inlineStr">
        <is>
          <t/>
        </is>
      </c>
      <c r="BE134" s="195" t="inlineStr">
        <is>
          <t/>
        </is>
      </c>
      <c r="BF134" s="196" t="inlineStr">
        <is>
          <t/>
        </is>
      </c>
      <c r="BG134" s="197" t="n">
        <v>41834.0</v>
      </c>
      <c r="BH134" s="198" t="n">
        <v>7.06</v>
      </c>
      <c r="BI134" s="199" t="inlineStr">
        <is>
          <t>Actual</t>
        </is>
      </c>
      <c r="BJ134" s="200" t="n">
        <v>6.3</v>
      </c>
      <c r="BK134" s="201" t="inlineStr">
        <is>
          <t>Actual</t>
        </is>
      </c>
      <c r="BL134" s="202" t="inlineStr">
        <is>
          <t>Early Stage VC</t>
        </is>
      </c>
      <c r="BM134" s="203" t="inlineStr">
        <is>
          <t/>
        </is>
      </c>
      <c r="BN134" s="204" t="inlineStr">
        <is>
          <t/>
        </is>
      </c>
      <c r="BO134" s="205" t="inlineStr">
        <is>
          <t>Venture Capital</t>
        </is>
      </c>
      <c r="BP134" s="206" t="inlineStr">
        <is>
          <t>Other</t>
        </is>
      </c>
      <c r="BQ134" s="207" t="inlineStr">
        <is>
          <t/>
        </is>
      </c>
      <c r="BR134" s="208" t="inlineStr">
        <is>
          <t/>
        </is>
      </c>
      <c r="BS134" s="209" t="inlineStr">
        <is>
          <t>Completed</t>
        </is>
      </c>
      <c r="BT134" s="210" t="n">
        <v>41834.0</v>
      </c>
      <c r="BU134" s="211" t="n">
        <v>7.06</v>
      </c>
      <c r="BV134" s="212" t="inlineStr">
        <is>
          <t>Actual</t>
        </is>
      </c>
      <c r="BW134" s="213" t="n">
        <v>6.3</v>
      </c>
      <c r="BX134" s="214" t="inlineStr">
        <is>
          <t>Actual</t>
        </is>
      </c>
      <c r="BY134" s="215" t="inlineStr">
        <is>
          <t>Early Stage VC</t>
        </is>
      </c>
      <c r="BZ134" s="216" t="inlineStr">
        <is>
          <t/>
        </is>
      </c>
      <c r="CA134" s="217" t="inlineStr">
        <is>
          <t/>
        </is>
      </c>
      <c r="CB134" s="218" t="inlineStr">
        <is>
          <t>Venture Capital</t>
        </is>
      </c>
      <c r="CC134" s="219" t="inlineStr">
        <is>
          <t>Other</t>
        </is>
      </c>
      <c r="CD134" s="220" t="inlineStr">
        <is>
          <t/>
        </is>
      </c>
      <c r="CE134" s="221" t="inlineStr">
        <is>
          <t/>
        </is>
      </c>
      <c r="CF134" s="222" t="inlineStr">
        <is>
          <t>Completed</t>
        </is>
      </c>
      <c r="CG134" s="223" t="inlineStr">
        <is>
          <t/>
        </is>
      </c>
      <c r="CH134" s="224" t="inlineStr">
        <is>
          <t/>
        </is>
      </c>
      <c r="CI134" s="225" t="inlineStr">
        <is>
          <t/>
        </is>
      </c>
      <c r="CJ134" s="226" t="inlineStr">
        <is>
          <t/>
        </is>
      </c>
      <c r="CK134" s="227" t="inlineStr">
        <is>
          <t/>
        </is>
      </c>
      <c r="CL134" s="228" t="inlineStr">
        <is>
          <t/>
        </is>
      </c>
      <c r="CM134" s="229" t="inlineStr">
        <is>
          <t/>
        </is>
      </c>
      <c r="CN134" s="230" t="inlineStr">
        <is>
          <t/>
        </is>
      </c>
      <c r="CO134" s="231" t="inlineStr">
        <is>
          <t/>
        </is>
      </c>
      <c r="CP134" s="232" t="inlineStr">
        <is>
          <t/>
        </is>
      </c>
      <c r="CQ134" s="233" t="inlineStr">
        <is>
          <t/>
        </is>
      </c>
      <c r="CR134" s="234" t="inlineStr">
        <is>
          <t/>
        </is>
      </c>
      <c r="CS134" s="235" t="inlineStr">
        <is>
          <t/>
        </is>
      </c>
      <c r="CT134" s="236" t="inlineStr">
        <is>
          <t/>
        </is>
      </c>
      <c r="CU134" s="237" t="inlineStr">
        <is>
          <t/>
        </is>
      </c>
      <c r="CV134" s="238" t="inlineStr">
        <is>
          <t/>
        </is>
      </c>
      <c r="CW134" s="239" t="inlineStr">
        <is>
          <t/>
        </is>
      </c>
      <c r="CX134" s="240" t="inlineStr">
        <is>
          <t/>
        </is>
      </c>
      <c r="CY134" s="241" t="inlineStr">
        <is>
          <t/>
        </is>
      </c>
      <c r="CZ134" s="242" t="inlineStr">
        <is>
          <t/>
        </is>
      </c>
      <c r="DA134" s="243" t="inlineStr">
        <is>
          <t/>
        </is>
      </c>
      <c r="DB134" s="244" t="inlineStr">
        <is>
          <t/>
        </is>
      </c>
      <c r="DC134" s="245" t="inlineStr">
        <is>
          <t/>
        </is>
      </c>
      <c r="DD134" s="246" t="inlineStr">
        <is>
          <t/>
        </is>
      </c>
      <c r="DE134" s="247" t="inlineStr">
        <is>
          <t/>
        </is>
      </c>
      <c r="DF134" s="248" t="inlineStr">
        <is>
          <t/>
        </is>
      </c>
      <c r="DG134" s="249" t="inlineStr">
        <is>
          <t/>
        </is>
      </c>
      <c r="DH134" s="250" t="inlineStr">
        <is>
          <t/>
        </is>
      </c>
      <c r="DI134" s="251" t="inlineStr">
        <is>
          <t/>
        </is>
      </c>
      <c r="DJ134" s="252" t="inlineStr">
        <is>
          <t/>
        </is>
      </c>
      <c r="DK134" s="253" t="inlineStr">
        <is>
          <t/>
        </is>
      </c>
      <c r="DL134" s="254" t="inlineStr">
        <is>
          <t/>
        </is>
      </c>
      <c r="DM134" s="255" t="inlineStr">
        <is>
          <t/>
        </is>
      </c>
      <c r="DN134" s="256" t="inlineStr">
        <is>
          <t/>
        </is>
      </c>
      <c r="DO134" s="257" t="inlineStr">
        <is>
          <t/>
        </is>
      </c>
      <c r="DP134" s="258" t="inlineStr">
        <is>
          <t/>
        </is>
      </c>
      <c r="DQ134" s="259" t="inlineStr">
        <is>
          <t/>
        </is>
      </c>
      <c r="DR134" s="260" t="inlineStr">
        <is>
          <t/>
        </is>
      </c>
      <c r="DS134" s="261" t="inlineStr">
        <is>
          <t/>
        </is>
      </c>
      <c r="DT134" s="262" t="inlineStr">
        <is>
          <t/>
        </is>
      </c>
      <c r="DU134" s="263" t="inlineStr">
        <is>
          <t/>
        </is>
      </c>
      <c r="DV134" s="264" t="inlineStr">
        <is>
          <t/>
        </is>
      </c>
      <c r="DW134" s="265" t="inlineStr">
        <is>
          <t/>
        </is>
      </c>
      <c r="DX134" s="266" t="inlineStr">
        <is>
          <t/>
        </is>
      </c>
      <c r="DY134" s="267" t="inlineStr">
        <is>
          <t>PitchBook Research</t>
        </is>
      </c>
      <c r="DZ134" s="786">
        <f>HYPERLINK("https://my.pitchbook.com?c=167458-69", "View company online")</f>
      </c>
    </row>
    <row r="135">
      <c r="A135" s="9" t="inlineStr">
        <is>
          <t>119616-85</t>
        </is>
      </c>
      <c r="B135" s="10" t="inlineStr">
        <is>
          <t>Curve</t>
        </is>
      </c>
      <c r="C135" s="11" t="inlineStr">
        <is>
          <t/>
        </is>
      </c>
      <c r="D135" s="12" t="inlineStr">
        <is>
          <t/>
        </is>
      </c>
      <c r="E135" s="13" t="inlineStr">
        <is>
          <t>119616-85</t>
        </is>
      </c>
      <c r="F135" s="14" t="inlineStr">
        <is>
          <t>Provider of Web-based loyalty platform designed to provide online payment facilities. The company's Web-based loyalty platform providing people with financial choices like old banks, digital banks, credit cards, loyalty schemes and more, enabling merchants to launch schemes and consumers to collect points when they spend in-store.</t>
        </is>
      </c>
      <c r="G135" s="15" t="inlineStr">
        <is>
          <t>Information Technology</t>
        </is>
      </c>
      <c r="H135" s="16" t="inlineStr">
        <is>
          <t>Software</t>
        </is>
      </c>
      <c r="I135" s="17" t="inlineStr">
        <is>
          <t>Financial Software</t>
        </is>
      </c>
      <c r="J135" s="18" t="inlineStr">
        <is>
          <t>Financial Software*; Other Financial Services; Social/Platform Software</t>
        </is>
      </c>
      <c r="K135" s="19" t="inlineStr">
        <is>
          <t>FinTech</t>
        </is>
      </c>
      <c r="L135" s="20" t="inlineStr">
        <is>
          <t>Venture Capital-Backed</t>
        </is>
      </c>
      <c r="M135" s="21" t="n">
        <v>13.14</v>
      </c>
      <c r="N135" s="22" t="inlineStr">
        <is>
          <t>Product In Beta Test</t>
        </is>
      </c>
      <c r="O135" s="23" t="inlineStr">
        <is>
          <t>Privately Held (backing)</t>
        </is>
      </c>
      <c r="P135" s="24" t="inlineStr">
        <is>
          <t>Venture Capital</t>
        </is>
      </c>
      <c r="Q135" s="25" t="inlineStr">
        <is>
          <t>www.imaginecurve.com</t>
        </is>
      </c>
      <c r="R135" s="26" t="n">
        <v>12.0</v>
      </c>
      <c r="S135" s="27" t="inlineStr">
        <is>
          <t/>
        </is>
      </c>
      <c r="T135" s="28" t="inlineStr">
        <is>
          <t/>
        </is>
      </c>
      <c r="U135" s="29" t="n">
        <v>2015.0</v>
      </c>
      <c r="V135" s="30" t="inlineStr">
        <is>
          <t/>
        </is>
      </c>
      <c r="W135" s="31" t="inlineStr">
        <is>
          <t/>
        </is>
      </c>
      <c r="X135" s="32" t="inlineStr">
        <is>
          <t/>
        </is>
      </c>
      <c r="Y135" s="33" t="inlineStr">
        <is>
          <t/>
        </is>
      </c>
      <c r="Z135" s="34" t="inlineStr">
        <is>
          <t/>
        </is>
      </c>
      <c r="AA135" s="35" t="inlineStr">
        <is>
          <t/>
        </is>
      </c>
      <c r="AB135" s="36" t="inlineStr">
        <is>
          <t/>
        </is>
      </c>
      <c r="AC135" s="37" t="inlineStr">
        <is>
          <t/>
        </is>
      </c>
      <c r="AD135" s="38" t="inlineStr">
        <is>
          <t/>
        </is>
      </c>
      <c r="AE135" s="39" t="inlineStr">
        <is>
          <t>106299-10P</t>
        </is>
      </c>
      <c r="AF135" s="40" t="inlineStr">
        <is>
          <t>Shachar Bialick</t>
        </is>
      </c>
      <c r="AG135" s="41" t="inlineStr">
        <is>
          <t>Co-Founder, Board Member and Chief Executive Officer</t>
        </is>
      </c>
      <c r="AH135" s="42" t="inlineStr">
        <is>
          <t>shachar@imaginecurve.com</t>
        </is>
      </c>
      <c r="AI135" s="43" t="inlineStr">
        <is>
          <t/>
        </is>
      </c>
      <c r="AJ135" s="44" t="inlineStr">
        <is>
          <t>London, United Kingdom</t>
        </is>
      </c>
      <c r="AK135" s="45" t="inlineStr">
        <is>
          <t>114 Curtain Road</t>
        </is>
      </c>
      <c r="AL135" s="46" t="inlineStr">
        <is>
          <t/>
        </is>
      </c>
      <c r="AM135" s="47" t="inlineStr">
        <is>
          <t>London</t>
        </is>
      </c>
      <c r="AN135" s="48" t="inlineStr">
        <is>
          <t>England</t>
        </is>
      </c>
      <c r="AO135" s="49" t="inlineStr">
        <is>
          <t>EC2A 3AH</t>
        </is>
      </c>
      <c r="AP135" s="50" t="inlineStr">
        <is>
          <t>United Kingdom</t>
        </is>
      </c>
      <c r="AQ135" s="51" t="inlineStr">
        <is>
          <t/>
        </is>
      </c>
      <c r="AR135" s="52" t="inlineStr">
        <is>
          <t/>
        </is>
      </c>
      <c r="AS135" s="53" t="inlineStr">
        <is>
          <t>info@imaginecurve.com</t>
        </is>
      </c>
      <c r="AT135" s="54" t="inlineStr">
        <is>
          <t>Europe</t>
        </is>
      </c>
      <c r="AU135" s="55" t="inlineStr">
        <is>
          <t>Western Europe</t>
        </is>
      </c>
      <c r="AV135" s="56" t="inlineStr">
        <is>
          <t>The company raised $10 million of Series A venture funding from Santander InnoVentures, Samos Investments and Connect Ventures on July 12, 2017. Speedinvest, Investec Bank, Odysseus-Venutres, Oxford Capital Partners, Henry Ritchotte, Gael de Boissard, Paul Townsend and Breega Capital. The company will use the funds to accelerate growth by building more innovative features and recruiting world-class talent ahead of its full launch.</t>
        </is>
      </c>
      <c r="AW135" s="57" t="inlineStr">
        <is>
          <t>Breega Capital, Connect Ventures, Edward Wray, Frederick Knox, Funding London, Gael de Boissard, Henry Ritchotte, IDEALondon, Investec Bank, Kima Ventures, London Co-Investment Fund, Michael Kent, Odysseus-Ventures, Oxford Capital Partners, Paul Townsend, Samos Investments, Santander InnoVentures, Seedcamp, Speedinvest, Taavet Hinrikus</t>
        </is>
      </c>
      <c r="AX135" s="58" t="n">
        <v>20.0</v>
      </c>
      <c r="AY135" s="59" t="inlineStr">
        <is>
          <t/>
        </is>
      </c>
      <c r="AZ135" s="60" t="inlineStr">
        <is>
          <t/>
        </is>
      </c>
      <c r="BA135" s="61" t="inlineStr">
        <is>
          <t/>
        </is>
      </c>
      <c r="BB135" s="62" t="inlineStr">
        <is>
          <t>Breega Capital (www.breega.com), Connect Ventures (www.connectventures.co), Funding London (www.fundinglondon.co.uk), IDEALondon (www.idea-london.co.uk), Investec Bank (www.investec.com), Kima Ventures (www.kimaventures.com), London Co-Investment Fund (www.lcif.co), Odysseus-Ventures (www.odysseus.biz), Oxford Capital Partners (www.oxcp.com), Samos Investments (www.samos.uk.com), Santander InnoVentures (www.santanderinnoventures.com), Seedcamp (www.seedcamp.com), Speedinvest (www.speedinvest.com)</t>
        </is>
      </c>
      <c r="BC135" s="63" t="inlineStr">
        <is>
          <t/>
        </is>
      </c>
      <c r="BD135" s="64" t="inlineStr">
        <is>
          <t/>
        </is>
      </c>
      <c r="BE135" s="65" t="inlineStr">
        <is>
          <t>Upscale UK (Consulting)</t>
        </is>
      </c>
      <c r="BF135" s="66" t="inlineStr">
        <is>
          <t/>
        </is>
      </c>
      <c r="BG135" s="67" t="n">
        <v>42181.0</v>
      </c>
      <c r="BH135" s="68" t="inlineStr">
        <is>
          <t/>
        </is>
      </c>
      <c r="BI135" s="69" t="inlineStr">
        <is>
          <t/>
        </is>
      </c>
      <c r="BJ135" s="70" t="inlineStr">
        <is>
          <t/>
        </is>
      </c>
      <c r="BK135" s="71" t="inlineStr">
        <is>
          <t/>
        </is>
      </c>
      <c r="BL135" s="72" t="inlineStr">
        <is>
          <t>Seed Round</t>
        </is>
      </c>
      <c r="BM135" s="73" t="inlineStr">
        <is>
          <t>Seed</t>
        </is>
      </c>
      <c r="BN135" s="74" t="inlineStr">
        <is>
          <t/>
        </is>
      </c>
      <c r="BO135" s="75" t="inlineStr">
        <is>
          <t>Venture Capital</t>
        </is>
      </c>
      <c r="BP135" s="76" t="inlineStr">
        <is>
          <t/>
        </is>
      </c>
      <c r="BQ135" s="77" t="inlineStr">
        <is>
          <t/>
        </is>
      </c>
      <c r="BR135" s="78" t="inlineStr">
        <is>
          <t/>
        </is>
      </c>
      <c r="BS135" s="79" t="inlineStr">
        <is>
          <t>Completed</t>
        </is>
      </c>
      <c r="BT135" s="80" t="n">
        <v>42928.0</v>
      </c>
      <c r="BU135" s="81" t="n">
        <v>8.69</v>
      </c>
      <c r="BV135" s="82" t="inlineStr">
        <is>
          <t>Actual</t>
        </is>
      </c>
      <c r="BW135" s="83" t="inlineStr">
        <is>
          <t/>
        </is>
      </c>
      <c r="BX135" s="84" t="inlineStr">
        <is>
          <t/>
        </is>
      </c>
      <c r="BY135" s="85" t="inlineStr">
        <is>
          <t>Early Stage VC</t>
        </is>
      </c>
      <c r="BZ135" s="86" t="inlineStr">
        <is>
          <t>Series A</t>
        </is>
      </c>
      <c r="CA135" s="87" t="inlineStr">
        <is>
          <t/>
        </is>
      </c>
      <c r="CB135" s="88" t="inlineStr">
        <is>
          <t>Venture Capital</t>
        </is>
      </c>
      <c r="CC135" s="89" t="inlineStr">
        <is>
          <t/>
        </is>
      </c>
      <c r="CD135" s="90" t="inlineStr">
        <is>
          <t/>
        </is>
      </c>
      <c r="CE135" s="91" t="inlineStr">
        <is>
          <t/>
        </is>
      </c>
      <c r="CF135" s="92" t="inlineStr">
        <is>
          <t>Completed</t>
        </is>
      </c>
      <c r="CG135" s="93" t="inlineStr">
        <is>
          <t>2,50%</t>
        </is>
      </c>
      <c r="CH135" s="94" t="inlineStr">
        <is>
          <t>95</t>
        </is>
      </c>
      <c r="CI135" s="95" t="inlineStr">
        <is>
          <t>-0,36%</t>
        </is>
      </c>
      <c r="CJ135" s="96" t="inlineStr">
        <is>
          <t>-12,46%</t>
        </is>
      </c>
      <c r="CK135" s="97" t="inlineStr">
        <is>
          <t>2,90%</t>
        </is>
      </c>
      <c r="CL135" s="98" t="inlineStr">
        <is>
          <t>93</t>
        </is>
      </c>
      <c r="CM135" s="99" t="inlineStr">
        <is>
          <t>2,10%</t>
        </is>
      </c>
      <c r="CN135" s="100" t="inlineStr">
        <is>
          <t>99</t>
        </is>
      </c>
      <c r="CO135" s="101" t="inlineStr">
        <is>
          <t>3,06%</t>
        </is>
      </c>
      <c r="CP135" s="102" t="inlineStr">
        <is>
          <t>92</t>
        </is>
      </c>
      <c r="CQ135" s="103" t="inlineStr">
        <is>
          <t>2,73%</t>
        </is>
      </c>
      <c r="CR135" s="104" t="inlineStr">
        <is>
          <t>92</t>
        </is>
      </c>
      <c r="CS135" s="105" t="inlineStr">
        <is>
          <t>2,70%</t>
        </is>
      </c>
      <c r="CT135" s="106" t="inlineStr">
        <is>
          <t>99</t>
        </is>
      </c>
      <c r="CU135" s="107" t="inlineStr">
        <is>
          <t>1,51%</t>
        </is>
      </c>
      <c r="CV135" s="108" t="inlineStr">
        <is>
          <t>98</t>
        </is>
      </c>
      <c r="CW135" s="109" t="inlineStr">
        <is>
          <t>14,41x</t>
        </is>
      </c>
      <c r="CX135" s="110" t="inlineStr">
        <is>
          <t>90</t>
        </is>
      </c>
      <c r="CY135" s="111" t="inlineStr">
        <is>
          <t>0,21x</t>
        </is>
      </c>
      <c r="CZ135" s="112" t="inlineStr">
        <is>
          <t>1,47%</t>
        </is>
      </c>
      <c r="DA135" s="113" t="inlineStr">
        <is>
          <t>19,98x</t>
        </is>
      </c>
      <c r="DB135" s="114" t="inlineStr">
        <is>
          <t>92</t>
        </is>
      </c>
      <c r="DC135" s="115" t="inlineStr">
        <is>
          <t>8,84x</t>
        </is>
      </c>
      <c r="DD135" s="116" t="inlineStr">
        <is>
          <t>83</t>
        </is>
      </c>
      <c r="DE135" s="117" t="inlineStr">
        <is>
          <t>25,67x</t>
        </is>
      </c>
      <c r="DF135" s="118" t="inlineStr">
        <is>
          <t>90</t>
        </is>
      </c>
      <c r="DG135" s="119" t="inlineStr">
        <is>
          <t>14,28x</t>
        </is>
      </c>
      <c r="DH135" s="120" t="inlineStr">
        <is>
          <t>90</t>
        </is>
      </c>
      <c r="DI135" s="121" t="inlineStr">
        <is>
          <t>4,95x</t>
        </is>
      </c>
      <c r="DJ135" s="122" t="inlineStr">
        <is>
          <t>75</t>
        </is>
      </c>
      <c r="DK135" s="123" t="inlineStr">
        <is>
          <t>12,73x</t>
        </is>
      </c>
      <c r="DL135" s="124" t="inlineStr">
        <is>
          <t>88</t>
        </is>
      </c>
      <c r="DM135" s="125" t="inlineStr">
        <is>
          <t>16.205</t>
        </is>
      </c>
      <c r="DN135" s="126" t="inlineStr">
        <is>
          <t>-1.250</t>
        </is>
      </c>
      <c r="DO135" s="127" t="inlineStr">
        <is>
          <t>-7,16%</t>
        </is>
      </c>
      <c r="DP135" s="128" t="inlineStr">
        <is>
          <t>3.949</t>
        </is>
      </c>
      <c r="DQ135" s="129" t="inlineStr">
        <is>
          <t>8</t>
        </is>
      </c>
      <c r="DR135" s="130" t="inlineStr">
        <is>
          <t>0,20%</t>
        </is>
      </c>
      <c r="DS135" s="131" t="inlineStr">
        <is>
          <t>514</t>
        </is>
      </c>
      <c r="DT135" s="132" t="inlineStr">
        <is>
          <t>3</t>
        </is>
      </c>
      <c r="DU135" s="133" t="inlineStr">
        <is>
          <t>0,59%</t>
        </is>
      </c>
      <c r="DV135" s="134" t="inlineStr">
        <is>
          <t>4.356</t>
        </is>
      </c>
      <c r="DW135" s="135" t="inlineStr">
        <is>
          <t>36</t>
        </is>
      </c>
      <c r="DX135" s="136" t="inlineStr">
        <is>
          <t>0,83%</t>
        </is>
      </c>
      <c r="DY135" s="137" t="inlineStr">
        <is>
          <t>PitchBook Research</t>
        </is>
      </c>
      <c r="DZ135" s="785">
        <f>HYPERLINK("https://my.pitchbook.com?c=119616-85", "View company online")</f>
      </c>
    </row>
    <row r="136">
      <c r="A136" s="139" t="inlineStr">
        <is>
          <t>63670-15</t>
        </is>
      </c>
      <c r="B136" s="140" t="inlineStr">
        <is>
          <t>Dalia</t>
        </is>
      </c>
      <c r="C136" s="141" t="inlineStr">
        <is>
          <t/>
        </is>
      </c>
      <c r="D136" s="142" t="inlineStr">
        <is>
          <t/>
        </is>
      </c>
      <c r="E136" s="143" t="inlineStr">
        <is>
          <t>63670-15</t>
        </is>
      </c>
      <c r="F136" s="144" t="inlineStr">
        <is>
          <t>Developer of cloud-based data technology systems designed to change the way the attitudinal data is collected, analysed and presented. The company's data technology systems use proprietary mobile methodologies with an emphasis on quality and depth of data, distribute millions of micro surveys worldwide to gather and analyze real time data on consumer attitudes, public opinion and market trends, enabling research agencies, brands, consultancies, academia, public institutions and other organizations to access high-quality market and opinion data at a global scale.</t>
        </is>
      </c>
      <c r="G136" s="145" t="inlineStr">
        <is>
          <t>Information Technology</t>
        </is>
      </c>
      <c r="H136" s="146" t="inlineStr">
        <is>
          <t>Software</t>
        </is>
      </c>
      <c r="I136" s="147" t="inlineStr">
        <is>
          <t>Business/Productivity Software</t>
        </is>
      </c>
      <c r="J136" s="148" t="inlineStr">
        <is>
          <t>Business/Productivity Software*; Media and Information Services (B2B)</t>
        </is>
      </c>
      <c r="K136" s="149" t="inlineStr">
        <is>
          <t>SaaS</t>
        </is>
      </c>
      <c r="L136" s="150" t="inlineStr">
        <is>
          <t>Venture Capital-Backed</t>
        </is>
      </c>
      <c r="M136" s="151" t="n">
        <v>6.59</v>
      </c>
      <c r="N136" s="152" t="inlineStr">
        <is>
          <t>Generating Revenue</t>
        </is>
      </c>
      <c r="O136" s="153" t="inlineStr">
        <is>
          <t>Privately Held (backing)</t>
        </is>
      </c>
      <c r="P136" s="154" t="inlineStr">
        <is>
          <t>Venture Capital</t>
        </is>
      </c>
      <c r="Q136" s="155" t="inlineStr">
        <is>
          <t>www.daliaresearch.com</t>
        </is>
      </c>
      <c r="R136" s="156" t="n">
        <v>19.0</v>
      </c>
      <c r="S136" s="157" t="inlineStr">
        <is>
          <t/>
        </is>
      </c>
      <c r="T136" s="158" t="inlineStr">
        <is>
          <t/>
        </is>
      </c>
      <c r="U136" s="159" t="n">
        <v>2013.0</v>
      </c>
      <c r="V136" s="160" t="inlineStr">
        <is>
          <t/>
        </is>
      </c>
      <c r="W136" s="161" t="inlineStr">
        <is>
          <t/>
        </is>
      </c>
      <c r="X136" s="162" t="inlineStr">
        <is>
          <t/>
        </is>
      </c>
      <c r="Y136" s="163" t="inlineStr">
        <is>
          <t/>
        </is>
      </c>
      <c r="Z136" s="164" t="inlineStr">
        <is>
          <t/>
        </is>
      </c>
      <c r="AA136" s="165" t="inlineStr">
        <is>
          <t/>
        </is>
      </c>
      <c r="AB136" s="166" t="inlineStr">
        <is>
          <t/>
        </is>
      </c>
      <c r="AC136" s="167" t="inlineStr">
        <is>
          <t/>
        </is>
      </c>
      <c r="AD136" s="168" t="inlineStr">
        <is>
          <t/>
        </is>
      </c>
      <c r="AE136" s="169" t="inlineStr">
        <is>
          <t>68970-70P</t>
        </is>
      </c>
      <c r="AF136" s="170" t="inlineStr">
        <is>
          <t>Nico Jaspers</t>
        </is>
      </c>
      <c r="AG136" s="171" t="inlineStr">
        <is>
          <t>Co-Founder &amp; Chief Executive Officer</t>
        </is>
      </c>
      <c r="AH136" s="172" t="inlineStr">
        <is>
          <t>nico.jaspers@daliaresearch.com</t>
        </is>
      </c>
      <c r="AI136" s="173" t="inlineStr">
        <is>
          <t>+49 (0)30 6108 0370 0</t>
        </is>
      </c>
      <c r="AJ136" s="174" t="inlineStr">
        <is>
          <t>Berlin, Germany</t>
        </is>
      </c>
      <c r="AK136" s="175" t="inlineStr">
        <is>
          <t>Skalitzerstr. 100</t>
        </is>
      </c>
      <c r="AL136" s="176" t="inlineStr">
        <is>
          <t/>
        </is>
      </c>
      <c r="AM136" s="177" t="inlineStr">
        <is>
          <t>Berlin</t>
        </is>
      </c>
      <c r="AN136" s="178" t="inlineStr">
        <is>
          <t/>
        </is>
      </c>
      <c r="AO136" s="179" t="inlineStr">
        <is>
          <t>10997</t>
        </is>
      </c>
      <c r="AP136" s="180" t="inlineStr">
        <is>
          <t>Germany</t>
        </is>
      </c>
      <c r="AQ136" s="181" t="inlineStr">
        <is>
          <t>+49 (0)30 6108 0370 0</t>
        </is>
      </c>
      <c r="AR136" s="182" t="inlineStr">
        <is>
          <t/>
        </is>
      </c>
      <c r="AS136" s="183" t="inlineStr">
        <is>
          <t>contact@daliaresearch.com</t>
        </is>
      </c>
      <c r="AT136" s="184" t="inlineStr">
        <is>
          <t>Europe</t>
        </is>
      </c>
      <c r="AU136" s="185" t="inlineStr">
        <is>
          <t>Western Europe</t>
        </is>
      </c>
      <c r="AV136" s="186" t="inlineStr">
        <is>
          <t>Texas Atlantic Capital sold its stake in the company on an undisclosed date. Earlier, the company raised $7 million of Series A venture funding in a deal led by Balderton Capital on January 26, 2017. IBB Beteiligungsgesellschaft and Wellington Partners also participated in this round.</t>
        </is>
      </c>
      <c r="AW136" s="187" t="inlineStr">
        <is>
          <t>Balderton Capital, German Startups Group, IBB Beteiligungsgesellschaft, Wellington Partners, WestTech Ventures</t>
        </is>
      </c>
      <c r="AX136" s="188" t="n">
        <v>5.0</v>
      </c>
      <c r="AY136" s="189" t="inlineStr">
        <is>
          <t/>
        </is>
      </c>
      <c r="AZ136" s="190" t="inlineStr">
        <is>
          <t>Texas Atlantic Capital</t>
        </is>
      </c>
      <c r="BA136" s="191" t="inlineStr">
        <is>
          <t/>
        </is>
      </c>
      <c r="BB136" s="192" t="inlineStr">
        <is>
          <t>Balderton Capital (www.balderton.com), German Startups Group (www.german-startups.com), IBB Beteiligungsgesellschaft (www.ibb-bet.de), Wellington Partners (www.wellington-partners.com), WestTech Ventures (www.westtechventures.de)</t>
        </is>
      </c>
      <c r="BC136" s="193" t="inlineStr">
        <is>
          <t/>
        </is>
      </c>
      <c r="BD136" s="194" t="inlineStr">
        <is>
          <t/>
        </is>
      </c>
      <c r="BE136" s="195" t="inlineStr">
        <is>
          <t/>
        </is>
      </c>
      <c r="BF136" s="196" t="inlineStr">
        <is>
          <t>P+P Pöllath + Partners (Legal Advisor)</t>
        </is>
      </c>
      <c r="BG136" s="197" t="n">
        <v>41793.0</v>
      </c>
      <c r="BH136" s="198" t="inlineStr">
        <is>
          <t/>
        </is>
      </c>
      <c r="BI136" s="199" t="inlineStr">
        <is>
          <t/>
        </is>
      </c>
      <c r="BJ136" s="200" t="inlineStr">
        <is>
          <t/>
        </is>
      </c>
      <c r="BK136" s="201" t="inlineStr">
        <is>
          <t/>
        </is>
      </c>
      <c r="BL136" s="202" t="inlineStr">
        <is>
          <t>Seed Round</t>
        </is>
      </c>
      <c r="BM136" s="203" t="inlineStr">
        <is>
          <t>Seed</t>
        </is>
      </c>
      <c r="BN136" s="204" t="inlineStr">
        <is>
          <t/>
        </is>
      </c>
      <c r="BO136" s="205" t="inlineStr">
        <is>
          <t>Venture Capital</t>
        </is>
      </c>
      <c r="BP136" s="206" t="inlineStr">
        <is>
          <t/>
        </is>
      </c>
      <c r="BQ136" s="207" t="inlineStr">
        <is>
          <t/>
        </is>
      </c>
      <c r="BR136" s="208" t="inlineStr">
        <is>
          <t/>
        </is>
      </c>
      <c r="BS136" s="209" t="inlineStr">
        <is>
          <t>Completed</t>
        </is>
      </c>
      <c r="BT136" s="210" t="inlineStr">
        <is>
          <t/>
        </is>
      </c>
      <c r="BU136" s="211" t="inlineStr">
        <is>
          <t/>
        </is>
      </c>
      <c r="BV136" s="212" t="inlineStr">
        <is>
          <t/>
        </is>
      </c>
      <c r="BW136" s="213" t="inlineStr">
        <is>
          <t/>
        </is>
      </c>
      <c r="BX136" s="214" t="inlineStr">
        <is>
          <t/>
        </is>
      </c>
      <c r="BY136" s="215" t="inlineStr">
        <is>
          <t>Secondary Transaction - Private</t>
        </is>
      </c>
      <c r="BZ136" s="216" t="inlineStr">
        <is>
          <t/>
        </is>
      </c>
      <c r="CA136" s="217" t="inlineStr">
        <is>
          <t/>
        </is>
      </c>
      <c r="CB136" s="218" t="inlineStr">
        <is>
          <t>Venture Capital</t>
        </is>
      </c>
      <c r="CC136" s="219" t="inlineStr">
        <is>
          <t/>
        </is>
      </c>
      <c r="CD136" s="220" t="inlineStr">
        <is>
          <t/>
        </is>
      </c>
      <c r="CE136" s="221" t="inlineStr">
        <is>
          <t/>
        </is>
      </c>
      <c r="CF136" s="222" t="inlineStr">
        <is>
          <t>Completed</t>
        </is>
      </c>
      <c r="CG136" s="223" t="inlineStr">
        <is>
          <t>2,27%</t>
        </is>
      </c>
      <c r="CH136" s="224" t="inlineStr">
        <is>
          <t>94</t>
        </is>
      </c>
      <c r="CI136" s="225" t="inlineStr">
        <is>
          <t>-0,34%</t>
        </is>
      </c>
      <c r="CJ136" s="226" t="inlineStr">
        <is>
          <t>-13,07%</t>
        </is>
      </c>
      <c r="CK136" s="227" t="inlineStr">
        <is>
          <t>3,91%</t>
        </is>
      </c>
      <c r="CL136" s="228" t="inlineStr">
        <is>
          <t>95</t>
        </is>
      </c>
      <c r="CM136" s="229" t="inlineStr">
        <is>
          <t>0,62%</t>
        </is>
      </c>
      <c r="CN136" s="230" t="inlineStr">
        <is>
          <t>92</t>
        </is>
      </c>
      <c r="CO136" s="231" t="inlineStr">
        <is>
          <t>7,83%</t>
        </is>
      </c>
      <c r="CP136" s="232" t="inlineStr">
        <is>
          <t>99</t>
        </is>
      </c>
      <c r="CQ136" s="233" t="inlineStr">
        <is>
          <t>0,00%</t>
        </is>
      </c>
      <c r="CR136" s="234" t="inlineStr">
        <is>
          <t>13</t>
        </is>
      </c>
      <c r="CS136" s="235" t="inlineStr">
        <is>
          <t>0,17%</t>
        </is>
      </c>
      <c r="CT136" s="236" t="inlineStr">
        <is>
          <t>67</t>
        </is>
      </c>
      <c r="CU136" s="237" t="inlineStr">
        <is>
          <t>1,08%</t>
        </is>
      </c>
      <c r="CV136" s="238" t="inlineStr">
        <is>
          <t>97</t>
        </is>
      </c>
      <c r="CW136" s="239" t="inlineStr">
        <is>
          <t>3,16x</t>
        </is>
      </c>
      <c r="CX136" s="240" t="inlineStr">
        <is>
          <t>72</t>
        </is>
      </c>
      <c r="CY136" s="241" t="inlineStr">
        <is>
          <t>0,02x</t>
        </is>
      </c>
      <c r="CZ136" s="242" t="inlineStr">
        <is>
          <t>0,67%</t>
        </is>
      </c>
      <c r="DA136" s="243" t="inlineStr">
        <is>
          <t>4,53x</t>
        </is>
      </c>
      <c r="DB136" s="244" t="inlineStr">
        <is>
          <t>79</t>
        </is>
      </c>
      <c r="DC136" s="245" t="inlineStr">
        <is>
          <t>1,80x</t>
        </is>
      </c>
      <c r="DD136" s="246" t="inlineStr">
        <is>
          <t>59</t>
        </is>
      </c>
      <c r="DE136" s="247" t="inlineStr">
        <is>
          <t>8,13x</t>
        </is>
      </c>
      <c r="DF136" s="248" t="inlineStr">
        <is>
          <t>81</t>
        </is>
      </c>
      <c r="DG136" s="249" t="inlineStr">
        <is>
          <t>0,92x</t>
        </is>
      </c>
      <c r="DH136" s="250" t="inlineStr">
        <is>
          <t>48</t>
        </is>
      </c>
      <c r="DI136" s="251" t="inlineStr">
        <is>
          <t>1,05x</t>
        </is>
      </c>
      <c r="DJ136" s="252" t="inlineStr">
        <is>
          <t>51</t>
        </is>
      </c>
      <c r="DK136" s="253" t="inlineStr">
        <is>
          <t>2,56x</t>
        </is>
      </c>
      <c r="DL136" s="254" t="inlineStr">
        <is>
          <t>67</t>
        </is>
      </c>
      <c r="DM136" s="255" t="inlineStr">
        <is>
          <t>4.909</t>
        </is>
      </c>
      <c r="DN136" s="256" t="inlineStr">
        <is>
          <t>279</t>
        </is>
      </c>
      <c r="DO136" s="257" t="inlineStr">
        <is>
          <t>6,03%</t>
        </is>
      </c>
      <c r="DP136" s="258" t="inlineStr">
        <is>
          <t>833</t>
        </is>
      </c>
      <c r="DQ136" s="259" t="inlineStr">
        <is>
          <t>0</t>
        </is>
      </c>
      <c r="DR136" s="260" t="inlineStr">
        <is>
          <t>0,00%</t>
        </is>
      </c>
      <c r="DS136" s="261" t="inlineStr">
        <is>
          <t>33</t>
        </is>
      </c>
      <c r="DT136" s="262" t="inlineStr">
        <is>
          <t>-1</t>
        </is>
      </c>
      <c r="DU136" s="263" t="inlineStr">
        <is>
          <t>-2,94%</t>
        </is>
      </c>
      <c r="DV136" s="264" t="inlineStr">
        <is>
          <t>875</t>
        </is>
      </c>
      <c r="DW136" s="265" t="inlineStr">
        <is>
          <t>4</t>
        </is>
      </c>
      <c r="DX136" s="266" t="inlineStr">
        <is>
          <t>0,46%</t>
        </is>
      </c>
      <c r="DY136" s="267" t="inlineStr">
        <is>
          <t>PitchBook Research</t>
        </is>
      </c>
      <c r="DZ136" s="786">
        <f>HYPERLINK("https://my.pitchbook.com?c=63670-15", "View company online")</f>
      </c>
    </row>
    <row r="137">
      <c r="A137" s="9" t="inlineStr">
        <is>
          <t>108316-45</t>
        </is>
      </c>
      <c r="B137" s="10" t="inlineStr">
        <is>
          <t>Darktrace</t>
        </is>
      </c>
      <c r="C137" s="11" t="inlineStr">
        <is>
          <t/>
        </is>
      </c>
      <c r="D137" s="12" t="inlineStr">
        <is>
          <t/>
        </is>
      </c>
      <c r="E137" s="13" t="inlineStr">
        <is>
          <t>108316-45</t>
        </is>
      </c>
      <c r="F137" s="14" t="inlineStr">
        <is>
          <t>Provider of cyber threat defense systems designed to detect and respond to previously unidentified threats. The company's cyber threat defense systems include detecting emerging cyber-threats and to proactively defend against in-progress cyber-attacks, enabling clients to defend against evolving threats that bypass all other systems.</t>
        </is>
      </c>
      <c r="G137" s="15" t="inlineStr">
        <is>
          <t>Information Technology</t>
        </is>
      </c>
      <c r="H137" s="16" t="inlineStr">
        <is>
          <t>Software</t>
        </is>
      </c>
      <c r="I137" s="17" t="inlineStr">
        <is>
          <t>Network Management Software</t>
        </is>
      </c>
      <c r="J137" s="18" t="inlineStr">
        <is>
          <t>Network Management Software*</t>
        </is>
      </c>
      <c r="K137" s="19" t="inlineStr">
        <is>
          <t>Artificial Intelligence &amp; Machine Learning, Cybersecurity</t>
        </is>
      </c>
      <c r="L137" s="20" t="inlineStr">
        <is>
          <t>Venture Capital-Backed</t>
        </is>
      </c>
      <c r="M137" s="21" t="n">
        <v>164.29</v>
      </c>
      <c r="N137" s="22" t="inlineStr">
        <is>
          <t>Generating Revenue</t>
        </is>
      </c>
      <c r="O137" s="23" t="inlineStr">
        <is>
          <t>Privately Held (backing)</t>
        </is>
      </c>
      <c r="P137" s="24" t="inlineStr">
        <is>
          <t>Venture Capital</t>
        </is>
      </c>
      <c r="Q137" s="25" t="inlineStr">
        <is>
          <t>www.darktrace.com</t>
        </is>
      </c>
      <c r="R137" s="26" t="n">
        <v>500.0</v>
      </c>
      <c r="S137" s="27" t="inlineStr">
        <is>
          <t/>
        </is>
      </c>
      <c r="T137" s="28" t="inlineStr">
        <is>
          <t/>
        </is>
      </c>
      <c r="U137" s="29" t="n">
        <v>2013.0</v>
      </c>
      <c r="V137" s="30" t="inlineStr">
        <is>
          <t/>
        </is>
      </c>
      <c r="W137" s="31" t="inlineStr">
        <is>
          <t/>
        </is>
      </c>
      <c r="X137" s="32" t="inlineStr">
        <is>
          <t/>
        </is>
      </c>
      <c r="Y137" s="33" t="inlineStr">
        <is>
          <t/>
        </is>
      </c>
      <c r="Z137" s="34" t="inlineStr">
        <is>
          <t/>
        </is>
      </c>
      <c r="AA137" s="35" t="inlineStr">
        <is>
          <t/>
        </is>
      </c>
      <c r="AB137" s="36" t="inlineStr">
        <is>
          <t/>
        </is>
      </c>
      <c r="AC137" s="37" t="inlineStr">
        <is>
          <t/>
        </is>
      </c>
      <c r="AD137" s="38" t="inlineStr">
        <is>
          <t/>
        </is>
      </c>
      <c r="AE137" s="39" t="inlineStr">
        <is>
          <t>95909-77P</t>
        </is>
      </c>
      <c r="AF137" s="40" t="inlineStr">
        <is>
          <t>Poppy Gustafsson</t>
        </is>
      </c>
      <c r="AG137" s="41" t="inlineStr">
        <is>
          <t>Co-Founder &amp; Chief Executive Officer, EMEA</t>
        </is>
      </c>
      <c r="AH137" s="42" t="inlineStr">
        <is>
          <t>poppy.gustafsson@darktrace.com</t>
        </is>
      </c>
      <c r="AI137" s="43" t="inlineStr">
        <is>
          <t>+44 (0)12 2339 4100</t>
        </is>
      </c>
      <c r="AJ137" s="44" t="inlineStr">
        <is>
          <t>Cambridge, United Kingdom</t>
        </is>
      </c>
      <c r="AK137" s="45" t="inlineStr">
        <is>
          <t>Platinum Building</t>
        </is>
      </c>
      <c r="AL137" s="46" t="inlineStr">
        <is>
          <t>Saint John's Innovation Park</t>
        </is>
      </c>
      <c r="AM137" s="47" t="inlineStr">
        <is>
          <t>Cambridge</t>
        </is>
      </c>
      <c r="AN137" s="48" t="inlineStr">
        <is>
          <t>England</t>
        </is>
      </c>
      <c r="AO137" s="49" t="inlineStr">
        <is>
          <t>CB4 0DS</t>
        </is>
      </c>
      <c r="AP137" s="50" t="inlineStr">
        <is>
          <t>United Kingdom</t>
        </is>
      </c>
      <c r="AQ137" s="51" t="inlineStr">
        <is>
          <t>+44 (0)12 2339 4100</t>
        </is>
      </c>
      <c r="AR137" s="52" t="inlineStr">
        <is>
          <t/>
        </is>
      </c>
      <c r="AS137" s="53" t="inlineStr">
        <is>
          <t>info@darktrace.com</t>
        </is>
      </c>
      <c r="AT137" s="54" t="inlineStr">
        <is>
          <t>Europe</t>
        </is>
      </c>
      <c r="AU137" s="55" t="inlineStr">
        <is>
          <t>Western Europe</t>
        </is>
      </c>
      <c r="AV137" s="56" t="inlineStr">
        <is>
          <t>The company raised $75 million of Series D venture funding in a round led by Insight Venture Partners on July 10, 2017, putting the company's post-valuation at $825 million. Summit Partners, Kohlberg Kravis Roberts and TenEleven Ventures also participated in this round. The funding will be used to expand the company's business operations into more markets. The company has raised a total of $180.5 million to date.</t>
        </is>
      </c>
      <c r="AW137" s="57" t="inlineStr">
        <is>
          <t>Hoxton Ventures, Insight Venture Partners, Invoke Capital, Kohlberg Kravis Roberts, Samsung SDS Company, SoftBank Capital, Summit Partners, Talis Capital, Ten Eleven Ventures</t>
        </is>
      </c>
      <c r="AX137" s="58" t="n">
        <v>9.0</v>
      </c>
      <c r="AY137" s="59" t="inlineStr">
        <is>
          <t/>
        </is>
      </c>
      <c r="AZ137" s="60" t="inlineStr">
        <is>
          <t/>
        </is>
      </c>
      <c r="BA137" s="61" t="inlineStr">
        <is>
          <t/>
        </is>
      </c>
      <c r="BB137" s="62" t="inlineStr">
        <is>
          <t>Hoxton Ventures (www.hoxtonventures.com), Insight Venture Partners (www.insightpartners.com), Invoke Capital (www.invokecapital.com), Kohlberg Kravis Roberts (www.kkr.com), Samsung SDS Company (www.samsungsds.com), SoftBank Capital (www.softbankvc.com), Summit Partners (www.summitpartners.com), Talis Capital (www.taliscapital.com), Ten Eleven Ventures (www.1011vc.com)</t>
        </is>
      </c>
      <c r="BC137" s="63" t="inlineStr">
        <is>
          <t/>
        </is>
      </c>
      <c r="BD137" s="64" t="inlineStr">
        <is>
          <t/>
        </is>
      </c>
      <c r="BE137" s="65" t="inlineStr">
        <is>
          <t>Kirkland &amp; Ellis (Legal Advisor), Montgomery &amp; Company (Advisor), Grant Thornton UK (Auditor)</t>
        </is>
      </c>
      <c r="BF137" s="66" t="inlineStr">
        <is>
          <t/>
        </is>
      </c>
      <c r="BG137" s="67" t="n">
        <v>41533.0</v>
      </c>
      <c r="BH137" s="68" t="inlineStr">
        <is>
          <t/>
        </is>
      </c>
      <c r="BI137" s="69" t="inlineStr">
        <is>
          <t/>
        </is>
      </c>
      <c r="BJ137" s="70" t="inlineStr">
        <is>
          <t/>
        </is>
      </c>
      <c r="BK137" s="71" t="inlineStr">
        <is>
          <t/>
        </is>
      </c>
      <c r="BL137" s="72" t="inlineStr">
        <is>
          <t>Early Stage VC</t>
        </is>
      </c>
      <c r="BM137" s="73" t="inlineStr">
        <is>
          <t/>
        </is>
      </c>
      <c r="BN137" s="74" t="inlineStr">
        <is>
          <t/>
        </is>
      </c>
      <c r="BO137" s="75" t="inlineStr">
        <is>
          <t>Venture Capital</t>
        </is>
      </c>
      <c r="BP137" s="76" t="inlineStr">
        <is>
          <t/>
        </is>
      </c>
      <c r="BQ137" s="77" t="inlineStr">
        <is>
          <t/>
        </is>
      </c>
      <c r="BR137" s="78" t="inlineStr">
        <is>
          <t/>
        </is>
      </c>
      <c r="BS137" s="79" t="inlineStr">
        <is>
          <t>Completed</t>
        </is>
      </c>
      <c r="BT137" s="80" t="n">
        <v>42926.0</v>
      </c>
      <c r="BU137" s="81" t="n">
        <v>65.14</v>
      </c>
      <c r="BV137" s="82" t="inlineStr">
        <is>
          <t>Actual</t>
        </is>
      </c>
      <c r="BW137" s="83" t="n">
        <v>716.52</v>
      </c>
      <c r="BX137" s="84" t="inlineStr">
        <is>
          <t>Actual</t>
        </is>
      </c>
      <c r="BY137" s="85" t="inlineStr">
        <is>
          <t>Later Stage VC</t>
        </is>
      </c>
      <c r="BZ137" s="86" t="inlineStr">
        <is>
          <t>Series D</t>
        </is>
      </c>
      <c r="CA137" s="87" t="inlineStr">
        <is>
          <t/>
        </is>
      </c>
      <c r="CB137" s="88" t="inlineStr">
        <is>
          <t>Venture Capital</t>
        </is>
      </c>
      <c r="CC137" s="89" t="inlineStr">
        <is>
          <t/>
        </is>
      </c>
      <c r="CD137" s="90" t="inlineStr">
        <is>
          <t/>
        </is>
      </c>
      <c r="CE137" s="91" t="inlineStr">
        <is>
          <t/>
        </is>
      </c>
      <c r="CF137" s="92" t="inlineStr">
        <is>
          <t>Completed</t>
        </is>
      </c>
      <c r="CG137" s="93" t="inlineStr">
        <is>
          <t>1,18%</t>
        </is>
      </c>
      <c r="CH137" s="94" t="inlineStr">
        <is>
          <t>90</t>
        </is>
      </c>
      <c r="CI137" s="95" t="inlineStr">
        <is>
          <t>-0,05%</t>
        </is>
      </c>
      <c r="CJ137" s="96" t="inlineStr">
        <is>
          <t>-4,20%</t>
        </is>
      </c>
      <c r="CK137" s="97" t="inlineStr">
        <is>
          <t>1,29%</t>
        </is>
      </c>
      <c r="CL137" s="98" t="inlineStr">
        <is>
          <t>88</t>
        </is>
      </c>
      <c r="CM137" s="99" t="inlineStr">
        <is>
          <t>1,08%</t>
        </is>
      </c>
      <c r="CN137" s="100" t="inlineStr">
        <is>
          <t>96</t>
        </is>
      </c>
      <c r="CO137" s="101" t="inlineStr">
        <is>
          <t>-1,09%</t>
        </is>
      </c>
      <c r="CP137" s="102" t="inlineStr">
        <is>
          <t>20</t>
        </is>
      </c>
      <c r="CQ137" s="103" t="inlineStr">
        <is>
          <t>3,66%</t>
        </is>
      </c>
      <c r="CR137" s="104" t="inlineStr">
        <is>
          <t>93</t>
        </is>
      </c>
      <c r="CS137" s="105" t="inlineStr">
        <is>
          <t/>
        </is>
      </c>
      <c r="CT137" s="106" t="inlineStr">
        <is>
          <t/>
        </is>
      </c>
      <c r="CU137" s="107" t="inlineStr">
        <is>
          <t>1,08%</t>
        </is>
      </c>
      <c r="CV137" s="108" t="inlineStr">
        <is>
          <t>97</t>
        </is>
      </c>
      <c r="CW137" s="109" t="inlineStr">
        <is>
          <t>25,14x</t>
        </is>
      </c>
      <c r="CX137" s="110" t="inlineStr">
        <is>
          <t>93</t>
        </is>
      </c>
      <c r="CY137" s="111" t="inlineStr">
        <is>
          <t>0,89x</t>
        </is>
      </c>
      <c r="CZ137" s="112" t="inlineStr">
        <is>
          <t>3,66%</t>
        </is>
      </c>
      <c r="DA137" s="113" t="inlineStr">
        <is>
          <t>35,77x</t>
        </is>
      </c>
      <c r="DB137" s="114" t="inlineStr">
        <is>
          <t>95</t>
        </is>
      </c>
      <c r="DC137" s="115" t="inlineStr">
        <is>
          <t>14,51x</t>
        </is>
      </c>
      <c r="DD137" s="116" t="inlineStr">
        <is>
          <t>87</t>
        </is>
      </c>
      <c r="DE137" s="117" t="inlineStr">
        <is>
          <t>35,71x</t>
        </is>
      </c>
      <c r="DF137" s="118" t="inlineStr">
        <is>
          <t>92</t>
        </is>
      </c>
      <c r="DG137" s="119" t="inlineStr">
        <is>
          <t>35,83x</t>
        </is>
      </c>
      <c r="DH137" s="120" t="inlineStr">
        <is>
          <t>96</t>
        </is>
      </c>
      <c r="DI137" s="121" t="inlineStr">
        <is>
          <t/>
        </is>
      </c>
      <c r="DJ137" s="122" t="inlineStr">
        <is>
          <t/>
        </is>
      </c>
      <c r="DK137" s="123" t="inlineStr">
        <is>
          <t>14,51x</t>
        </is>
      </c>
      <c r="DL137" s="124" t="inlineStr">
        <is>
          <t>89</t>
        </is>
      </c>
      <c r="DM137" s="125" t="inlineStr">
        <is>
          <t>22.755</t>
        </is>
      </c>
      <c r="DN137" s="126" t="inlineStr">
        <is>
          <t>-2.383</t>
        </is>
      </c>
      <c r="DO137" s="127" t="inlineStr">
        <is>
          <t>-9,48%</t>
        </is>
      </c>
      <c r="DP137" s="128" t="inlineStr">
        <is>
          <t/>
        </is>
      </c>
      <c r="DQ137" s="129" t="inlineStr">
        <is>
          <t/>
        </is>
      </c>
      <c r="DR137" s="130" t="inlineStr">
        <is>
          <t/>
        </is>
      </c>
      <c r="DS137" s="131" t="inlineStr">
        <is>
          <t>1.262</t>
        </is>
      </c>
      <c r="DT137" s="132" t="inlineStr">
        <is>
          <t>55</t>
        </is>
      </c>
      <c r="DU137" s="133" t="inlineStr">
        <is>
          <t>4,56%</t>
        </is>
      </c>
      <c r="DV137" s="134" t="inlineStr">
        <is>
          <t>4.953</t>
        </is>
      </c>
      <c r="DW137" s="135" t="inlineStr">
        <is>
          <t>37</t>
        </is>
      </c>
      <c r="DX137" s="136" t="inlineStr">
        <is>
          <t>0,75%</t>
        </is>
      </c>
      <c r="DY137" s="137" t="inlineStr">
        <is>
          <t>PitchBook Research</t>
        </is>
      </c>
      <c r="DZ137" s="785">
        <f>HYPERLINK("https://my.pitchbook.com?c=108316-45", "View company online")</f>
      </c>
    </row>
    <row r="138">
      <c r="A138" s="139" t="inlineStr">
        <is>
          <t>100330-75</t>
        </is>
      </c>
      <c r="B138" s="140" t="inlineStr">
        <is>
          <t>Data Artisans</t>
        </is>
      </c>
      <c r="C138" s="141" t="inlineStr">
        <is>
          <t/>
        </is>
      </c>
      <c r="D138" s="142" t="inlineStr">
        <is>
          <t/>
        </is>
      </c>
      <c r="E138" s="143" t="inlineStr">
        <is>
          <t>100330-75</t>
        </is>
      </c>
      <c r="F138" s="144" t="inlineStr">
        <is>
          <t>Provider of data stream processing technology. The company is a maker of Apache Flink which is an open source general-purpose engine for analysis of Hadoop data.</t>
        </is>
      </c>
      <c r="G138" s="145" t="inlineStr">
        <is>
          <t>Information Technology</t>
        </is>
      </c>
      <c r="H138" s="146" t="inlineStr">
        <is>
          <t>Software</t>
        </is>
      </c>
      <c r="I138" s="147" t="inlineStr">
        <is>
          <t>Database Software</t>
        </is>
      </c>
      <c r="J138" s="148" t="inlineStr">
        <is>
          <t>Database Software*; Other IT Services</t>
        </is>
      </c>
      <c r="K138" s="149" t="inlineStr">
        <is>
          <t>Big Data, SaaS</t>
        </is>
      </c>
      <c r="L138" s="150" t="inlineStr">
        <is>
          <t>Venture Capital-Backed</t>
        </is>
      </c>
      <c r="M138" s="151" t="n">
        <v>6.7</v>
      </c>
      <c r="N138" s="152" t="inlineStr">
        <is>
          <t>Generating Revenue</t>
        </is>
      </c>
      <c r="O138" s="153" t="inlineStr">
        <is>
          <t>Privately Held (backing)</t>
        </is>
      </c>
      <c r="P138" s="154" t="inlineStr">
        <is>
          <t>Venture Capital</t>
        </is>
      </c>
      <c r="Q138" s="155" t="inlineStr">
        <is>
          <t>www.data-artisans.com</t>
        </is>
      </c>
      <c r="R138" s="156" t="n">
        <v>15.0</v>
      </c>
      <c r="S138" s="157" t="inlineStr">
        <is>
          <t/>
        </is>
      </c>
      <c r="T138" s="158" t="inlineStr">
        <is>
          <t/>
        </is>
      </c>
      <c r="U138" s="159" t="n">
        <v>2014.0</v>
      </c>
      <c r="V138" s="160" t="inlineStr">
        <is>
          <t/>
        </is>
      </c>
      <c r="W138" s="161" t="inlineStr">
        <is>
          <t/>
        </is>
      </c>
      <c r="X138" s="162" t="inlineStr">
        <is>
          <t/>
        </is>
      </c>
      <c r="Y138" s="163" t="inlineStr">
        <is>
          <t/>
        </is>
      </c>
      <c r="Z138" s="164" t="inlineStr">
        <is>
          <t/>
        </is>
      </c>
      <c r="AA138" s="165" t="inlineStr">
        <is>
          <t/>
        </is>
      </c>
      <c r="AB138" s="166" t="inlineStr">
        <is>
          <t/>
        </is>
      </c>
      <c r="AC138" s="167" t="inlineStr">
        <is>
          <t/>
        </is>
      </c>
      <c r="AD138" s="168" t="inlineStr">
        <is>
          <t/>
        </is>
      </c>
      <c r="AE138" s="169" t="inlineStr">
        <is>
          <t>87265-90P</t>
        </is>
      </c>
      <c r="AF138" s="170" t="inlineStr">
        <is>
          <t>Kostas Tzoumas</t>
        </is>
      </c>
      <c r="AG138" s="171" t="inlineStr">
        <is>
          <t>Co-Founder and Chief Executive Officer</t>
        </is>
      </c>
      <c r="AH138" s="172" t="inlineStr">
        <is>
          <t>kostas@data-artisans.com</t>
        </is>
      </c>
      <c r="AI138" s="173" t="inlineStr">
        <is>
          <t>+49 (0)30 5559 9146</t>
        </is>
      </c>
      <c r="AJ138" s="174" t="inlineStr">
        <is>
          <t>Berlin, Germany</t>
        </is>
      </c>
      <c r="AK138" s="175" t="inlineStr">
        <is>
          <t>Stresemannstraße 121A</t>
        </is>
      </c>
      <c r="AL138" s="176" t="inlineStr">
        <is>
          <t/>
        </is>
      </c>
      <c r="AM138" s="177" t="inlineStr">
        <is>
          <t>Berlin</t>
        </is>
      </c>
      <c r="AN138" s="178" t="inlineStr">
        <is>
          <t/>
        </is>
      </c>
      <c r="AO138" s="179" t="inlineStr">
        <is>
          <t>10963</t>
        </is>
      </c>
      <c r="AP138" s="180" t="inlineStr">
        <is>
          <t>Germany</t>
        </is>
      </c>
      <c r="AQ138" s="181" t="inlineStr">
        <is>
          <t>+49 (0)30 5559 9146</t>
        </is>
      </c>
      <c r="AR138" s="182" t="inlineStr">
        <is>
          <t/>
        </is>
      </c>
      <c r="AS138" s="183" t="inlineStr">
        <is>
          <t>info@data-artisans.com</t>
        </is>
      </c>
      <c r="AT138" s="184" t="inlineStr">
        <is>
          <t>Europe</t>
        </is>
      </c>
      <c r="AU138" s="185" t="inlineStr">
        <is>
          <t>Western Europe</t>
        </is>
      </c>
      <c r="AV138" s="186" t="inlineStr">
        <is>
          <t>The company raised $6 million of Series A venture funding from lead investor Intel Capital on March 30, 2016. Tengelmann Ventures, ECONA and b-to-v Partners also participated. The company will use funds to build better support for users of Apache Flink and to further develop analytics products based on the Apache Flink advanced Open Source scalable stream data processing framework.</t>
        </is>
      </c>
      <c r="AW138" s="187" t="inlineStr">
        <is>
          <t>btov Partners, ECONA, Intel Capital, TA Ventures, Tengelmann Ventures</t>
        </is>
      </c>
      <c r="AX138" s="188" t="n">
        <v>5.0</v>
      </c>
      <c r="AY138" s="189" t="inlineStr">
        <is>
          <t/>
        </is>
      </c>
      <c r="AZ138" s="190" t="inlineStr">
        <is>
          <t/>
        </is>
      </c>
      <c r="BA138" s="191" t="inlineStr">
        <is>
          <t/>
        </is>
      </c>
      <c r="BB138" s="192" t="inlineStr">
        <is>
          <t>btov Partners (www.btov.vc), ECONA (www.econa.com), Intel Capital (www.intelcapital.com), TA Ventures (www.taventures.vc), Tengelmann Ventures (www.tev.de)</t>
        </is>
      </c>
      <c r="BC138" s="193" t="inlineStr">
        <is>
          <t/>
        </is>
      </c>
      <c r="BD138" s="194" t="inlineStr">
        <is>
          <t/>
        </is>
      </c>
      <c r="BE138" s="195" t="inlineStr">
        <is>
          <t/>
        </is>
      </c>
      <c r="BF138" s="196" t="inlineStr">
        <is>
          <t/>
        </is>
      </c>
      <c r="BG138" s="197" t="inlineStr">
        <is>
          <t/>
        </is>
      </c>
      <c r="BH138" s="198" t="n">
        <v>1.3</v>
      </c>
      <c r="BI138" s="199" t="inlineStr">
        <is>
          <t>Actual</t>
        </is>
      </c>
      <c r="BJ138" s="200" t="inlineStr">
        <is>
          <t/>
        </is>
      </c>
      <c r="BK138" s="201" t="inlineStr">
        <is>
          <t/>
        </is>
      </c>
      <c r="BL138" s="202" t="inlineStr">
        <is>
          <t>Early Stage VC</t>
        </is>
      </c>
      <c r="BM138" s="203" t="inlineStr">
        <is>
          <t/>
        </is>
      </c>
      <c r="BN138" s="204" t="inlineStr">
        <is>
          <t/>
        </is>
      </c>
      <c r="BO138" s="205" t="inlineStr">
        <is>
          <t>Venture Capital</t>
        </is>
      </c>
      <c r="BP138" s="206" t="inlineStr">
        <is>
          <t/>
        </is>
      </c>
      <c r="BQ138" s="207" t="inlineStr">
        <is>
          <t/>
        </is>
      </c>
      <c r="BR138" s="208" t="inlineStr">
        <is>
          <t/>
        </is>
      </c>
      <c r="BS138" s="209" t="inlineStr">
        <is>
          <t>Completed</t>
        </is>
      </c>
      <c r="BT138" s="210" t="n">
        <v>42459.0</v>
      </c>
      <c r="BU138" s="211" t="n">
        <v>5.4</v>
      </c>
      <c r="BV138" s="212" t="inlineStr">
        <is>
          <t>Actual</t>
        </is>
      </c>
      <c r="BW138" s="213" t="inlineStr">
        <is>
          <t/>
        </is>
      </c>
      <c r="BX138" s="214" t="inlineStr">
        <is>
          <t/>
        </is>
      </c>
      <c r="BY138" s="215" t="inlineStr">
        <is>
          <t>Early Stage VC</t>
        </is>
      </c>
      <c r="BZ138" s="216" t="inlineStr">
        <is>
          <t>Series A</t>
        </is>
      </c>
      <c r="CA138" s="217" t="inlineStr">
        <is>
          <t/>
        </is>
      </c>
      <c r="CB138" s="218" t="inlineStr">
        <is>
          <t>Venture Capital</t>
        </is>
      </c>
      <c r="CC138" s="219" t="inlineStr">
        <is>
          <t/>
        </is>
      </c>
      <c r="CD138" s="220" t="inlineStr">
        <is>
          <t/>
        </is>
      </c>
      <c r="CE138" s="221" t="inlineStr">
        <is>
          <t/>
        </is>
      </c>
      <c r="CF138" s="222" t="inlineStr">
        <is>
          <t>Completed</t>
        </is>
      </c>
      <c r="CG138" s="223" t="inlineStr">
        <is>
          <t>-0,06%</t>
        </is>
      </c>
      <c r="CH138" s="224" t="inlineStr">
        <is>
          <t>16</t>
        </is>
      </c>
      <c r="CI138" s="225" t="inlineStr">
        <is>
          <t>0,00%</t>
        </is>
      </c>
      <c r="CJ138" s="226" t="inlineStr">
        <is>
          <t>-2,53%</t>
        </is>
      </c>
      <c r="CK138" s="227" t="inlineStr">
        <is>
          <t>-0,42%</t>
        </is>
      </c>
      <c r="CL138" s="228" t="inlineStr">
        <is>
          <t>13</t>
        </is>
      </c>
      <c r="CM138" s="229" t="inlineStr">
        <is>
          <t>0,31%</t>
        </is>
      </c>
      <c r="CN138" s="230" t="inlineStr">
        <is>
          <t>82</t>
        </is>
      </c>
      <c r="CO138" s="231" t="inlineStr">
        <is>
          <t>-0,84%</t>
        </is>
      </c>
      <c r="CP138" s="232" t="inlineStr">
        <is>
          <t>21</t>
        </is>
      </c>
      <c r="CQ138" s="233" t="inlineStr">
        <is>
          <t>0,00%</t>
        </is>
      </c>
      <c r="CR138" s="234" t="inlineStr">
        <is>
          <t>13</t>
        </is>
      </c>
      <c r="CS138" s="235" t="inlineStr">
        <is>
          <t>0,00%</t>
        </is>
      </c>
      <c r="CT138" s="236" t="inlineStr">
        <is>
          <t>18</t>
        </is>
      </c>
      <c r="CU138" s="237" t="inlineStr">
        <is>
          <t>0,62%</t>
        </is>
      </c>
      <c r="CV138" s="238" t="inlineStr">
        <is>
          <t>94</t>
        </is>
      </c>
      <c r="CW138" s="239" t="inlineStr">
        <is>
          <t>4,58x</t>
        </is>
      </c>
      <c r="CX138" s="240" t="inlineStr">
        <is>
          <t>78</t>
        </is>
      </c>
      <c r="CY138" s="241" t="inlineStr">
        <is>
          <t>0,05x</t>
        </is>
      </c>
      <c r="CZ138" s="242" t="inlineStr">
        <is>
          <t>1,05%</t>
        </is>
      </c>
      <c r="DA138" s="243" t="inlineStr">
        <is>
          <t>5,88x</t>
        </is>
      </c>
      <c r="DB138" s="244" t="inlineStr">
        <is>
          <t>82</t>
        </is>
      </c>
      <c r="DC138" s="245" t="inlineStr">
        <is>
          <t>3,28x</t>
        </is>
      </c>
      <c r="DD138" s="246" t="inlineStr">
        <is>
          <t>70</t>
        </is>
      </c>
      <c r="DE138" s="247" t="inlineStr">
        <is>
          <t>10,82x</t>
        </is>
      </c>
      <c r="DF138" s="248" t="inlineStr">
        <is>
          <t>84</t>
        </is>
      </c>
      <c r="DG138" s="249" t="inlineStr">
        <is>
          <t>0,94x</t>
        </is>
      </c>
      <c r="DH138" s="250" t="inlineStr">
        <is>
          <t>49</t>
        </is>
      </c>
      <c r="DI138" s="251" t="inlineStr">
        <is>
          <t>0,03x</t>
        </is>
      </c>
      <c r="DJ138" s="252" t="inlineStr">
        <is>
          <t>5</t>
        </is>
      </c>
      <c r="DK138" s="253" t="inlineStr">
        <is>
          <t>6,54x</t>
        </is>
      </c>
      <c r="DL138" s="254" t="inlineStr">
        <is>
          <t>82</t>
        </is>
      </c>
      <c r="DM138" s="255" t="inlineStr">
        <is>
          <t>6.733</t>
        </is>
      </c>
      <c r="DN138" s="256" t="inlineStr">
        <is>
          <t>-239</t>
        </is>
      </c>
      <c r="DO138" s="257" t="inlineStr">
        <is>
          <t>-3,43%</t>
        </is>
      </c>
      <c r="DP138" s="258" t="inlineStr">
        <is>
          <t>22</t>
        </is>
      </c>
      <c r="DQ138" s="259" t="inlineStr">
        <is>
          <t>0</t>
        </is>
      </c>
      <c r="DR138" s="260" t="inlineStr">
        <is>
          <t>0,00%</t>
        </is>
      </c>
      <c r="DS138" s="261" t="inlineStr">
        <is>
          <t>34</t>
        </is>
      </c>
      <c r="DT138" s="262" t="inlineStr">
        <is>
          <t>0</t>
        </is>
      </c>
      <c r="DU138" s="263" t="inlineStr">
        <is>
          <t>0,00%</t>
        </is>
      </c>
      <c r="DV138" s="264" t="inlineStr">
        <is>
          <t>2.240</t>
        </is>
      </c>
      <c r="DW138" s="265" t="inlineStr">
        <is>
          <t>19</t>
        </is>
      </c>
      <c r="DX138" s="266" t="inlineStr">
        <is>
          <t>0,86%</t>
        </is>
      </c>
      <c r="DY138" s="267" t="inlineStr">
        <is>
          <t>PitchBook Research</t>
        </is>
      </c>
      <c r="DZ138" s="786">
        <f>HYPERLINK("https://my.pitchbook.com?c=100330-75", "View company online")</f>
      </c>
    </row>
    <row r="139">
      <c r="A139" s="9" t="inlineStr">
        <is>
          <t>86072-59</t>
        </is>
      </c>
      <c r="B139" s="10" t="inlineStr">
        <is>
          <t>Decibel Insight</t>
        </is>
      </c>
      <c r="C139" s="11" t="inlineStr">
        <is>
          <t>New Brand Vision</t>
        </is>
      </c>
      <c r="D139" s="12" t="inlineStr">
        <is>
          <t/>
        </is>
      </c>
      <c r="E139" s="13" t="inlineStr">
        <is>
          <t>86072-59</t>
        </is>
      </c>
      <c r="F139" s="14" t="inlineStr">
        <is>
          <t>Developer of a next-generation heat-mapping and visual website analytics tool created to plug the gap between traditional web analytics and website improvement. The company's heat-mapping and visual website analytics tool analyses users behavior on websites and apps using machine learning algorithm, it provides compelling reports, session replays, and detailed data visualizations showing which parts of a site are performing well, which parts are being ignored, where users are dropping off and why, enabling businesses to quantify and improve the customer experience across every digital touchpoint.</t>
        </is>
      </c>
      <c r="G139" s="15" t="inlineStr">
        <is>
          <t>Business Products and Services (B2B)</t>
        </is>
      </c>
      <c r="H139" s="16" t="inlineStr">
        <is>
          <t>Commercial Services</t>
        </is>
      </c>
      <c r="I139" s="17" t="inlineStr">
        <is>
          <t>Media and Information Services (B2B)</t>
        </is>
      </c>
      <c r="J139" s="18" t="inlineStr">
        <is>
          <t>Media and Information Services (B2B)*; Business/Productivity Software</t>
        </is>
      </c>
      <c r="K139" s="19" t="inlineStr">
        <is>
          <t>Artificial Intelligence &amp; Machine Learning, Big Data, SaaS</t>
        </is>
      </c>
      <c r="L139" s="20" t="inlineStr">
        <is>
          <t>Venture Capital-Backed</t>
        </is>
      </c>
      <c r="M139" s="21" t="n">
        <v>8.15</v>
      </c>
      <c r="N139" s="22" t="inlineStr">
        <is>
          <t>Generating Revenue</t>
        </is>
      </c>
      <c r="O139" s="23" t="inlineStr">
        <is>
          <t>Privately Held (backing)</t>
        </is>
      </c>
      <c r="P139" s="24" t="inlineStr">
        <is>
          <t>Venture Capital</t>
        </is>
      </c>
      <c r="Q139" s="25" t="inlineStr">
        <is>
          <t>www.decibelinsight.com</t>
        </is>
      </c>
      <c r="R139" s="26" t="n">
        <v>50.0</v>
      </c>
      <c r="S139" s="27" t="inlineStr">
        <is>
          <t/>
        </is>
      </c>
      <c r="T139" s="28" t="inlineStr">
        <is>
          <t/>
        </is>
      </c>
      <c r="U139" s="29" t="n">
        <v>2013.0</v>
      </c>
      <c r="V139" s="30" t="inlineStr">
        <is>
          <t/>
        </is>
      </c>
      <c r="W139" s="31" t="inlineStr">
        <is>
          <t/>
        </is>
      </c>
      <c r="X139" s="32" t="inlineStr">
        <is>
          <t/>
        </is>
      </c>
      <c r="Y139" s="33" t="inlineStr">
        <is>
          <t/>
        </is>
      </c>
      <c r="Z139" s="34" t="inlineStr">
        <is>
          <t/>
        </is>
      </c>
      <c r="AA139" s="35" t="inlineStr">
        <is>
          <t/>
        </is>
      </c>
      <c r="AB139" s="36" t="inlineStr">
        <is>
          <t/>
        </is>
      </c>
      <c r="AC139" s="37" t="inlineStr">
        <is>
          <t/>
        </is>
      </c>
      <c r="AD139" s="38" t="inlineStr">
        <is>
          <t/>
        </is>
      </c>
      <c r="AE139" s="39" t="inlineStr">
        <is>
          <t>162355-69P</t>
        </is>
      </c>
      <c r="AF139" s="40" t="inlineStr">
        <is>
          <t>Ben Harris</t>
        </is>
      </c>
      <c r="AG139" s="41" t="inlineStr">
        <is>
          <t>Chief Executive Officer &amp; Co-Founder</t>
        </is>
      </c>
      <c r="AH139" s="42" t="inlineStr">
        <is>
          <t>ben@decibelinsight.com</t>
        </is>
      </c>
      <c r="AI139" s="43" t="inlineStr">
        <is>
          <t>+44 (0)20 3700 4700</t>
        </is>
      </c>
      <c r="AJ139" s="44" t="inlineStr">
        <is>
          <t>London, United Kingdom</t>
        </is>
      </c>
      <c r="AK139" s="45" t="inlineStr">
        <is>
          <t>89 Worship Street</t>
        </is>
      </c>
      <c r="AL139" s="46" t="inlineStr">
        <is>
          <t/>
        </is>
      </c>
      <c r="AM139" s="47" t="inlineStr">
        <is>
          <t>London</t>
        </is>
      </c>
      <c r="AN139" s="48" t="inlineStr">
        <is>
          <t>England</t>
        </is>
      </c>
      <c r="AO139" s="49" t="inlineStr">
        <is>
          <t>EC2A 2BF</t>
        </is>
      </c>
      <c r="AP139" s="50" t="inlineStr">
        <is>
          <t>United Kingdom</t>
        </is>
      </c>
      <c r="AQ139" s="51" t="inlineStr">
        <is>
          <t>+44 (0)20 3700 4700</t>
        </is>
      </c>
      <c r="AR139" s="52" t="inlineStr">
        <is>
          <t/>
        </is>
      </c>
      <c r="AS139" s="53" t="inlineStr">
        <is>
          <t>hello@decibelinsight.com</t>
        </is>
      </c>
      <c r="AT139" s="54" t="inlineStr">
        <is>
          <t>Europe</t>
        </is>
      </c>
      <c r="AU139" s="55" t="inlineStr">
        <is>
          <t>Western Europe</t>
        </is>
      </c>
      <c r="AV139" s="56" t="inlineStr">
        <is>
          <t>The company raised $9 million of Series A venture funding in a deal led by Eight Roads Ventures on May 3, 2017. Ventureforgood also participated in the round. The funds will be used to scale the business and drive continued innovation through data science.</t>
        </is>
      </c>
      <c r="AW139" s="57" t="inlineStr">
        <is>
          <t>Eight Roads Ventures, Ventureforgood</t>
        </is>
      </c>
      <c r="AX139" s="58" t="n">
        <v>2.0</v>
      </c>
      <c r="AY139" s="59" t="inlineStr">
        <is>
          <t/>
        </is>
      </c>
      <c r="AZ139" s="60" t="inlineStr">
        <is>
          <t/>
        </is>
      </c>
      <c r="BA139" s="61" t="inlineStr">
        <is>
          <t/>
        </is>
      </c>
      <c r="BB139" s="62" t="inlineStr">
        <is>
          <t>Eight Roads Ventures (www.eightroads.com)</t>
        </is>
      </c>
      <c r="BC139" s="63" t="inlineStr">
        <is>
          <t/>
        </is>
      </c>
      <c r="BD139" s="64" t="inlineStr">
        <is>
          <t/>
        </is>
      </c>
      <c r="BE139" s="65" t="inlineStr">
        <is>
          <t/>
        </is>
      </c>
      <c r="BF139" s="66" t="inlineStr">
        <is>
          <t/>
        </is>
      </c>
      <c r="BG139" s="67" t="n">
        <v>42858.0</v>
      </c>
      <c r="BH139" s="68" t="n">
        <v>8.15</v>
      </c>
      <c r="BI139" s="69" t="inlineStr">
        <is>
          <t>Actual</t>
        </is>
      </c>
      <c r="BJ139" s="70" t="inlineStr">
        <is>
          <t/>
        </is>
      </c>
      <c r="BK139" s="71" t="inlineStr">
        <is>
          <t/>
        </is>
      </c>
      <c r="BL139" s="72" t="inlineStr">
        <is>
          <t>Early Stage VC</t>
        </is>
      </c>
      <c r="BM139" s="73" t="inlineStr">
        <is>
          <t>Series A</t>
        </is>
      </c>
      <c r="BN139" s="74" t="inlineStr">
        <is>
          <t/>
        </is>
      </c>
      <c r="BO139" s="75" t="inlineStr">
        <is>
          <t>Venture Capital</t>
        </is>
      </c>
      <c r="BP139" s="76" t="inlineStr">
        <is>
          <t/>
        </is>
      </c>
      <c r="BQ139" s="77" t="inlineStr">
        <is>
          <t/>
        </is>
      </c>
      <c r="BR139" s="78" t="inlineStr">
        <is>
          <t/>
        </is>
      </c>
      <c r="BS139" s="79" t="inlineStr">
        <is>
          <t>Completed</t>
        </is>
      </c>
      <c r="BT139" s="80" t="n">
        <v>42858.0</v>
      </c>
      <c r="BU139" s="81" t="n">
        <v>8.15</v>
      </c>
      <c r="BV139" s="82" t="inlineStr">
        <is>
          <t>Actual</t>
        </is>
      </c>
      <c r="BW139" s="83" t="inlineStr">
        <is>
          <t/>
        </is>
      </c>
      <c r="BX139" s="84" t="inlineStr">
        <is>
          <t/>
        </is>
      </c>
      <c r="BY139" s="85" t="inlineStr">
        <is>
          <t>Early Stage VC</t>
        </is>
      </c>
      <c r="BZ139" s="86" t="inlineStr">
        <is>
          <t>Series A</t>
        </is>
      </c>
      <c r="CA139" s="87" t="inlineStr">
        <is>
          <t/>
        </is>
      </c>
      <c r="CB139" s="88" t="inlineStr">
        <is>
          <t>Venture Capital</t>
        </is>
      </c>
      <c r="CC139" s="89" t="inlineStr">
        <is>
          <t/>
        </is>
      </c>
      <c r="CD139" s="90" t="inlineStr">
        <is>
          <t/>
        </is>
      </c>
      <c r="CE139" s="91" t="inlineStr">
        <is>
          <t/>
        </is>
      </c>
      <c r="CF139" s="92" t="inlineStr">
        <is>
          <t>Completed</t>
        </is>
      </c>
      <c r="CG139" s="93" t="inlineStr">
        <is>
          <t>-2,05%</t>
        </is>
      </c>
      <c r="CH139" s="94" t="inlineStr">
        <is>
          <t>2</t>
        </is>
      </c>
      <c r="CI139" s="95" t="inlineStr">
        <is>
          <t>0,08%</t>
        </is>
      </c>
      <c r="CJ139" s="96" t="inlineStr">
        <is>
          <t>3,66%</t>
        </is>
      </c>
      <c r="CK139" s="97" t="inlineStr">
        <is>
          <t>-4,63%</t>
        </is>
      </c>
      <c r="CL139" s="98" t="inlineStr">
        <is>
          <t>2</t>
        </is>
      </c>
      <c r="CM139" s="99" t="inlineStr">
        <is>
          <t>0,54%</t>
        </is>
      </c>
      <c r="CN139" s="100" t="inlineStr">
        <is>
          <t>91</t>
        </is>
      </c>
      <c r="CO139" s="101" t="inlineStr">
        <is>
          <t>-9,56%</t>
        </is>
      </c>
      <c r="CP139" s="102" t="inlineStr">
        <is>
          <t>2</t>
        </is>
      </c>
      <c r="CQ139" s="103" t="inlineStr">
        <is>
          <t>0,29%</t>
        </is>
      </c>
      <c r="CR139" s="104" t="inlineStr">
        <is>
          <t>85</t>
        </is>
      </c>
      <c r="CS139" s="105" t="inlineStr">
        <is>
          <t>0,73%</t>
        </is>
      </c>
      <c r="CT139" s="106" t="inlineStr">
        <is>
          <t>92</t>
        </is>
      </c>
      <c r="CU139" s="107" t="inlineStr">
        <is>
          <t>0,35%</t>
        </is>
      </c>
      <c r="CV139" s="108" t="inlineStr">
        <is>
          <t>87</t>
        </is>
      </c>
      <c r="CW139" s="109" t="inlineStr">
        <is>
          <t>7,05x</t>
        </is>
      </c>
      <c r="CX139" s="110" t="inlineStr">
        <is>
          <t>83</t>
        </is>
      </c>
      <c r="CY139" s="111" t="inlineStr">
        <is>
          <t>0,16x</t>
        </is>
      </c>
      <c r="CZ139" s="112" t="inlineStr">
        <is>
          <t>2,35%</t>
        </is>
      </c>
      <c r="DA139" s="113" t="inlineStr">
        <is>
          <t>9,56x</t>
        </is>
      </c>
      <c r="DB139" s="114" t="inlineStr">
        <is>
          <t>87</t>
        </is>
      </c>
      <c r="DC139" s="115" t="inlineStr">
        <is>
          <t>4,53x</t>
        </is>
      </c>
      <c r="DD139" s="116" t="inlineStr">
        <is>
          <t>75</t>
        </is>
      </c>
      <c r="DE139" s="117" t="inlineStr">
        <is>
          <t>4,46x</t>
        </is>
      </c>
      <c r="DF139" s="118" t="inlineStr">
        <is>
          <t>75</t>
        </is>
      </c>
      <c r="DG139" s="119" t="inlineStr">
        <is>
          <t>14,67x</t>
        </is>
      </c>
      <c r="DH139" s="120" t="inlineStr">
        <is>
          <t>90</t>
        </is>
      </c>
      <c r="DI139" s="121" t="inlineStr">
        <is>
          <t>0,14x</t>
        </is>
      </c>
      <c r="DJ139" s="122" t="inlineStr">
        <is>
          <t>18</t>
        </is>
      </c>
      <c r="DK139" s="123" t="inlineStr">
        <is>
          <t>8,92x</t>
        </is>
      </c>
      <c r="DL139" s="124" t="inlineStr">
        <is>
          <t>85</t>
        </is>
      </c>
      <c r="DM139" s="125" t="inlineStr">
        <is>
          <t>2.956</t>
        </is>
      </c>
      <c r="DN139" s="126" t="inlineStr">
        <is>
          <t>-637</t>
        </is>
      </c>
      <c r="DO139" s="127" t="inlineStr">
        <is>
          <t>-17,73%</t>
        </is>
      </c>
      <c r="DP139" s="128" t="inlineStr">
        <is>
          <t>106</t>
        </is>
      </c>
      <c r="DQ139" s="129" t="inlineStr">
        <is>
          <t>2</t>
        </is>
      </c>
      <c r="DR139" s="130" t="inlineStr">
        <is>
          <t>1,92%</t>
        </is>
      </c>
      <c r="DS139" s="131" t="inlineStr">
        <is>
          <t>527</t>
        </is>
      </c>
      <c r="DT139" s="132" t="inlineStr">
        <is>
          <t>5</t>
        </is>
      </c>
      <c r="DU139" s="133" t="inlineStr">
        <is>
          <t>0,96%</t>
        </is>
      </c>
      <c r="DV139" s="134" t="inlineStr">
        <is>
          <t>3.062</t>
        </is>
      </c>
      <c r="DW139" s="135" t="inlineStr">
        <is>
          <t>-4</t>
        </is>
      </c>
      <c r="DX139" s="136" t="inlineStr">
        <is>
          <t>-0,13%</t>
        </is>
      </c>
      <c r="DY139" s="137" t="inlineStr">
        <is>
          <t>PitchBook Research</t>
        </is>
      </c>
      <c r="DZ139" s="785">
        <f>HYPERLINK("https://my.pitchbook.com?c=86072-59", "View company online")</f>
      </c>
    </row>
    <row r="140">
      <c r="A140" s="139" t="inlineStr">
        <is>
          <t>133082-83</t>
        </is>
      </c>
      <c r="B140" s="140" t="inlineStr">
        <is>
          <t>Deliver</t>
        </is>
      </c>
      <c r="C140" s="141" t="inlineStr">
        <is>
          <t>iCanDeliver</t>
        </is>
      </c>
      <c r="D140" s="142" t="inlineStr">
        <is>
          <t/>
        </is>
      </c>
      <c r="E140" s="143" t="inlineStr">
        <is>
          <t>133082-83</t>
        </is>
      </c>
      <c r="F140" s="144" t="inlineStr">
        <is>
          <t>Developer of an online platform designed for management of cargo. The company's web-based platform helps to calculate the price and order the transport of goods by various modes of transport directly from the carriers, making things more efficient by finding the closest sender.</t>
        </is>
      </c>
      <c r="G140" s="145" t="inlineStr">
        <is>
          <t>Business Products and Services (B2B)</t>
        </is>
      </c>
      <c r="H140" s="146" t="inlineStr">
        <is>
          <t>Commercial Services</t>
        </is>
      </c>
      <c r="I140" s="147" t="inlineStr">
        <is>
          <t>Logistics</t>
        </is>
      </c>
      <c r="J140" s="148" t="inlineStr">
        <is>
          <t>Logistics*; Social/Platform Software</t>
        </is>
      </c>
      <c r="K140" s="149" t="inlineStr">
        <is>
          <t/>
        </is>
      </c>
      <c r="L140" s="150" t="inlineStr">
        <is>
          <t>Venture Capital-Backed</t>
        </is>
      </c>
      <c r="M140" s="151" t="n">
        <v>14.06</v>
      </c>
      <c r="N140" s="152" t="inlineStr">
        <is>
          <t>Startup</t>
        </is>
      </c>
      <c r="O140" s="153" t="inlineStr">
        <is>
          <t>Privately Held (backing)</t>
        </is>
      </c>
      <c r="P140" s="154" t="inlineStr">
        <is>
          <t>Venture Capital</t>
        </is>
      </c>
      <c r="Q140" s="155" t="inlineStr">
        <is>
          <t>client.deliver.ru</t>
        </is>
      </c>
      <c r="R140" s="156" t="n">
        <v>11.0</v>
      </c>
      <c r="S140" s="157" t="inlineStr">
        <is>
          <t/>
        </is>
      </c>
      <c r="T140" s="158" t="inlineStr">
        <is>
          <t/>
        </is>
      </c>
      <c r="U140" s="159" t="n">
        <v>2014.0</v>
      </c>
      <c r="V140" s="160" t="inlineStr">
        <is>
          <t/>
        </is>
      </c>
      <c r="W140" s="161" t="inlineStr">
        <is>
          <t/>
        </is>
      </c>
      <c r="X140" s="162" t="inlineStr">
        <is>
          <t/>
        </is>
      </c>
      <c r="Y140" s="163" t="inlineStr">
        <is>
          <t/>
        </is>
      </c>
      <c r="Z140" s="164" t="inlineStr">
        <is>
          <t/>
        </is>
      </c>
      <c r="AA140" s="165" t="inlineStr">
        <is>
          <t/>
        </is>
      </c>
      <c r="AB140" s="166" t="inlineStr">
        <is>
          <t/>
        </is>
      </c>
      <c r="AC140" s="167" t="inlineStr">
        <is>
          <t/>
        </is>
      </c>
      <c r="AD140" s="168" t="inlineStr">
        <is>
          <t/>
        </is>
      </c>
      <c r="AE140" s="169" t="inlineStr">
        <is>
          <t>120295-63P</t>
        </is>
      </c>
      <c r="AF140" s="170" t="inlineStr">
        <is>
          <t>Danil Rudakov</t>
        </is>
      </c>
      <c r="AG140" s="171" t="inlineStr">
        <is>
          <t>Co-Founder &amp; Chief Executive Officer</t>
        </is>
      </c>
      <c r="AH140" s="172" t="inlineStr">
        <is>
          <t>danil@icandeliver.ru</t>
        </is>
      </c>
      <c r="AI140" s="173" t="inlineStr">
        <is>
          <t>+7 (8)495 565 3221</t>
        </is>
      </c>
      <c r="AJ140" s="174" t="inlineStr">
        <is>
          <t>Moscow, Russia</t>
        </is>
      </c>
      <c r="AK140" s="175" t="inlineStr">
        <is>
          <t>1, Building 23</t>
        </is>
      </c>
      <c r="AL140" s="176" t="inlineStr">
        <is>
          <t>15 Rochdelskaya Street</t>
        </is>
      </c>
      <c r="AM140" s="177" t="inlineStr">
        <is>
          <t>Moscow</t>
        </is>
      </c>
      <c r="AN140" s="178" t="inlineStr">
        <is>
          <t/>
        </is>
      </c>
      <c r="AO140" s="179" t="inlineStr">
        <is>
          <t>123022</t>
        </is>
      </c>
      <c r="AP140" s="180" t="inlineStr">
        <is>
          <t>Russia</t>
        </is>
      </c>
      <c r="AQ140" s="181" t="inlineStr">
        <is>
          <t>+7 (8)495 565 3221</t>
        </is>
      </c>
      <c r="AR140" s="182" t="inlineStr">
        <is>
          <t/>
        </is>
      </c>
      <c r="AS140" s="183" t="inlineStr">
        <is>
          <t/>
        </is>
      </c>
      <c r="AT140" s="184" t="inlineStr">
        <is>
          <t>Europe</t>
        </is>
      </c>
      <c r="AU140" s="185" t="inlineStr">
        <is>
          <t>Eastern Europe</t>
        </is>
      </c>
      <c r="AV140" s="186" t="inlineStr">
        <is>
          <t>The company raised $8 million of seed funding from Inventure Partners, A&amp;NN Group and Amereus Group on June 22, 2017. The attracted investments will be used to continue geographic diversification, scale up business and develop new services based on the existing platform. Previously, the company raised $5 million of seed funding from Lynwood and Amereus Group on October 4, 2016, putting company's pre-money valuation at $4.62 million.</t>
        </is>
      </c>
      <c r="AW140" s="187" t="inlineStr">
        <is>
          <t>A&amp;NN Investments, Amereus Group, InVenture Partners</t>
        </is>
      </c>
      <c r="AX140" s="188" t="n">
        <v>3.0</v>
      </c>
      <c r="AY140" s="189" t="inlineStr">
        <is>
          <t/>
        </is>
      </c>
      <c r="AZ140" s="190" t="inlineStr">
        <is>
          <t>Kirill Kirillov</t>
        </is>
      </c>
      <c r="BA140" s="191" t="inlineStr">
        <is>
          <t/>
        </is>
      </c>
      <c r="BB140" s="192" t="inlineStr">
        <is>
          <t>A&amp;NN Investments (www.ann.ru), InVenture Partners (www.inventurepartners.com)</t>
        </is>
      </c>
      <c r="BC140" s="193" t="inlineStr">
        <is>
          <t/>
        </is>
      </c>
      <c r="BD140" s="194" t="inlineStr">
        <is>
          <t/>
        </is>
      </c>
      <c r="BE140" s="195" t="inlineStr">
        <is>
          <t/>
        </is>
      </c>
      <c r="BF140" s="196" t="inlineStr">
        <is>
          <t/>
        </is>
      </c>
      <c r="BG140" s="197" t="n">
        <v>41954.0</v>
      </c>
      <c r="BH140" s="198" t="n">
        <v>2.4</v>
      </c>
      <c r="BI140" s="199" t="inlineStr">
        <is>
          <t>Actual</t>
        </is>
      </c>
      <c r="BJ140" s="200" t="n">
        <v>7.21</v>
      </c>
      <c r="BK140" s="201" t="inlineStr">
        <is>
          <t>Actual</t>
        </is>
      </c>
      <c r="BL140" s="202" t="inlineStr">
        <is>
          <t>Angel (individual)</t>
        </is>
      </c>
      <c r="BM140" s="203" t="inlineStr">
        <is>
          <t>Angel</t>
        </is>
      </c>
      <c r="BN140" s="204" t="inlineStr">
        <is>
          <t/>
        </is>
      </c>
      <c r="BO140" s="205" t="inlineStr">
        <is>
          <t>Individual</t>
        </is>
      </c>
      <c r="BP140" s="206" t="inlineStr">
        <is>
          <t/>
        </is>
      </c>
      <c r="BQ140" s="207" t="inlineStr">
        <is>
          <t/>
        </is>
      </c>
      <c r="BR140" s="208" t="inlineStr">
        <is>
          <t/>
        </is>
      </c>
      <c r="BS140" s="209" t="inlineStr">
        <is>
          <t>Completed</t>
        </is>
      </c>
      <c r="BT140" s="210" t="n">
        <v>42908.0</v>
      </c>
      <c r="BU140" s="211" t="n">
        <v>7.13</v>
      </c>
      <c r="BV140" s="212" t="inlineStr">
        <is>
          <t>Actual</t>
        </is>
      </c>
      <c r="BW140" s="213" t="inlineStr">
        <is>
          <t/>
        </is>
      </c>
      <c r="BX140" s="214" t="inlineStr">
        <is>
          <t/>
        </is>
      </c>
      <c r="BY140" s="215" t="inlineStr">
        <is>
          <t>Seed Round</t>
        </is>
      </c>
      <c r="BZ140" s="216" t="inlineStr">
        <is>
          <t>Seed</t>
        </is>
      </c>
      <c r="CA140" s="217" t="inlineStr">
        <is>
          <t/>
        </is>
      </c>
      <c r="CB140" s="218" t="inlineStr">
        <is>
          <t>Venture Capital</t>
        </is>
      </c>
      <c r="CC140" s="219" t="inlineStr">
        <is>
          <t/>
        </is>
      </c>
      <c r="CD140" s="220" t="inlineStr">
        <is>
          <t/>
        </is>
      </c>
      <c r="CE140" s="221" t="inlineStr">
        <is>
          <t/>
        </is>
      </c>
      <c r="CF140" s="222" t="inlineStr">
        <is>
          <t>Completed</t>
        </is>
      </c>
      <c r="CG140" s="223" t="inlineStr">
        <is>
          <t>8,67%</t>
        </is>
      </c>
      <c r="CH140" s="224" t="inlineStr">
        <is>
          <t>99</t>
        </is>
      </c>
      <c r="CI140" s="225" t="inlineStr">
        <is>
          <t>0,00%</t>
        </is>
      </c>
      <c r="CJ140" s="226" t="inlineStr">
        <is>
          <t>0,00%</t>
        </is>
      </c>
      <c r="CK140" s="227" t="inlineStr">
        <is>
          <t>8,67%</t>
        </is>
      </c>
      <c r="CL140" s="228" t="inlineStr">
        <is>
          <t>98</t>
        </is>
      </c>
      <c r="CM140" s="229" t="inlineStr">
        <is>
          <t/>
        </is>
      </c>
      <c r="CN140" s="230" t="inlineStr">
        <is>
          <t/>
        </is>
      </c>
      <c r="CO140" s="231" t="inlineStr">
        <is>
          <t>8,67%</t>
        </is>
      </c>
      <c r="CP140" s="232" t="inlineStr">
        <is>
          <t>99</t>
        </is>
      </c>
      <c r="CQ140" s="233" t="inlineStr">
        <is>
          <t/>
        </is>
      </c>
      <c r="CR140" s="234" t="inlineStr">
        <is>
          <t/>
        </is>
      </c>
      <c r="CS140" s="235" t="inlineStr">
        <is>
          <t/>
        </is>
      </c>
      <c r="CT140" s="236" t="inlineStr">
        <is>
          <t/>
        </is>
      </c>
      <c r="CU140" s="237" t="inlineStr">
        <is>
          <t/>
        </is>
      </c>
      <c r="CV140" s="238" t="inlineStr">
        <is>
          <t/>
        </is>
      </c>
      <c r="CW140" s="239" t="inlineStr">
        <is>
          <t>25,44x</t>
        </is>
      </c>
      <c r="CX140" s="240" t="inlineStr">
        <is>
          <t>93</t>
        </is>
      </c>
      <c r="CY140" s="241" t="inlineStr">
        <is>
          <t>0,00x</t>
        </is>
      </c>
      <c r="CZ140" s="242" t="inlineStr">
        <is>
          <t>0,00%</t>
        </is>
      </c>
      <c r="DA140" s="243" t="inlineStr">
        <is>
          <t>25,44x</t>
        </is>
      </c>
      <c r="DB140" s="244" t="inlineStr">
        <is>
          <t>94</t>
        </is>
      </c>
      <c r="DC140" s="245" t="inlineStr">
        <is>
          <t/>
        </is>
      </c>
      <c r="DD140" s="246" t="inlineStr">
        <is>
          <t/>
        </is>
      </c>
      <c r="DE140" s="247" t="inlineStr">
        <is>
          <t>25,44x</t>
        </is>
      </c>
      <c r="DF140" s="248" t="inlineStr">
        <is>
          <t>90</t>
        </is>
      </c>
      <c r="DG140" s="249" t="inlineStr">
        <is>
          <t/>
        </is>
      </c>
      <c r="DH140" s="250" t="inlineStr">
        <is>
          <t/>
        </is>
      </c>
      <c r="DI140" s="251" t="inlineStr">
        <is>
          <t/>
        </is>
      </c>
      <c r="DJ140" s="252" t="inlineStr">
        <is>
          <t/>
        </is>
      </c>
      <c r="DK140" s="253" t="inlineStr">
        <is>
          <t/>
        </is>
      </c>
      <c r="DL140" s="254" t="inlineStr">
        <is>
          <t/>
        </is>
      </c>
      <c r="DM140" s="255" t="inlineStr">
        <is>
          <t>15.576</t>
        </is>
      </c>
      <c r="DN140" s="256" t="inlineStr">
        <is>
          <t>210</t>
        </is>
      </c>
      <c r="DO140" s="257" t="inlineStr">
        <is>
          <t>1,37%</t>
        </is>
      </c>
      <c r="DP140" s="258" t="inlineStr">
        <is>
          <t/>
        </is>
      </c>
      <c r="DQ140" s="259" t="inlineStr">
        <is>
          <t/>
        </is>
      </c>
      <c r="DR140" s="260" t="inlineStr">
        <is>
          <t/>
        </is>
      </c>
      <c r="DS140" s="261" t="inlineStr">
        <is>
          <t/>
        </is>
      </c>
      <c r="DT140" s="262" t="inlineStr">
        <is>
          <t/>
        </is>
      </c>
      <c r="DU140" s="263" t="inlineStr">
        <is>
          <t/>
        </is>
      </c>
      <c r="DV140" s="264" t="inlineStr">
        <is>
          <t/>
        </is>
      </c>
      <c r="DW140" s="265" t="inlineStr">
        <is>
          <t/>
        </is>
      </c>
      <c r="DX140" s="266" t="inlineStr">
        <is>
          <t/>
        </is>
      </c>
      <c r="DY140" s="267" t="inlineStr">
        <is>
          <t>PitchBook Research</t>
        </is>
      </c>
      <c r="DZ140" s="786">
        <f>HYPERLINK("https://my.pitchbook.com?c=133082-83", "View company online")</f>
      </c>
    </row>
    <row r="141">
      <c r="A141" s="9" t="inlineStr">
        <is>
          <t>64334-26</t>
        </is>
      </c>
      <c r="B141" s="10" t="inlineStr">
        <is>
          <t>Deliveroo</t>
        </is>
      </c>
      <c r="C141" s="11" t="inlineStr">
        <is>
          <t/>
        </is>
      </c>
      <c r="D141" s="12" t="inlineStr">
        <is>
          <t/>
        </is>
      </c>
      <c r="E141" s="13" t="inlineStr">
        <is>
          <t>64334-26</t>
        </is>
      </c>
      <c r="F141" s="14" t="inlineStr">
        <is>
          <t>Provider of an online food delivery platform designed to order restaurant meals. The company's online food delivery platform optimizes food ordering and delivery by integrating web and mobile consumers with restaurant tablet-based point-of-sale order management terminals, providing uses with food deliveries from their favorite restaurant.</t>
        </is>
      </c>
      <c r="G141" s="15" t="inlineStr">
        <is>
          <t>Consumer Products and Services (B2C)</t>
        </is>
      </c>
      <c r="H141" s="16" t="inlineStr">
        <is>
          <t>Retail</t>
        </is>
      </c>
      <c r="I141" s="17" t="inlineStr">
        <is>
          <t>Internet Retail</t>
        </is>
      </c>
      <c r="J141" s="18" t="inlineStr">
        <is>
          <t>Internet Retail*; Other Retail; Application Software</t>
        </is>
      </c>
      <c r="K141" s="19" t="inlineStr">
        <is>
          <t>E-Commerce, Mobile</t>
        </is>
      </c>
      <c r="L141" s="20" t="inlineStr">
        <is>
          <t>Venture Capital-Backed</t>
        </is>
      </c>
      <c r="M141" s="21" t="n">
        <v>356.78</v>
      </c>
      <c r="N141" s="22" t="inlineStr">
        <is>
          <t>Profitable</t>
        </is>
      </c>
      <c r="O141" s="23" t="inlineStr">
        <is>
          <t>Privately Held (backing)</t>
        </is>
      </c>
      <c r="P141" s="24" t="inlineStr">
        <is>
          <t>Venture Capital</t>
        </is>
      </c>
      <c r="Q141" s="25" t="inlineStr">
        <is>
          <t>www.deliveroo.co.uk</t>
        </is>
      </c>
      <c r="R141" s="26" t="n">
        <v>1000.0</v>
      </c>
      <c r="S141" s="27" t="inlineStr">
        <is>
          <t/>
        </is>
      </c>
      <c r="T141" s="28" t="inlineStr">
        <is>
          <t/>
        </is>
      </c>
      <c r="U141" s="29" t="n">
        <v>2012.0</v>
      </c>
      <c r="V141" s="30" t="inlineStr">
        <is>
          <t/>
        </is>
      </c>
      <c r="W141" s="31" t="inlineStr">
        <is>
          <t/>
        </is>
      </c>
      <c r="X141" s="32" t="inlineStr">
        <is>
          <t/>
        </is>
      </c>
      <c r="Y141" s="33" t="n">
        <v>153.9941</v>
      </c>
      <c r="Z141" s="34" t="inlineStr">
        <is>
          <t/>
        </is>
      </c>
      <c r="AA141" s="35" t="inlineStr">
        <is>
          <t/>
        </is>
      </c>
      <c r="AB141" s="36" t="inlineStr">
        <is>
          <t/>
        </is>
      </c>
      <c r="AC141" s="37" t="inlineStr">
        <is>
          <t/>
        </is>
      </c>
      <c r="AD141" s="38" t="inlineStr">
        <is>
          <t>FY 2016</t>
        </is>
      </c>
      <c r="AE141" s="39" t="inlineStr">
        <is>
          <t>70955-29P</t>
        </is>
      </c>
      <c r="AF141" s="40" t="inlineStr">
        <is>
          <t>William Shu</t>
        </is>
      </c>
      <c r="AG141" s="41" t="inlineStr">
        <is>
          <t>Co-Founder, Board Member and Chief Executive Officer</t>
        </is>
      </c>
      <c r="AH141" s="42" t="inlineStr">
        <is>
          <t>william.shu@deliveroo.co.uk</t>
        </is>
      </c>
      <c r="AI141" s="43" t="inlineStr">
        <is>
          <t>+44 (0)20 3322 3444</t>
        </is>
      </c>
      <c r="AJ141" s="44" t="inlineStr">
        <is>
          <t>London, United Kingdom</t>
        </is>
      </c>
      <c r="AK141" s="45" t="inlineStr">
        <is>
          <t>22-24 Torrington Place</t>
        </is>
      </c>
      <c r="AL141" s="46" t="inlineStr">
        <is>
          <t/>
        </is>
      </c>
      <c r="AM141" s="47" t="inlineStr">
        <is>
          <t>London</t>
        </is>
      </c>
      <c r="AN141" s="48" t="inlineStr">
        <is>
          <t>England</t>
        </is>
      </c>
      <c r="AO141" s="49" t="inlineStr">
        <is>
          <t>WC1E 7HJ</t>
        </is>
      </c>
      <c r="AP141" s="50" t="inlineStr">
        <is>
          <t>United Kingdom</t>
        </is>
      </c>
      <c r="AQ141" s="51" t="inlineStr">
        <is>
          <t>+44 (0)20 3322 3444</t>
        </is>
      </c>
      <c r="AR141" s="52" t="inlineStr">
        <is>
          <t/>
        </is>
      </c>
      <c r="AS141" s="53" t="inlineStr">
        <is>
          <t>info@deliveroo.co.uk</t>
        </is>
      </c>
      <c r="AT141" s="54" t="inlineStr">
        <is>
          <t>Europe</t>
        </is>
      </c>
      <c r="AU141" s="55" t="inlineStr">
        <is>
          <t>Western Europe</t>
        </is>
      </c>
      <c r="AV141" s="56" t="inlineStr">
        <is>
          <t>The company is rumored to be in talks with SoftBank Vision Fund to raise about $275 million of venture funding as of July 1, 2017, putting the company's post-money valuation at around $1.5 billion. Previously, the company raised GBP 209.5 million of Series E venture funding in a deal led by Bridgepoint on August 5, 2016, putting the pre-money valuation at GBP 508 million. DST Global, Swordfish Investments, General Catalyst, Entrée Capital, Nokia Growth Partners, Felix Capital, Toba Capital, GR Capital and Greenoaks Capital also participated. The new funds will be used to expand the service in both new and existing markets as well as provide further investment in projects such as RooBox, a pioneering remote kitchen initiative. The company till date has raised $475 million.</t>
        </is>
      </c>
      <c r="AW141" s="57" t="inlineStr">
        <is>
          <t>Accel, Bridgepoint, DST Global, Entrée Capital, Felix Capital, General Catalyst Partners, GR Capital, Greenoaks Capital, Hoxton Ventures, Hummingbird Ventures, Index Ventures (UK), JamJar Investments, Khaled Helioui, Man Capital, Nokia Growth Partners, Swordfish Investments, Toba Capital</t>
        </is>
      </c>
      <c r="AX141" s="58" t="n">
        <v>17.0</v>
      </c>
      <c r="AY141" s="59" t="inlineStr">
        <is>
          <t/>
        </is>
      </c>
      <c r="AZ141" s="60" t="inlineStr">
        <is>
          <t/>
        </is>
      </c>
      <c r="BA141" s="61" t="inlineStr">
        <is>
          <t/>
        </is>
      </c>
      <c r="BB141" s="62" t="inlineStr">
        <is>
          <t>Accel (www.accel.com), Bridgepoint (www.bridgepoint.eu), DST Global (www.dst-global.com), Entrée Capital (www.entreecap.com), Felix Capital (www.felixcap.com), General Catalyst Partners (www.generalcatalyst.com), Greenoaks Capital (www.greenoakscap.com), Hoxton Ventures (www.hoxtonventures.com), Hummingbird Ventures (www.hummingbird.vc), Index Ventures (UK) (www.indexventures.com), JamJar Investments (www.jamjarinvestments.com), Man Capital (www.man-capital.com), Nokia Growth Partners (www.nokiagrowthpartners.com), Swordfish Investments (www.swordfishinvestments.com), Toba Capital (www.tobacapital.com)</t>
        </is>
      </c>
      <c r="BC141" s="63" t="inlineStr">
        <is>
          <t/>
        </is>
      </c>
      <c r="BD141" s="64" t="inlineStr">
        <is>
          <t/>
        </is>
      </c>
      <c r="BE141" s="65" t="inlineStr">
        <is>
          <t>PwC (Auditor), Melot Accounting (Accounting), Renaissance Leadership (Consulting), Future Fifty (Consulting), Kandidate (Consulting), Daversa Partners (Consulting), Founders Keepers (Consulting)</t>
        </is>
      </c>
      <c r="BF141" s="66" t="inlineStr">
        <is>
          <t>Melot Accounting (Auditor)</t>
        </is>
      </c>
      <c r="BG141" s="67" t="n">
        <v>41816.0</v>
      </c>
      <c r="BH141" s="68" t="n">
        <v>3.42</v>
      </c>
      <c r="BI141" s="69" t="inlineStr">
        <is>
          <t>Actual</t>
        </is>
      </c>
      <c r="BJ141" s="70" t="n">
        <v>14.6</v>
      </c>
      <c r="BK141" s="71" t="inlineStr">
        <is>
          <t>Actual</t>
        </is>
      </c>
      <c r="BL141" s="72" t="inlineStr">
        <is>
          <t>Early Stage VC</t>
        </is>
      </c>
      <c r="BM141" s="73" t="inlineStr">
        <is>
          <t>Series A</t>
        </is>
      </c>
      <c r="BN141" s="74" t="inlineStr">
        <is>
          <t/>
        </is>
      </c>
      <c r="BO141" s="75" t="inlineStr">
        <is>
          <t>Venture Capital</t>
        </is>
      </c>
      <c r="BP141" s="76" t="inlineStr">
        <is>
          <t/>
        </is>
      </c>
      <c r="BQ141" s="77" t="inlineStr">
        <is>
          <t/>
        </is>
      </c>
      <c r="BR141" s="78" t="inlineStr">
        <is>
          <t/>
        </is>
      </c>
      <c r="BS141" s="79" t="inlineStr">
        <is>
          <t>Completed</t>
        </is>
      </c>
      <c r="BT141" s="80" t="inlineStr">
        <is>
          <t/>
        </is>
      </c>
      <c r="BU141" s="81" t="n">
        <v>232.81</v>
      </c>
      <c r="BV141" s="82" t="inlineStr">
        <is>
          <t>Estimated</t>
        </is>
      </c>
      <c r="BW141" s="83" t="n">
        <v>1269.87</v>
      </c>
      <c r="BX141" s="84" t="inlineStr">
        <is>
          <t>Estimated</t>
        </is>
      </c>
      <c r="BY141" s="85" t="inlineStr">
        <is>
          <t>Later Stage VC</t>
        </is>
      </c>
      <c r="BZ141" s="86" t="inlineStr">
        <is>
          <t/>
        </is>
      </c>
      <c r="CA141" s="87" t="inlineStr">
        <is>
          <t/>
        </is>
      </c>
      <c r="CB141" s="88" t="inlineStr">
        <is>
          <t>Venture Capital</t>
        </is>
      </c>
      <c r="CC141" s="89" t="inlineStr">
        <is>
          <t/>
        </is>
      </c>
      <c r="CD141" s="90" t="inlineStr">
        <is>
          <t/>
        </is>
      </c>
      <c r="CE141" s="91" t="inlineStr">
        <is>
          <t/>
        </is>
      </c>
      <c r="CF141" s="92" t="inlineStr">
        <is>
          <t>Upcoming</t>
        </is>
      </c>
      <c r="CG141" s="93" t="inlineStr">
        <is>
          <t>2,87%</t>
        </is>
      </c>
      <c r="CH141" s="94" t="inlineStr">
        <is>
          <t>95</t>
        </is>
      </c>
      <c r="CI141" s="95" t="inlineStr">
        <is>
          <t>-0,25%</t>
        </is>
      </c>
      <c r="CJ141" s="96" t="inlineStr">
        <is>
          <t>-8,15%</t>
        </is>
      </c>
      <c r="CK141" s="97" t="inlineStr">
        <is>
          <t>-0,03%</t>
        </is>
      </c>
      <c r="CL141" s="98" t="inlineStr">
        <is>
          <t>18</t>
        </is>
      </c>
      <c r="CM141" s="99" t="inlineStr">
        <is>
          <t>0,65%</t>
        </is>
      </c>
      <c r="CN141" s="100" t="inlineStr">
        <is>
          <t>93</t>
        </is>
      </c>
      <c r="CO141" s="101" t="inlineStr">
        <is>
          <t>-0,02%</t>
        </is>
      </c>
      <c r="CP141" s="102" t="inlineStr">
        <is>
          <t>26</t>
        </is>
      </c>
      <c r="CQ141" s="103" t="inlineStr">
        <is>
          <t>-0,04%</t>
        </is>
      </c>
      <c r="CR141" s="104" t="inlineStr">
        <is>
          <t>13</t>
        </is>
      </c>
      <c r="CS141" s="105" t="inlineStr">
        <is>
          <t>1,15%</t>
        </is>
      </c>
      <c r="CT141" s="106" t="inlineStr">
        <is>
          <t>95</t>
        </is>
      </c>
      <c r="CU141" s="107" t="inlineStr">
        <is>
          <t>0,15%</t>
        </is>
      </c>
      <c r="CV141" s="108" t="inlineStr">
        <is>
          <t>73</t>
        </is>
      </c>
      <c r="CW141" s="109" t="inlineStr">
        <is>
          <t>393,10x</t>
        </is>
      </c>
      <c r="CX141" s="110" t="inlineStr">
        <is>
          <t>100</t>
        </is>
      </c>
      <c r="CY141" s="111" t="inlineStr">
        <is>
          <t>7,10x</t>
        </is>
      </c>
      <c r="CZ141" s="112" t="inlineStr">
        <is>
          <t>1,84%</t>
        </is>
      </c>
      <c r="DA141" s="113" t="inlineStr">
        <is>
          <t>643,72x</t>
        </is>
      </c>
      <c r="DB141" s="114" t="inlineStr">
        <is>
          <t>100</t>
        </is>
      </c>
      <c r="DC141" s="115" t="inlineStr">
        <is>
          <t>401,16x</t>
        </is>
      </c>
      <c r="DD141" s="116" t="inlineStr">
        <is>
          <t>99</t>
        </is>
      </c>
      <c r="DE141" s="117" t="inlineStr">
        <is>
          <t>1.279,55x</t>
        </is>
      </c>
      <c r="DF141" s="118" t="inlineStr">
        <is>
          <t>100</t>
        </is>
      </c>
      <c r="DG141" s="119" t="inlineStr">
        <is>
          <t>7,89x</t>
        </is>
      </c>
      <c r="DH141" s="120" t="inlineStr">
        <is>
          <t>83</t>
        </is>
      </c>
      <c r="DI141" s="121" t="inlineStr">
        <is>
          <t>667,47x</t>
        </is>
      </c>
      <c r="DJ141" s="122" t="inlineStr">
        <is>
          <t>99</t>
        </is>
      </c>
      <c r="DK141" s="123" t="inlineStr">
        <is>
          <t>134,85x</t>
        </is>
      </c>
      <c r="DL141" s="124" t="inlineStr">
        <is>
          <t>98</t>
        </is>
      </c>
      <c r="DM141" s="125" t="inlineStr">
        <is>
          <t>793.273</t>
        </is>
      </c>
      <c r="DN141" s="126" t="inlineStr">
        <is>
          <t>-19.048</t>
        </is>
      </c>
      <c r="DO141" s="127" t="inlineStr">
        <is>
          <t>-2,34%</t>
        </is>
      </c>
      <c r="DP141" s="128" t="inlineStr">
        <is>
          <t>530.242</t>
        </is>
      </c>
      <c r="DQ141" s="129" t="inlineStr">
        <is>
          <t>7.593</t>
        </is>
      </c>
      <c r="DR141" s="130" t="inlineStr">
        <is>
          <t>1,45%</t>
        </is>
      </c>
      <c r="DS141" s="131" t="inlineStr">
        <is>
          <t>285</t>
        </is>
      </c>
      <c r="DT141" s="132" t="inlineStr">
        <is>
          <t>-3</t>
        </is>
      </c>
      <c r="DU141" s="133" t="inlineStr">
        <is>
          <t>-1,04%</t>
        </is>
      </c>
      <c r="DV141" s="134" t="inlineStr">
        <is>
          <t>46.227</t>
        </is>
      </c>
      <c r="DW141" s="135" t="inlineStr">
        <is>
          <t>39</t>
        </is>
      </c>
      <c r="DX141" s="136" t="inlineStr">
        <is>
          <t>0,08%</t>
        </is>
      </c>
      <c r="DY141" s="137" t="inlineStr">
        <is>
          <t>PitchBook Research</t>
        </is>
      </c>
      <c r="DZ141" s="785">
        <f>HYPERLINK("https://my.pitchbook.com?c=64334-26", "View company online")</f>
      </c>
    </row>
    <row r="142">
      <c r="A142" s="139" t="inlineStr">
        <is>
          <t>107686-63</t>
        </is>
      </c>
      <c r="B142" s="140" t="inlineStr">
        <is>
          <t>Dial Square 86</t>
        </is>
      </c>
      <c r="C142" s="141" t="inlineStr">
        <is>
          <t>NEWINCCO 1263</t>
        </is>
      </c>
      <c r="D142" s="142" t="inlineStr">
        <is>
          <t>TRX</t>
        </is>
      </c>
      <c r="E142" s="143" t="inlineStr">
        <is>
          <t>107686-63</t>
        </is>
      </c>
      <c r="F142" s="144" t="inlineStr">
        <is>
          <t>Developer of a B2B online deal-making marketplace designed to make TV rights deals easier. The company's B2B online deal-making marketplace enables TV program buyers to search for content, get instant rights availability and make offers for program rights all online, connecting TV rights buyers and sellers at one place, to make deals quicker and easier.</t>
        </is>
      </c>
      <c r="G142" s="145" t="inlineStr">
        <is>
          <t>Business Products and Services (B2B)</t>
        </is>
      </c>
      <c r="H142" s="146" t="inlineStr">
        <is>
          <t>Commercial Services</t>
        </is>
      </c>
      <c r="I142" s="147" t="inlineStr">
        <is>
          <t>Media and Information Services (B2B)</t>
        </is>
      </c>
      <c r="J142" s="148" t="inlineStr">
        <is>
          <t>Media and Information Services (B2B)*; Application Software</t>
        </is>
      </c>
      <c r="K142" s="149" t="inlineStr">
        <is>
          <t>SaaS</t>
        </is>
      </c>
      <c r="L142" s="150" t="inlineStr">
        <is>
          <t>Venture Capital-Backed</t>
        </is>
      </c>
      <c r="M142" s="151" t="n">
        <v>7.18</v>
      </c>
      <c r="N142" s="152" t="inlineStr">
        <is>
          <t>Generating Revenue</t>
        </is>
      </c>
      <c r="O142" s="153" t="inlineStr">
        <is>
          <t>Privately Held (backing)</t>
        </is>
      </c>
      <c r="P142" s="154" t="inlineStr">
        <is>
          <t>Venture Capital</t>
        </is>
      </c>
      <c r="Q142" s="155" t="inlineStr">
        <is>
          <t>www.dialsquare86.com</t>
        </is>
      </c>
      <c r="R142" s="156" t="inlineStr">
        <is>
          <t/>
        </is>
      </c>
      <c r="S142" s="157" t="inlineStr">
        <is>
          <t/>
        </is>
      </c>
      <c r="T142" s="158" t="inlineStr">
        <is>
          <t/>
        </is>
      </c>
      <c r="U142" s="159" t="n">
        <v>2013.0</v>
      </c>
      <c r="V142" s="160" t="inlineStr">
        <is>
          <t/>
        </is>
      </c>
      <c r="W142" s="161" t="inlineStr">
        <is>
          <t/>
        </is>
      </c>
      <c r="X142" s="162" t="inlineStr">
        <is>
          <t/>
        </is>
      </c>
      <c r="Y142" s="163" t="inlineStr">
        <is>
          <t/>
        </is>
      </c>
      <c r="Z142" s="164" t="inlineStr">
        <is>
          <t/>
        </is>
      </c>
      <c r="AA142" s="165" t="inlineStr">
        <is>
          <t/>
        </is>
      </c>
      <c r="AB142" s="166" t="inlineStr">
        <is>
          <t/>
        </is>
      </c>
      <c r="AC142" s="167" t="inlineStr">
        <is>
          <t/>
        </is>
      </c>
      <c r="AD142" s="168" t="inlineStr">
        <is>
          <t/>
        </is>
      </c>
      <c r="AE142" s="169" t="inlineStr">
        <is>
          <t>92042-65P</t>
        </is>
      </c>
      <c r="AF142" s="170" t="inlineStr">
        <is>
          <t>David Frank</t>
        </is>
      </c>
      <c r="AG142" s="171" t="inlineStr">
        <is>
          <t>Co-Founder &amp; Executive Chairman</t>
        </is>
      </c>
      <c r="AH142" s="172" t="inlineStr">
        <is>
          <t>david.frank@trx.tv</t>
        </is>
      </c>
      <c r="AI142" s="173" t="inlineStr">
        <is>
          <t>+44 (0)20 7257 9550</t>
        </is>
      </c>
      <c r="AJ142" s="174" t="inlineStr">
        <is>
          <t>London, United Kingdom</t>
        </is>
      </c>
      <c r="AK142" s="175" t="inlineStr">
        <is>
          <t>Somerset House Strand</t>
        </is>
      </c>
      <c r="AL142" s="176" t="inlineStr">
        <is>
          <t/>
        </is>
      </c>
      <c r="AM142" s="177" t="inlineStr">
        <is>
          <t>London</t>
        </is>
      </c>
      <c r="AN142" s="178" t="inlineStr">
        <is>
          <t>England</t>
        </is>
      </c>
      <c r="AO142" s="179" t="inlineStr">
        <is>
          <t>WC2R 1LA</t>
        </is>
      </c>
      <c r="AP142" s="180" t="inlineStr">
        <is>
          <t>United Kingdom</t>
        </is>
      </c>
      <c r="AQ142" s="181" t="inlineStr">
        <is>
          <t>+44 (0)20 7257 9550</t>
        </is>
      </c>
      <c r="AR142" s="182" t="inlineStr">
        <is>
          <t/>
        </is>
      </c>
      <c r="AS142" s="183" t="inlineStr">
        <is>
          <t>contact@trx.tv</t>
        </is>
      </c>
      <c r="AT142" s="184" t="inlineStr">
        <is>
          <t>Europe</t>
        </is>
      </c>
      <c r="AU142" s="185" t="inlineStr">
        <is>
          <t>Western Europe</t>
        </is>
      </c>
      <c r="AV142" s="186" t="inlineStr">
        <is>
          <t>The company raised GBP 1 million of venture funding from Sky Startup Investments &amp; Partnerships and other undisclosed angel investors on August 22, 2017. The company has raised GBP 10 million in total funding to date. The investment will help drive its global roll out in autumn 2017.</t>
        </is>
      </c>
      <c r="AW142" s="187" t="inlineStr">
        <is>
          <t>Channel Four Television, Rooks Nest Ventures, Sky Startup Investments &amp; Partnerships</t>
        </is>
      </c>
      <c r="AX142" s="188" t="n">
        <v>3.0</v>
      </c>
      <c r="AY142" s="189" t="inlineStr">
        <is>
          <t/>
        </is>
      </c>
      <c r="AZ142" s="190" t="inlineStr">
        <is>
          <t/>
        </is>
      </c>
      <c r="BA142" s="191" t="inlineStr">
        <is>
          <t/>
        </is>
      </c>
      <c r="BB142" s="192" t="inlineStr">
        <is>
          <t>Channel Four Television (www.channel4.com), Rooks Nest Ventures (www.rooksnestventures.com), Sky Startup Investments &amp; Partnerships (www.startups.sky.com)</t>
        </is>
      </c>
      <c r="BC142" s="193" t="inlineStr">
        <is>
          <t/>
        </is>
      </c>
      <c r="BD142" s="194" t="inlineStr">
        <is>
          <t/>
        </is>
      </c>
      <c r="BE142" s="195" t="inlineStr">
        <is>
          <t>Olswang (Legal Advisor)</t>
        </is>
      </c>
      <c r="BF142" s="196" t="inlineStr">
        <is>
          <t>Olswang (Legal Advisor)</t>
        </is>
      </c>
      <c r="BG142" s="197" t="inlineStr">
        <is>
          <t/>
        </is>
      </c>
      <c r="BH142" s="198" t="inlineStr">
        <is>
          <t/>
        </is>
      </c>
      <c r="BI142" s="199" t="inlineStr">
        <is>
          <t/>
        </is>
      </c>
      <c r="BJ142" s="200" t="inlineStr">
        <is>
          <t/>
        </is>
      </c>
      <c r="BK142" s="201" t="inlineStr">
        <is>
          <t/>
        </is>
      </c>
      <c r="BL142" s="202" t="inlineStr">
        <is>
          <t>Angel (individual)</t>
        </is>
      </c>
      <c r="BM142" s="203" t="inlineStr">
        <is>
          <t>Angel</t>
        </is>
      </c>
      <c r="BN142" s="204" t="inlineStr">
        <is>
          <t/>
        </is>
      </c>
      <c r="BO142" s="205" t="inlineStr">
        <is>
          <t>Individual</t>
        </is>
      </c>
      <c r="BP142" s="206" t="inlineStr">
        <is>
          <t/>
        </is>
      </c>
      <c r="BQ142" s="207" t="inlineStr">
        <is>
          <t/>
        </is>
      </c>
      <c r="BR142" s="208" t="inlineStr">
        <is>
          <t/>
        </is>
      </c>
      <c r="BS142" s="209" t="inlineStr">
        <is>
          <t>Completed</t>
        </is>
      </c>
      <c r="BT142" s="210" t="n">
        <v>42969.0</v>
      </c>
      <c r="BU142" s="211" t="n">
        <v>1.1</v>
      </c>
      <c r="BV142" s="212" t="inlineStr">
        <is>
          <t>Actual</t>
        </is>
      </c>
      <c r="BW142" s="213" t="inlineStr">
        <is>
          <t/>
        </is>
      </c>
      <c r="BX142" s="214" t="inlineStr">
        <is>
          <t/>
        </is>
      </c>
      <c r="BY142" s="215" t="inlineStr">
        <is>
          <t>Early Stage VC</t>
        </is>
      </c>
      <c r="BZ142" s="216" t="inlineStr">
        <is>
          <t/>
        </is>
      </c>
      <c r="CA142" s="217" t="inlineStr">
        <is>
          <t/>
        </is>
      </c>
      <c r="CB142" s="218" t="inlineStr">
        <is>
          <t>Venture Capital</t>
        </is>
      </c>
      <c r="CC142" s="219" t="inlineStr">
        <is>
          <t/>
        </is>
      </c>
      <c r="CD142" s="220" t="inlineStr">
        <is>
          <t/>
        </is>
      </c>
      <c r="CE142" s="221" t="inlineStr">
        <is>
          <t/>
        </is>
      </c>
      <c r="CF142" s="222" t="inlineStr">
        <is>
          <t>Completed</t>
        </is>
      </c>
      <c r="CG142" s="223" t="inlineStr">
        <is>
          <t>0,00%</t>
        </is>
      </c>
      <c r="CH142" s="224" t="inlineStr">
        <is>
          <t>23</t>
        </is>
      </c>
      <c r="CI142" s="225" t="inlineStr">
        <is>
          <t>-0,04%</t>
        </is>
      </c>
      <c r="CJ142" s="226" t="inlineStr">
        <is>
          <t>-98,30%</t>
        </is>
      </c>
      <c r="CK142" s="227" t="inlineStr">
        <is>
          <t/>
        </is>
      </c>
      <c r="CL142" s="228" t="inlineStr">
        <is>
          <t/>
        </is>
      </c>
      <c r="CM142" s="229" t="inlineStr">
        <is>
          <t>0,00%</t>
        </is>
      </c>
      <c r="CN142" s="230" t="inlineStr">
        <is>
          <t>19</t>
        </is>
      </c>
      <c r="CO142" s="231" t="inlineStr">
        <is>
          <t/>
        </is>
      </c>
      <c r="CP142" s="232" t="inlineStr">
        <is>
          <t/>
        </is>
      </c>
      <c r="CQ142" s="233" t="inlineStr">
        <is>
          <t/>
        </is>
      </c>
      <c r="CR142" s="234" t="inlineStr">
        <is>
          <t/>
        </is>
      </c>
      <c r="CS142" s="235" t="inlineStr">
        <is>
          <t>0,00%</t>
        </is>
      </c>
      <c r="CT142" s="236" t="inlineStr">
        <is>
          <t>18</t>
        </is>
      </c>
      <c r="CU142" s="237" t="inlineStr">
        <is>
          <t>0,00%</t>
        </is>
      </c>
      <c r="CV142" s="238" t="inlineStr">
        <is>
          <t>20</t>
        </is>
      </c>
      <c r="CW142" s="239" t="inlineStr">
        <is>
          <t>0,25x</t>
        </is>
      </c>
      <c r="CX142" s="240" t="inlineStr">
        <is>
          <t>20</t>
        </is>
      </c>
      <c r="CY142" s="241" t="inlineStr">
        <is>
          <t>0,00x</t>
        </is>
      </c>
      <c r="CZ142" s="242" t="inlineStr">
        <is>
          <t>2,04%</t>
        </is>
      </c>
      <c r="DA142" s="243" t="inlineStr">
        <is>
          <t/>
        </is>
      </c>
      <c r="DB142" s="244" t="inlineStr">
        <is>
          <t/>
        </is>
      </c>
      <c r="DC142" s="245" t="inlineStr">
        <is>
          <t>0,25x</t>
        </is>
      </c>
      <c r="DD142" s="246" t="inlineStr">
        <is>
          <t>25</t>
        </is>
      </c>
      <c r="DE142" s="247" t="inlineStr">
        <is>
          <t/>
        </is>
      </c>
      <c r="DF142" s="248" t="inlineStr">
        <is>
          <t/>
        </is>
      </c>
      <c r="DG142" s="249" t="inlineStr">
        <is>
          <t/>
        </is>
      </c>
      <c r="DH142" s="250" t="inlineStr">
        <is>
          <t/>
        </is>
      </c>
      <c r="DI142" s="251" t="inlineStr">
        <is>
          <t>0,00x</t>
        </is>
      </c>
      <c r="DJ142" s="252" t="inlineStr">
        <is>
          <t>1</t>
        </is>
      </c>
      <c r="DK142" s="253" t="inlineStr">
        <is>
          <t>0,50x</t>
        </is>
      </c>
      <c r="DL142" s="254" t="inlineStr">
        <is>
          <t>39</t>
        </is>
      </c>
      <c r="DM142" s="255" t="inlineStr">
        <is>
          <t/>
        </is>
      </c>
      <c r="DN142" s="256" t="inlineStr">
        <is>
          <t/>
        </is>
      </c>
      <c r="DO142" s="257" t="inlineStr">
        <is>
          <t/>
        </is>
      </c>
      <c r="DP142" s="258" t="inlineStr">
        <is>
          <t>1</t>
        </is>
      </c>
      <c r="DQ142" s="259" t="inlineStr">
        <is>
          <t>0</t>
        </is>
      </c>
      <c r="DR142" s="260" t="inlineStr">
        <is>
          <t>0,00%</t>
        </is>
      </c>
      <c r="DS142" s="261" t="inlineStr">
        <is>
          <t/>
        </is>
      </c>
      <c r="DT142" s="262" t="inlineStr">
        <is>
          <t/>
        </is>
      </c>
      <c r="DU142" s="263" t="inlineStr">
        <is>
          <t/>
        </is>
      </c>
      <c r="DV142" s="264" t="inlineStr">
        <is>
          <t>171</t>
        </is>
      </c>
      <c r="DW142" s="265" t="inlineStr">
        <is>
          <t>0</t>
        </is>
      </c>
      <c r="DX142" s="266" t="inlineStr">
        <is>
          <t>0,00%</t>
        </is>
      </c>
      <c r="DY142" s="267" t="inlineStr">
        <is>
          <t>PitchBook Research</t>
        </is>
      </c>
      <c r="DZ142" s="786">
        <f>HYPERLINK("https://my.pitchbook.com?c=107686-63", "View company online")</f>
      </c>
    </row>
    <row r="143">
      <c r="A143" s="9" t="inlineStr">
        <is>
          <t>97614-73</t>
        </is>
      </c>
      <c r="B143" s="10" t="inlineStr">
        <is>
          <t>Dice (Ticket Booking)</t>
        </is>
      </c>
      <c r="C143" s="11" t="inlineStr">
        <is>
          <t>Dice Trading</t>
        </is>
      </c>
      <c r="D143" s="12" t="inlineStr">
        <is>
          <t/>
        </is>
      </c>
      <c r="E143" s="13" t="inlineStr">
        <is>
          <t>97614-73</t>
        </is>
      </c>
      <c r="F143" s="14" t="inlineStr">
        <is>
          <t>Provider of an online ticket booking platform. The company offers tickets with no booking fees, through its mobile application. It covers the London music scene and develops a curated list of offerings.</t>
        </is>
      </c>
      <c r="G143" s="15" t="inlineStr">
        <is>
          <t>Consumer Products and Services (B2C)</t>
        </is>
      </c>
      <c r="H143" s="16" t="inlineStr">
        <is>
          <t>Retail</t>
        </is>
      </c>
      <c r="I143" s="17" t="inlineStr">
        <is>
          <t>Internet Retail</t>
        </is>
      </c>
      <c r="J143" s="18" t="inlineStr">
        <is>
          <t>Internet Retail*; Social/Platform Software</t>
        </is>
      </c>
      <c r="K143" s="19" t="inlineStr">
        <is>
          <t>Mobile, SaaS</t>
        </is>
      </c>
      <c r="L143" s="20" t="inlineStr">
        <is>
          <t>Venture Capital-Backed</t>
        </is>
      </c>
      <c r="M143" s="21" t="n">
        <v>8.54</v>
      </c>
      <c r="N143" s="22" t="inlineStr">
        <is>
          <t>Generating Revenue</t>
        </is>
      </c>
      <c r="O143" s="23" t="inlineStr">
        <is>
          <t>Privately Held (backing)</t>
        </is>
      </c>
      <c r="P143" s="24" t="inlineStr">
        <is>
          <t>Venture Capital</t>
        </is>
      </c>
      <c r="Q143" s="25" t="inlineStr">
        <is>
          <t>www.dice.fm</t>
        </is>
      </c>
      <c r="R143" s="26" t="n">
        <v>42.0</v>
      </c>
      <c r="S143" s="27" t="inlineStr">
        <is>
          <t/>
        </is>
      </c>
      <c r="T143" s="28" t="inlineStr">
        <is>
          <t/>
        </is>
      </c>
      <c r="U143" s="29" t="n">
        <v>2013.0</v>
      </c>
      <c r="V143" s="30" t="inlineStr">
        <is>
          <t/>
        </is>
      </c>
      <c r="W143" s="31" t="inlineStr">
        <is>
          <t/>
        </is>
      </c>
      <c r="X143" s="32" t="inlineStr">
        <is>
          <t/>
        </is>
      </c>
      <c r="Y143" s="33" t="inlineStr">
        <is>
          <t/>
        </is>
      </c>
      <c r="Z143" s="34" t="inlineStr">
        <is>
          <t/>
        </is>
      </c>
      <c r="AA143" s="35" t="inlineStr">
        <is>
          <t/>
        </is>
      </c>
      <c r="AB143" s="36" t="inlineStr">
        <is>
          <t/>
        </is>
      </c>
      <c r="AC143" s="37" t="inlineStr">
        <is>
          <t/>
        </is>
      </c>
      <c r="AD143" s="38" t="inlineStr">
        <is>
          <t/>
        </is>
      </c>
      <c r="AE143" s="39" t="inlineStr">
        <is>
          <t>79518-34P</t>
        </is>
      </c>
      <c r="AF143" s="40" t="inlineStr">
        <is>
          <t>John Sinclair</t>
        </is>
      </c>
      <c r="AG143" s="41" t="inlineStr">
        <is>
          <t>Co-Founder, Board Member and Head, Products/Services</t>
        </is>
      </c>
      <c r="AH143" s="42" t="inlineStr">
        <is>
          <t>sinx@ustwo.com</t>
        </is>
      </c>
      <c r="AI143" s="43" t="inlineStr">
        <is>
          <t>+44 (0)20 7613 0433</t>
        </is>
      </c>
      <c r="AJ143" s="44" t="inlineStr">
        <is>
          <t>London, United Kingdom</t>
        </is>
      </c>
      <c r="AK143" s="45" t="inlineStr">
        <is>
          <t>The Brew 203</t>
        </is>
      </c>
      <c r="AL143" s="46" t="inlineStr">
        <is>
          <t>116 Commercial Street</t>
        </is>
      </c>
      <c r="AM143" s="47" t="inlineStr">
        <is>
          <t>London</t>
        </is>
      </c>
      <c r="AN143" s="48" t="inlineStr">
        <is>
          <t>England</t>
        </is>
      </c>
      <c r="AO143" s="49" t="inlineStr">
        <is>
          <t>E1 6NF</t>
        </is>
      </c>
      <c r="AP143" s="50" t="inlineStr">
        <is>
          <t>United Kingdom</t>
        </is>
      </c>
      <c r="AQ143" s="51" t="inlineStr">
        <is>
          <t>+44 (0)15 6738 0000</t>
        </is>
      </c>
      <c r="AR143" s="52" t="inlineStr">
        <is>
          <t/>
        </is>
      </c>
      <c r="AS143" s="53" t="inlineStr">
        <is>
          <t>help@dice.fm</t>
        </is>
      </c>
      <c r="AT143" s="54" t="inlineStr">
        <is>
          <t>Europe</t>
        </is>
      </c>
      <c r="AU143" s="55" t="inlineStr">
        <is>
          <t>Western Europe</t>
        </is>
      </c>
      <c r="AV143" s="56" t="inlineStr">
        <is>
          <t>The company raised $6 million of Series A funding in a deal led by Evolution Equity Partners in June 2016. White Star Capital, Designer Fund, Lumia Capital, Kima Ventures and other undisclosed angel investors also participated in the round. The company will use the fund to expand across Europe and North America and to continue developing its tech platform. Previously, it raised $2.1 million of seed funding from undisclosed investors on August 1, 2015. It has raised $10 million to date.</t>
        </is>
      </c>
      <c r="AW143" s="57" t="inlineStr">
        <is>
          <t>Andrew Bredon, Andy McLoughlin, Angus Baskerville, Awy Julianto, Bob Angus, David Enthoven, Demis Hassabis, Designer Fund, Duncan Jennings, Evolution Equity Partners, Individual Investor, Karen Hanton, Kima Ventures, Lumia Capital, Mustafa Suleyman, Tim Clarke, White Star Capital</t>
        </is>
      </c>
      <c r="AX143" s="58" t="n">
        <v>17.0</v>
      </c>
      <c r="AY143" s="59" t="inlineStr">
        <is>
          <t/>
        </is>
      </c>
      <c r="AZ143" s="60" t="inlineStr">
        <is>
          <t/>
        </is>
      </c>
      <c r="BA143" s="61" t="inlineStr">
        <is>
          <t/>
        </is>
      </c>
      <c r="BB143" s="62" t="inlineStr">
        <is>
          <t>Andy McLoughlin (www.andymcloughlin.co), Designer Fund (www.designerfund.com), Evolution Equity Partners (www.evolutionequity.com), Kima Ventures (www.kimaventures.com), Lumia Capital (www.lumiacapital.com), White Star Capital (www.whitestarvc.com)</t>
        </is>
      </c>
      <c r="BC143" s="63" t="inlineStr">
        <is>
          <t/>
        </is>
      </c>
      <c r="BD143" s="64" t="inlineStr">
        <is>
          <t/>
        </is>
      </c>
      <c r="BE143" s="65" t="inlineStr">
        <is>
          <t>KPMG (Accounting), Wragge Lawrence Graham &amp; Co (Legal Advisor)</t>
        </is>
      </c>
      <c r="BF143" s="66" t="inlineStr">
        <is>
          <t/>
        </is>
      </c>
      <c r="BG143" s="67" t="n">
        <v>41883.0</v>
      </c>
      <c r="BH143" s="68" t="n">
        <v>1.32</v>
      </c>
      <c r="BI143" s="69" t="inlineStr">
        <is>
          <t>Actual</t>
        </is>
      </c>
      <c r="BJ143" s="70" t="inlineStr">
        <is>
          <t/>
        </is>
      </c>
      <c r="BK143" s="71" t="inlineStr">
        <is>
          <t/>
        </is>
      </c>
      <c r="BL143" s="72" t="inlineStr">
        <is>
          <t>Seed Round</t>
        </is>
      </c>
      <c r="BM143" s="73" t="inlineStr">
        <is>
          <t>Seed</t>
        </is>
      </c>
      <c r="BN143" s="74" t="inlineStr">
        <is>
          <t/>
        </is>
      </c>
      <c r="BO143" s="75" t="inlineStr">
        <is>
          <t>Venture Capital</t>
        </is>
      </c>
      <c r="BP143" s="76" t="inlineStr">
        <is>
          <t/>
        </is>
      </c>
      <c r="BQ143" s="77" t="inlineStr">
        <is>
          <t/>
        </is>
      </c>
      <c r="BR143" s="78" t="inlineStr">
        <is>
          <t/>
        </is>
      </c>
      <c r="BS143" s="79" t="inlineStr">
        <is>
          <t>Completed</t>
        </is>
      </c>
      <c r="BT143" s="80" t="n">
        <v>42522.0</v>
      </c>
      <c r="BU143" s="81" t="n">
        <v>5.34</v>
      </c>
      <c r="BV143" s="82" t="inlineStr">
        <is>
          <t>Actual</t>
        </is>
      </c>
      <c r="BW143" s="83" t="inlineStr">
        <is>
          <t/>
        </is>
      </c>
      <c r="BX143" s="84" t="inlineStr">
        <is>
          <t/>
        </is>
      </c>
      <c r="BY143" s="85" t="inlineStr">
        <is>
          <t>Early Stage VC</t>
        </is>
      </c>
      <c r="BZ143" s="86" t="inlineStr">
        <is>
          <t>Series A</t>
        </is>
      </c>
      <c r="CA143" s="87" t="inlineStr">
        <is>
          <t/>
        </is>
      </c>
      <c r="CB143" s="88" t="inlineStr">
        <is>
          <t>Venture Capital</t>
        </is>
      </c>
      <c r="CC143" s="89" t="inlineStr">
        <is>
          <t/>
        </is>
      </c>
      <c r="CD143" s="90" t="inlineStr">
        <is>
          <t/>
        </is>
      </c>
      <c r="CE143" s="91" t="inlineStr">
        <is>
          <t/>
        </is>
      </c>
      <c r="CF143" s="92" t="inlineStr">
        <is>
          <t>Completed</t>
        </is>
      </c>
      <c r="CG143" s="93" t="inlineStr">
        <is>
          <t>0,40%</t>
        </is>
      </c>
      <c r="CH143" s="94" t="inlineStr">
        <is>
          <t>82</t>
        </is>
      </c>
      <c r="CI143" s="95" t="inlineStr">
        <is>
          <t>-0,29%</t>
        </is>
      </c>
      <c r="CJ143" s="96" t="inlineStr">
        <is>
          <t>-42,62%</t>
        </is>
      </c>
      <c r="CK143" s="97" t="inlineStr">
        <is>
          <t>-0,49%</t>
        </is>
      </c>
      <c r="CL143" s="98" t="inlineStr">
        <is>
          <t>12</t>
        </is>
      </c>
      <c r="CM143" s="99" t="inlineStr">
        <is>
          <t>0,37%</t>
        </is>
      </c>
      <c r="CN143" s="100" t="inlineStr">
        <is>
          <t>85</t>
        </is>
      </c>
      <c r="CO143" s="101" t="inlineStr">
        <is>
          <t>-0,52%</t>
        </is>
      </c>
      <c r="CP143" s="102" t="inlineStr">
        <is>
          <t>23</t>
        </is>
      </c>
      <c r="CQ143" s="103" t="inlineStr">
        <is>
          <t>-0,47%</t>
        </is>
      </c>
      <c r="CR143" s="104" t="inlineStr">
        <is>
          <t>7</t>
        </is>
      </c>
      <c r="CS143" s="105" t="inlineStr">
        <is>
          <t>0,47%</t>
        </is>
      </c>
      <c r="CT143" s="106" t="inlineStr">
        <is>
          <t>86</t>
        </is>
      </c>
      <c r="CU143" s="107" t="inlineStr">
        <is>
          <t>0,27%</t>
        </is>
      </c>
      <c r="CV143" s="108" t="inlineStr">
        <is>
          <t>83</t>
        </is>
      </c>
      <c r="CW143" s="109" t="inlineStr">
        <is>
          <t>24,95x</t>
        </is>
      </c>
      <c r="CX143" s="110" t="inlineStr">
        <is>
          <t>93</t>
        </is>
      </c>
      <c r="CY143" s="111" t="inlineStr">
        <is>
          <t>0,23x</t>
        </is>
      </c>
      <c r="CZ143" s="112" t="inlineStr">
        <is>
          <t>0,94%</t>
        </is>
      </c>
      <c r="DA143" s="113" t="inlineStr">
        <is>
          <t>45,40x</t>
        </is>
      </c>
      <c r="DB143" s="114" t="inlineStr">
        <is>
          <t>96</t>
        </is>
      </c>
      <c r="DC143" s="115" t="inlineStr">
        <is>
          <t>28,83x</t>
        </is>
      </c>
      <c r="DD143" s="116" t="inlineStr">
        <is>
          <t>92</t>
        </is>
      </c>
      <c r="DE143" s="117" t="inlineStr">
        <is>
          <t>87,28x</t>
        </is>
      </c>
      <c r="DF143" s="118" t="inlineStr">
        <is>
          <t>95</t>
        </is>
      </c>
      <c r="DG143" s="119" t="inlineStr">
        <is>
          <t>3,53x</t>
        </is>
      </c>
      <c r="DH143" s="120" t="inlineStr">
        <is>
          <t>74</t>
        </is>
      </c>
      <c r="DI143" s="121" t="inlineStr">
        <is>
          <t>13,46x</t>
        </is>
      </c>
      <c r="DJ143" s="122" t="inlineStr">
        <is>
          <t>85</t>
        </is>
      </c>
      <c r="DK143" s="123" t="inlineStr">
        <is>
          <t>44,20x</t>
        </is>
      </c>
      <c r="DL143" s="124" t="inlineStr">
        <is>
          <t>96</t>
        </is>
      </c>
      <c r="DM143" s="125" t="inlineStr">
        <is>
          <t>53.791</t>
        </is>
      </c>
      <c r="DN143" s="126" t="inlineStr">
        <is>
          <t>-342</t>
        </is>
      </c>
      <c r="DO143" s="127" t="inlineStr">
        <is>
          <t>-0,63%</t>
        </is>
      </c>
      <c r="DP143" s="128" t="inlineStr">
        <is>
          <t>10.699</t>
        </is>
      </c>
      <c r="DQ143" s="129" t="inlineStr">
        <is>
          <t>72</t>
        </is>
      </c>
      <c r="DR143" s="130" t="inlineStr">
        <is>
          <t>0,68%</t>
        </is>
      </c>
      <c r="DS143" s="131" t="inlineStr">
        <is>
          <t>128</t>
        </is>
      </c>
      <c r="DT143" s="132" t="inlineStr">
        <is>
          <t>-4</t>
        </is>
      </c>
      <c r="DU143" s="133" t="inlineStr">
        <is>
          <t>-3,03%</t>
        </is>
      </c>
      <c r="DV143" s="134" t="inlineStr">
        <is>
          <t>15.153</t>
        </is>
      </c>
      <c r="DW143" s="135" t="inlineStr">
        <is>
          <t>30</t>
        </is>
      </c>
      <c r="DX143" s="136" t="inlineStr">
        <is>
          <t>0,20%</t>
        </is>
      </c>
      <c r="DY143" s="137" t="inlineStr">
        <is>
          <t>PitchBook Research</t>
        </is>
      </c>
      <c r="DZ143" s="785">
        <f>HYPERLINK("https://my.pitchbook.com?c=97614-73", "View company online")</f>
      </c>
    </row>
    <row r="144">
      <c r="A144" s="139" t="inlineStr">
        <is>
          <t>159937-57</t>
        </is>
      </c>
      <c r="B144" s="140" t="inlineStr">
        <is>
          <t>DiffBlue</t>
        </is>
      </c>
      <c r="C144" s="141" t="inlineStr">
        <is>
          <t/>
        </is>
      </c>
      <c r="D144" s="142" t="inlineStr">
        <is>
          <t/>
        </is>
      </c>
      <c r="E144" s="143" t="inlineStr">
        <is>
          <t>159937-57</t>
        </is>
      </c>
      <c r="F144" s="144" t="inlineStr">
        <is>
          <t>Developer of an automated testing software designed to improve code testing. The company's automated testing software finds and fixes exploits, refactors codes, as well as creates original codes to fit specifications, enabling clients to automatically generate human-readable tests for an existing code base.</t>
        </is>
      </c>
      <c r="G144" s="145" t="inlineStr">
        <is>
          <t>Information Technology</t>
        </is>
      </c>
      <c r="H144" s="146" t="inlineStr">
        <is>
          <t>Software</t>
        </is>
      </c>
      <c r="I144" s="147" t="inlineStr">
        <is>
          <t>Other Software</t>
        </is>
      </c>
      <c r="J144" s="148" t="inlineStr">
        <is>
          <t>Other Software*; Business/Productivity Software</t>
        </is>
      </c>
      <c r="K144" s="149" t="inlineStr">
        <is>
          <t/>
        </is>
      </c>
      <c r="L144" s="150" t="inlineStr">
        <is>
          <t>Venture Capital-Backed</t>
        </is>
      </c>
      <c r="M144" s="151" t="n">
        <v>21.97</v>
      </c>
      <c r="N144" s="152" t="inlineStr">
        <is>
          <t>Startup</t>
        </is>
      </c>
      <c r="O144" s="153" t="inlineStr">
        <is>
          <t>Privately Held (backing)</t>
        </is>
      </c>
      <c r="P144" s="154" t="inlineStr">
        <is>
          <t>Venture Capital</t>
        </is>
      </c>
      <c r="Q144" s="155" t="inlineStr">
        <is>
          <t>www.diffblue.com</t>
        </is>
      </c>
      <c r="R144" s="156" t="n">
        <v>2.0</v>
      </c>
      <c r="S144" s="157" t="inlineStr">
        <is>
          <t/>
        </is>
      </c>
      <c r="T144" s="158" t="inlineStr">
        <is>
          <t/>
        </is>
      </c>
      <c r="U144" s="159" t="n">
        <v>2016.0</v>
      </c>
      <c r="V144" s="160" t="inlineStr">
        <is>
          <t/>
        </is>
      </c>
      <c r="W144" s="161" t="inlineStr">
        <is>
          <t/>
        </is>
      </c>
      <c r="X144" s="162" t="inlineStr">
        <is>
          <t/>
        </is>
      </c>
      <c r="Y144" s="163" t="inlineStr">
        <is>
          <t/>
        </is>
      </c>
      <c r="Z144" s="164" t="inlineStr">
        <is>
          <t/>
        </is>
      </c>
      <c r="AA144" s="165" t="inlineStr">
        <is>
          <t/>
        </is>
      </c>
      <c r="AB144" s="166" t="inlineStr">
        <is>
          <t/>
        </is>
      </c>
      <c r="AC144" s="167" t="inlineStr">
        <is>
          <t/>
        </is>
      </c>
      <c r="AD144" s="168" t="inlineStr">
        <is>
          <t/>
        </is>
      </c>
      <c r="AE144" s="169" t="inlineStr">
        <is>
          <t>135922-87P</t>
        </is>
      </c>
      <c r="AF144" s="170" t="inlineStr">
        <is>
          <t>Daniel Heinrich Kroening</t>
        </is>
      </c>
      <c r="AG144" s="171" t="inlineStr">
        <is>
          <t>Co-Founder, Chief Executive Officer &amp; Board Member</t>
        </is>
      </c>
      <c r="AH144" s="172" t="inlineStr">
        <is>
          <t>kroening@diffblue.com</t>
        </is>
      </c>
      <c r="AI144" s="173" t="inlineStr">
        <is>
          <t/>
        </is>
      </c>
      <c r="AJ144" s="174" t="inlineStr">
        <is>
          <t>Oxford, United Kingdom</t>
        </is>
      </c>
      <c r="AK144" s="175" t="inlineStr">
        <is>
          <t>King Charles House</t>
        </is>
      </c>
      <c r="AL144" s="176" t="inlineStr">
        <is>
          <t>Park End Street, Oxfordshire</t>
        </is>
      </c>
      <c r="AM144" s="177" t="inlineStr">
        <is>
          <t>Oxford</t>
        </is>
      </c>
      <c r="AN144" s="178" t="inlineStr">
        <is>
          <t>England</t>
        </is>
      </c>
      <c r="AO144" s="179" t="inlineStr">
        <is>
          <t>OX1 1JD</t>
        </is>
      </c>
      <c r="AP144" s="180" t="inlineStr">
        <is>
          <t>United Kingdom</t>
        </is>
      </c>
      <c r="AQ144" s="181" t="inlineStr">
        <is>
          <t/>
        </is>
      </c>
      <c r="AR144" s="182" t="inlineStr">
        <is>
          <t/>
        </is>
      </c>
      <c r="AS144" s="183" t="inlineStr">
        <is>
          <t>info@diffblue.com</t>
        </is>
      </c>
      <c r="AT144" s="184" t="inlineStr">
        <is>
          <t>Europe</t>
        </is>
      </c>
      <c r="AU144" s="185" t="inlineStr">
        <is>
          <t>Western Europe</t>
        </is>
      </c>
      <c r="AV144" s="186" t="inlineStr">
        <is>
          <t>The company raised GBP 17.5 million of Series A venture funding in a deal led by Goldman Sachs Principal Strategic Investments on June 26, 2017, putting the pre-money valuation at GBP 29.75 million. Oxford Investment Consultants and Oxford Technology also participated.</t>
        </is>
      </c>
      <c r="AW144" s="187" t="inlineStr">
        <is>
          <t>Goldman Sachs Principal Strategic Investments, Oxford Investment Consultants, Oxford Sciences Innovation, Oxford Spin-out Equity Management, Oxford Technology</t>
        </is>
      </c>
      <c r="AX144" s="188" t="n">
        <v>5.0</v>
      </c>
      <c r="AY144" s="189" t="inlineStr">
        <is>
          <t/>
        </is>
      </c>
      <c r="AZ144" s="190" t="inlineStr">
        <is>
          <t/>
        </is>
      </c>
      <c r="BA144" s="191" t="inlineStr">
        <is>
          <t/>
        </is>
      </c>
      <c r="BB144" s="192" t="inlineStr">
        <is>
          <t>Oxford Investment Consultants (www.oxfordinvestmentconsultants.com), Oxford Sciences Innovation (www.oxfordsciencesinnovation.com), Oxford Spin-out Equity Management (www.osem.ox.ac.uk), Oxford Technology (www.oxfordtechnology.com)</t>
        </is>
      </c>
      <c r="BC144" s="193" t="inlineStr">
        <is>
          <t/>
        </is>
      </c>
      <c r="BD144" s="194" t="inlineStr">
        <is>
          <t/>
        </is>
      </c>
      <c r="BE144" s="195" t="inlineStr">
        <is>
          <t/>
        </is>
      </c>
      <c r="BF144" s="196" t="inlineStr">
        <is>
          <t/>
        </is>
      </c>
      <c r="BG144" s="197" t="n">
        <v>42433.0</v>
      </c>
      <c r="BH144" s="198" t="n">
        <v>2.02</v>
      </c>
      <c r="BI144" s="199" t="inlineStr">
        <is>
          <t>Actual</t>
        </is>
      </c>
      <c r="BJ144" s="200" t="n">
        <v>5.7</v>
      </c>
      <c r="BK144" s="201" t="inlineStr">
        <is>
          <t>Actual</t>
        </is>
      </c>
      <c r="BL144" s="202" t="inlineStr">
        <is>
          <t>Early Stage VC</t>
        </is>
      </c>
      <c r="BM144" s="203" t="inlineStr">
        <is>
          <t/>
        </is>
      </c>
      <c r="BN144" s="204" t="inlineStr">
        <is>
          <t/>
        </is>
      </c>
      <c r="BO144" s="205" t="inlineStr">
        <is>
          <t>Venture Capital</t>
        </is>
      </c>
      <c r="BP144" s="206" t="inlineStr">
        <is>
          <t/>
        </is>
      </c>
      <c r="BQ144" s="207" t="inlineStr">
        <is>
          <t/>
        </is>
      </c>
      <c r="BR144" s="208" t="inlineStr">
        <is>
          <t/>
        </is>
      </c>
      <c r="BS144" s="209" t="inlineStr">
        <is>
          <t>Completed</t>
        </is>
      </c>
      <c r="BT144" s="210" t="n">
        <v>42912.0</v>
      </c>
      <c r="BU144" s="211" t="n">
        <v>19.95</v>
      </c>
      <c r="BV144" s="212" t="inlineStr">
        <is>
          <t>Actual</t>
        </is>
      </c>
      <c r="BW144" s="213" t="n">
        <v>53.86</v>
      </c>
      <c r="BX144" s="214" t="inlineStr">
        <is>
          <t>Actual</t>
        </is>
      </c>
      <c r="BY144" s="215" t="inlineStr">
        <is>
          <t>Early Stage VC</t>
        </is>
      </c>
      <c r="BZ144" s="216" t="inlineStr">
        <is>
          <t>Series A</t>
        </is>
      </c>
      <c r="CA144" s="217" t="inlineStr">
        <is>
          <t/>
        </is>
      </c>
      <c r="CB144" s="218" t="inlineStr">
        <is>
          <t>Venture Capital</t>
        </is>
      </c>
      <c r="CC144" s="219" t="inlineStr">
        <is>
          <t/>
        </is>
      </c>
      <c r="CD144" s="220" t="inlineStr">
        <is>
          <t/>
        </is>
      </c>
      <c r="CE144" s="221" t="inlineStr">
        <is>
          <t/>
        </is>
      </c>
      <c r="CF144" s="222" t="inlineStr">
        <is>
          <t>Completed</t>
        </is>
      </c>
      <c r="CG144" s="223" t="inlineStr">
        <is>
          <t>-1,36%</t>
        </is>
      </c>
      <c r="CH144" s="224" t="inlineStr">
        <is>
          <t>4</t>
        </is>
      </c>
      <c r="CI144" s="225" t="inlineStr">
        <is>
          <t>-0,28%</t>
        </is>
      </c>
      <c r="CJ144" s="226" t="inlineStr">
        <is>
          <t>-26,54%</t>
        </is>
      </c>
      <c r="CK144" s="227" t="inlineStr">
        <is>
          <t>-2,71%</t>
        </is>
      </c>
      <c r="CL144" s="228" t="inlineStr">
        <is>
          <t>4</t>
        </is>
      </c>
      <c r="CM144" s="229" t="inlineStr">
        <is>
          <t>0,00%</t>
        </is>
      </c>
      <c r="CN144" s="230" t="inlineStr">
        <is>
          <t>19</t>
        </is>
      </c>
      <c r="CO144" s="231" t="inlineStr">
        <is>
          <t>-8,62%</t>
        </is>
      </c>
      <c r="CP144" s="232" t="inlineStr">
        <is>
          <t>3</t>
        </is>
      </c>
      <c r="CQ144" s="233" t="inlineStr">
        <is>
          <t>3,20%</t>
        </is>
      </c>
      <c r="CR144" s="234" t="inlineStr">
        <is>
          <t>93</t>
        </is>
      </c>
      <c r="CS144" s="235" t="inlineStr">
        <is>
          <t>0,00%</t>
        </is>
      </c>
      <c r="CT144" s="236" t="inlineStr">
        <is>
          <t>18</t>
        </is>
      </c>
      <c r="CU144" s="237" t="inlineStr">
        <is>
          <t>0,00%</t>
        </is>
      </c>
      <c r="CV144" s="238" t="inlineStr">
        <is>
          <t>20</t>
        </is>
      </c>
      <c r="CW144" s="239" t="inlineStr">
        <is>
          <t>1,87x</t>
        </is>
      </c>
      <c r="CX144" s="240" t="inlineStr">
        <is>
          <t>63</t>
        </is>
      </c>
      <c r="CY144" s="241" t="inlineStr">
        <is>
          <t>0,04x</t>
        </is>
      </c>
      <c r="CZ144" s="242" t="inlineStr">
        <is>
          <t>2,20%</t>
        </is>
      </c>
      <c r="DA144" s="243" t="inlineStr">
        <is>
          <t>3,64x</t>
        </is>
      </c>
      <c r="DB144" s="244" t="inlineStr">
        <is>
          <t>76</t>
        </is>
      </c>
      <c r="DC144" s="245" t="inlineStr">
        <is>
          <t>0,10x</t>
        </is>
      </c>
      <c r="DD144" s="246" t="inlineStr">
        <is>
          <t>14</t>
        </is>
      </c>
      <c r="DE144" s="247" t="inlineStr">
        <is>
          <t>2,84x</t>
        </is>
      </c>
      <c r="DF144" s="248" t="inlineStr">
        <is>
          <t>69</t>
        </is>
      </c>
      <c r="DG144" s="249" t="inlineStr">
        <is>
          <t>4,44x</t>
        </is>
      </c>
      <c r="DH144" s="250" t="inlineStr">
        <is>
          <t>77</t>
        </is>
      </c>
      <c r="DI144" s="251" t="inlineStr">
        <is>
          <t>0,06x</t>
        </is>
      </c>
      <c r="DJ144" s="252" t="inlineStr">
        <is>
          <t>9</t>
        </is>
      </c>
      <c r="DK144" s="253" t="inlineStr">
        <is>
          <t>0,13x</t>
        </is>
      </c>
      <c r="DL144" s="254" t="inlineStr">
        <is>
          <t>20</t>
        </is>
      </c>
      <c r="DM144" s="255" t="inlineStr">
        <is>
          <t>2.023</t>
        </is>
      </c>
      <c r="DN144" s="256" t="inlineStr">
        <is>
          <t>-835</t>
        </is>
      </c>
      <c r="DO144" s="257" t="inlineStr">
        <is>
          <t>-29,22%</t>
        </is>
      </c>
      <c r="DP144" s="258" t="inlineStr">
        <is>
          <t>48</t>
        </is>
      </c>
      <c r="DQ144" s="259" t="inlineStr">
        <is>
          <t>1</t>
        </is>
      </c>
      <c r="DR144" s="260" t="inlineStr">
        <is>
          <t>2,13%</t>
        </is>
      </c>
      <c r="DS144" s="261" t="inlineStr">
        <is>
          <t>159</t>
        </is>
      </c>
      <c r="DT144" s="262" t="inlineStr">
        <is>
          <t>1</t>
        </is>
      </c>
      <c r="DU144" s="263" t="inlineStr">
        <is>
          <t>0,63%</t>
        </is>
      </c>
      <c r="DV144" s="264" t="inlineStr">
        <is>
          <t>45</t>
        </is>
      </c>
      <c r="DW144" s="265" t="inlineStr">
        <is>
          <t>4</t>
        </is>
      </c>
      <c r="DX144" s="266" t="inlineStr">
        <is>
          <t>9,76%</t>
        </is>
      </c>
      <c r="DY144" s="267" t="inlineStr">
        <is>
          <t>PitchBook Research</t>
        </is>
      </c>
      <c r="DZ144" s="786">
        <f>HYPERLINK("https://my.pitchbook.com?c=159937-57", "View company online")</f>
      </c>
    </row>
    <row r="145">
      <c r="A145" s="9" t="inlineStr">
        <is>
          <t>56030-95</t>
        </is>
      </c>
      <c r="B145" s="10" t="inlineStr">
        <is>
          <t>Digit Game Studios</t>
        </is>
      </c>
      <c r="C145" s="11" t="inlineStr">
        <is>
          <t/>
        </is>
      </c>
      <c r="D145" s="12" t="inlineStr">
        <is>
          <t>Digit</t>
        </is>
      </c>
      <c r="E145" s="13" t="inlineStr">
        <is>
          <t>56030-95</t>
        </is>
      </c>
      <c r="F145" s="14" t="inlineStr">
        <is>
          <t>Operator of an online gaming platform designed to develop cross-platform games. The company's online gaming platform develops strategy MMO games, enabling users to play games on any device, including iOS, Android, browser and other social platforms.</t>
        </is>
      </c>
      <c r="G145" s="15" t="inlineStr">
        <is>
          <t>Information Technology</t>
        </is>
      </c>
      <c r="H145" s="16" t="inlineStr">
        <is>
          <t>Software</t>
        </is>
      </c>
      <c r="I145" s="17" t="inlineStr">
        <is>
          <t>Entertainment Software</t>
        </is>
      </c>
      <c r="J145" s="18" t="inlineStr">
        <is>
          <t>Entertainment Software*; Application Software</t>
        </is>
      </c>
      <c r="K145" s="19" t="inlineStr">
        <is>
          <t>Mobile</t>
        </is>
      </c>
      <c r="L145" s="20" t="inlineStr">
        <is>
          <t>Venture Capital-Backed</t>
        </is>
      </c>
      <c r="M145" s="21" t="n">
        <v>17.65</v>
      </c>
      <c r="N145" s="22" t="inlineStr">
        <is>
          <t>Startup</t>
        </is>
      </c>
      <c r="O145" s="23" t="inlineStr">
        <is>
          <t>Privately Held (backing)</t>
        </is>
      </c>
      <c r="P145" s="24" t="inlineStr">
        <is>
          <t>Venture Capital</t>
        </is>
      </c>
      <c r="Q145" s="25" t="inlineStr">
        <is>
          <t>www.digitgaming.com</t>
        </is>
      </c>
      <c r="R145" s="26" t="n">
        <v>38.0</v>
      </c>
      <c r="S145" s="27" t="inlineStr">
        <is>
          <t/>
        </is>
      </c>
      <c r="T145" s="28" t="inlineStr">
        <is>
          <t/>
        </is>
      </c>
      <c r="U145" s="29" t="n">
        <v>2012.0</v>
      </c>
      <c r="V145" s="30" t="inlineStr">
        <is>
          <t/>
        </is>
      </c>
      <c r="W145" s="31" t="inlineStr">
        <is>
          <t/>
        </is>
      </c>
      <c r="X145" s="32" t="inlineStr">
        <is>
          <t/>
        </is>
      </c>
      <c r="Y145" s="33" t="inlineStr">
        <is>
          <t/>
        </is>
      </c>
      <c r="Z145" s="34" t="inlineStr">
        <is>
          <t/>
        </is>
      </c>
      <c r="AA145" s="35" t="inlineStr">
        <is>
          <t/>
        </is>
      </c>
      <c r="AB145" s="36" t="inlineStr">
        <is>
          <t/>
        </is>
      </c>
      <c r="AC145" s="37" t="inlineStr">
        <is>
          <t/>
        </is>
      </c>
      <c r="AD145" s="38" t="inlineStr">
        <is>
          <t/>
        </is>
      </c>
      <c r="AE145" s="39" t="inlineStr">
        <is>
          <t>55113-40P</t>
        </is>
      </c>
      <c r="AF145" s="40" t="inlineStr">
        <is>
          <t>Richard Barnwell</t>
        </is>
      </c>
      <c r="AG145" s="41" t="inlineStr">
        <is>
          <t>Co-Founder and Chief Executive Officer</t>
        </is>
      </c>
      <c r="AH145" s="42" t="inlineStr">
        <is>
          <t>richard@digitgaming.com</t>
        </is>
      </c>
      <c r="AI145" s="43" t="inlineStr">
        <is>
          <t/>
        </is>
      </c>
      <c r="AJ145" s="44" t="inlineStr">
        <is>
          <t>Dublin, Ireland</t>
        </is>
      </c>
      <c r="AK145" s="45" t="inlineStr">
        <is>
          <t>4 Prince's Street South</t>
        </is>
      </c>
      <c r="AL145" s="46" t="inlineStr">
        <is>
          <t>City Quay</t>
        </is>
      </c>
      <c r="AM145" s="47" t="inlineStr">
        <is>
          <t>Dublin</t>
        </is>
      </c>
      <c r="AN145" s="48" t="inlineStr">
        <is>
          <t/>
        </is>
      </c>
      <c r="AO145" s="49" t="inlineStr">
        <is>
          <t>2</t>
        </is>
      </c>
      <c r="AP145" s="50" t="inlineStr">
        <is>
          <t>Ireland</t>
        </is>
      </c>
      <c r="AQ145" s="51" t="inlineStr">
        <is>
          <t/>
        </is>
      </c>
      <c r="AR145" s="52" t="inlineStr">
        <is>
          <t/>
        </is>
      </c>
      <c r="AS145" s="53" t="inlineStr">
        <is>
          <t>info@digitgaming.com</t>
        </is>
      </c>
      <c r="AT145" s="54" t="inlineStr">
        <is>
          <t>Europe</t>
        </is>
      </c>
      <c r="AU145" s="55" t="inlineStr">
        <is>
          <t>Western Europe</t>
        </is>
      </c>
      <c r="AV145" s="56" t="inlineStr">
        <is>
          <t>The company received $2.7 million of financing from Scopely on June 20, 2017. Prior to that, the company raised EUR 4.7 million of venture funding from Irish Venture Capital Association and other undisclosed investors in 2017. Prior to that, the company received $4 million of financing from undisclosed investors in 2016.</t>
        </is>
      </c>
      <c r="AW145" s="57" t="inlineStr">
        <is>
          <t>ACT Venture Capital, AIBSUAF, Delta Partners, Enterprise Ireland, Irish Venture Capital Association, Kabam, Scopely</t>
        </is>
      </c>
      <c r="AX145" s="58" t="n">
        <v>7.0</v>
      </c>
      <c r="AY145" s="59" t="inlineStr">
        <is>
          <t/>
        </is>
      </c>
      <c r="AZ145" s="60" t="inlineStr">
        <is>
          <t/>
        </is>
      </c>
      <c r="BA145" s="61" t="inlineStr">
        <is>
          <t/>
        </is>
      </c>
      <c r="BB145" s="62" t="inlineStr">
        <is>
          <t>ACT Venture Capital (www.actventure.com), Delta Partners (www.deltapartners.com), Enterprise Ireland (www.enterprise-ireland.com), Irish Venture Capital Association (www.ivca.ie), Kabam (www.kabam.com), Scopely (www.scopely.com)</t>
        </is>
      </c>
      <c r="BC145" s="63" t="inlineStr">
        <is>
          <t/>
        </is>
      </c>
      <c r="BD145" s="64" t="inlineStr">
        <is>
          <t/>
        </is>
      </c>
      <c r="BE145" s="65" t="inlineStr">
        <is>
          <t/>
        </is>
      </c>
      <c r="BF145" s="66" t="inlineStr">
        <is>
          <t>William Fry (Legal Advisor), Maples &amp; Calder (Legal Advisor)</t>
        </is>
      </c>
      <c r="BG145" s="67" t="n">
        <v>41088.0</v>
      </c>
      <c r="BH145" s="68" t="n">
        <v>1.0</v>
      </c>
      <c r="BI145" s="69" t="inlineStr">
        <is>
          <t>Actual</t>
        </is>
      </c>
      <c r="BJ145" s="70" t="inlineStr">
        <is>
          <t/>
        </is>
      </c>
      <c r="BK145" s="71" t="inlineStr">
        <is>
          <t/>
        </is>
      </c>
      <c r="BL145" s="72" t="inlineStr">
        <is>
          <t>Seed Round</t>
        </is>
      </c>
      <c r="BM145" s="73" t="inlineStr">
        <is>
          <t>Seed</t>
        </is>
      </c>
      <c r="BN145" s="74" t="inlineStr">
        <is>
          <t/>
        </is>
      </c>
      <c r="BO145" s="75" t="inlineStr">
        <is>
          <t>Venture Capital</t>
        </is>
      </c>
      <c r="BP145" s="76" t="inlineStr">
        <is>
          <t/>
        </is>
      </c>
      <c r="BQ145" s="77" t="inlineStr">
        <is>
          <t/>
        </is>
      </c>
      <c r="BR145" s="78" t="inlineStr">
        <is>
          <t/>
        </is>
      </c>
      <c r="BS145" s="79" t="inlineStr">
        <is>
          <t>Completed</t>
        </is>
      </c>
      <c r="BT145" s="80" t="n">
        <v>42906.0</v>
      </c>
      <c r="BU145" s="81" t="n">
        <v>2.41</v>
      </c>
      <c r="BV145" s="82" t="inlineStr">
        <is>
          <t>Actual</t>
        </is>
      </c>
      <c r="BW145" s="83" t="inlineStr">
        <is>
          <t/>
        </is>
      </c>
      <c r="BX145" s="84" t="inlineStr">
        <is>
          <t/>
        </is>
      </c>
      <c r="BY145" s="85" t="inlineStr">
        <is>
          <t>Corporate</t>
        </is>
      </c>
      <c r="BZ145" s="86" t="inlineStr">
        <is>
          <t>Corporate</t>
        </is>
      </c>
      <c r="CA145" s="87" t="inlineStr">
        <is>
          <t/>
        </is>
      </c>
      <c r="CB145" s="88" t="inlineStr">
        <is>
          <t>Corporate</t>
        </is>
      </c>
      <c r="CC145" s="89" t="inlineStr">
        <is>
          <t/>
        </is>
      </c>
      <c r="CD145" s="90" t="inlineStr">
        <is>
          <t/>
        </is>
      </c>
      <c r="CE145" s="91" t="inlineStr">
        <is>
          <t/>
        </is>
      </c>
      <c r="CF145" s="92" t="inlineStr">
        <is>
          <t>Completed</t>
        </is>
      </c>
      <c r="CG145" s="93" t="inlineStr">
        <is>
          <t>-0,03%</t>
        </is>
      </c>
      <c r="CH145" s="94" t="inlineStr">
        <is>
          <t>18</t>
        </is>
      </c>
      <c r="CI145" s="95" t="inlineStr">
        <is>
          <t>0,00%</t>
        </is>
      </c>
      <c r="CJ145" s="96" t="inlineStr">
        <is>
          <t>11,40%</t>
        </is>
      </c>
      <c r="CK145" s="97" t="inlineStr">
        <is>
          <t>-0,17%</t>
        </is>
      </c>
      <c r="CL145" s="98" t="inlineStr">
        <is>
          <t>16</t>
        </is>
      </c>
      <c r="CM145" s="99" t="inlineStr">
        <is>
          <t>0,05%</t>
        </is>
      </c>
      <c r="CN145" s="100" t="inlineStr">
        <is>
          <t>52</t>
        </is>
      </c>
      <c r="CO145" s="101" t="inlineStr">
        <is>
          <t>-0,33%</t>
        </is>
      </c>
      <c r="CP145" s="102" t="inlineStr">
        <is>
          <t>24</t>
        </is>
      </c>
      <c r="CQ145" s="103" t="inlineStr">
        <is>
          <t>0,00%</t>
        </is>
      </c>
      <c r="CR145" s="104" t="inlineStr">
        <is>
          <t>13</t>
        </is>
      </c>
      <c r="CS145" s="105" t="inlineStr">
        <is>
          <t>-0,02%</t>
        </is>
      </c>
      <c r="CT145" s="106" t="inlineStr">
        <is>
          <t>12</t>
        </is>
      </c>
      <c r="CU145" s="107" t="inlineStr">
        <is>
          <t>0,12%</t>
        </is>
      </c>
      <c r="CV145" s="108" t="inlineStr">
        <is>
          <t>70</t>
        </is>
      </c>
      <c r="CW145" s="109" t="inlineStr">
        <is>
          <t>9,38x</t>
        </is>
      </c>
      <c r="CX145" s="110" t="inlineStr">
        <is>
          <t>86</t>
        </is>
      </c>
      <c r="CY145" s="111" t="inlineStr">
        <is>
          <t>0,03x</t>
        </is>
      </c>
      <c r="CZ145" s="112" t="inlineStr">
        <is>
          <t>0,36%</t>
        </is>
      </c>
      <c r="DA145" s="113" t="inlineStr">
        <is>
          <t>2,66x</t>
        </is>
      </c>
      <c r="DB145" s="114" t="inlineStr">
        <is>
          <t>71</t>
        </is>
      </c>
      <c r="DC145" s="115" t="inlineStr">
        <is>
          <t>3,31x</t>
        </is>
      </c>
      <c r="DD145" s="116" t="inlineStr">
        <is>
          <t>70</t>
        </is>
      </c>
      <c r="DE145" s="117" t="inlineStr">
        <is>
          <t>2,82x</t>
        </is>
      </c>
      <c r="DF145" s="118" t="inlineStr">
        <is>
          <t>69</t>
        </is>
      </c>
      <c r="DG145" s="119" t="inlineStr">
        <is>
          <t>2,50x</t>
        </is>
      </c>
      <c r="DH145" s="120" t="inlineStr">
        <is>
          <t>68</t>
        </is>
      </c>
      <c r="DI145" s="121" t="inlineStr">
        <is>
          <t>2,20x</t>
        </is>
      </c>
      <c r="DJ145" s="122" t="inlineStr">
        <is>
          <t>64</t>
        </is>
      </c>
      <c r="DK145" s="123" t="inlineStr">
        <is>
          <t>4,43x</t>
        </is>
      </c>
      <c r="DL145" s="124" t="inlineStr">
        <is>
          <t>76</t>
        </is>
      </c>
      <c r="DM145" s="125" t="inlineStr">
        <is>
          <t>1.686</t>
        </is>
      </c>
      <c r="DN145" s="126" t="inlineStr">
        <is>
          <t>146</t>
        </is>
      </c>
      <c r="DO145" s="127" t="inlineStr">
        <is>
          <t>9,48%</t>
        </is>
      </c>
      <c r="DP145" s="128" t="inlineStr">
        <is>
          <t>1.755</t>
        </is>
      </c>
      <c r="DQ145" s="129" t="inlineStr">
        <is>
          <t>-1</t>
        </is>
      </c>
      <c r="DR145" s="130" t="inlineStr">
        <is>
          <t>-0,06%</t>
        </is>
      </c>
      <c r="DS145" s="131" t="inlineStr">
        <is>
          <t>90</t>
        </is>
      </c>
      <c r="DT145" s="132" t="inlineStr">
        <is>
          <t>0</t>
        </is>
      </c>
      <c r="DU145" s="133" t="inlineStr">
        <is>
          <t>0,00%</t>
        </is>
      </c>
      <c r="DV145" s="134" t="inlineStr">
        <is>
          <t>1.519</t>
        </is>
      </c>
      <c r="DW145" s="135" t="inlineStr">
        <is>
          <t>2</t>
        </is>
      </c>
      <c r="DX145" s="136" t="inlineStr">
        <is>
          <t>0,13%</t>
        </is>
      </c>
      <c r="DY145" s="137" t="inlineStr">
        <is>
          <t>PitchBook Research</t>
        </is>
      </c>
      <c r="DZ145" s="785">
        <f>HYPERLINK("https://my.pitchbook.com?c=56030-95", "View company online")</f>
      </c>
    </row>
    <row r="146">
      <c r="A146" s="139" t="inlineStr">
        <is>
          <t>157898-53</t>
        </is>
      </c>
      <c r="B146" s="140" t="inlineStr">
        <is>
          <t>Disruptive Technologies</t>
        </is>
      </c>
      <c r="C146" s="141" t="inlineStr">
        <is>
          <t/>
        </is>
      </c>
      <c r="D146" s="142" t="inlineStr">
        <is>
          <t/>
        </is>
      </c>
      <c r="E146" s="143" t="inlineStr">
        <is>
          <t>157898-53</t>
        </is>
      </c>
      <c r="F146" s="144" t="inlineStr">
        <is>
          <t>Developer of wireless sensors. The company develops ultra small sensor nodes that expand performance of Internet of Things products and enable sensing and control via the Internet.</t>
        </is>
      </c>
      <c r="G146" s="145" t="inlineStr">
        <is>
          <t>Information Technology</t>
        </is>
      </c>
      <c r="H146" s="146" t="inlineStr">
        <is>
          <t>Semiconductors</t>
        </is>
      </c>
      <c r="I146" s="147" t="inlineStr">
        <is>
          <t>Production (Semiconductors)</t>
        </is>
      </c>
      <c r="J146" s="148" t="inlineStr">
        <is>
          <t>Production (Semiconductors)*</t>
        </is>
      </c>
      <c r="K146" s="149" t="inlineStr">
        <is>
          <t>Internet of Things</t>
        </is>
      </c>
      <c r="L146" s="150" t="inlineStr">
        <is>
          <t>Venture Capital-Backed</t>
        </is>
      </c>
      <c r="M146" s="151" t="n">
        <v>9.97</v>
      </c>
      <c r="N146" s="152" t="inlineStr">
        <is>
          <t>Startup</t>
        </is>
      </c>
      <c r="O146" s="153" t="inlineStr">
        <is>
          <t>Privately Held (backing)</t>
        </is>
      </c>
      <c r="P146" s="154" t="inlineStr">
        <is>
          <t>Venture Capital</t>
        </is>
      </c>
      <c r="Q146" s="155" t="inlineStr">
        <is>
          <t>www.disruptive-technologies.com</t>
        </is>
      </c>
      <c r="R146" s="156" t="n">
        <v>17.0</v>
      </c>
      <c r="S146" s="157" t="inlineStr">
        <is>
          <t/>
        </is>
      </c>
      <c r="T146" s="158" t="inlineStr">
        <is>
          <t/>
        </is>
      </c>
      <c r="U146" s="159" t="n">
        <v>2013.0</v>
      </c>
      <c r="V146" s="160" t="inlineStr">
        <is>
          <t/>
        </is>
      </c>
      <c r="W146" s="161" t="inlineStr">
        <is>
          <t/>
        </is>
      </c>
      <c r="X146" s="162" t="inlineStr">
        <is>
          <t/>
        </is>
      </c>
      <c r="Y146" s="163" t="inlineStr">
        <is>
          <t/>
        </is>
      </c>
      <c r="Z146" s="164" t="inlineStr">
        <is>
          <t/>
        </is>
      </c>
      <c r="AA146" s="165" t="n">
        <v>-0.01837</v>
      </c>
      <c r="AB146" s="166" t="inlineStr">
        <is>
          <t/>
        </is>
      </c>
      <c r="AC146" s="167" t="n">
        <v>-0.01837</v>
      </c>
      <c r="AD146" s="168" t="inlineStr">
        <is>
          <t>FY 2015</t>
        </is>
      </c>
      <c r="AE146" s="169" t="inlineStr">
        <is>
          <t>64565-38P</t>
        </is>
      </c>
      <c r="AF146" s="170" t="inlineStr">
        <is>
          <t>Jarle Kvamme</t>
        </is>
      </c>
      <c r="AG146" s="171" t="inlineStr">
        <is>
          <t>Chief Financial Officer</t>
        </is>
      </c>
      <c r="AH146" s="172" t="inlineStr">
        <is>
          <t>jarle.kvamme@disruptive-technologies.com</t>
        </is>
      </c>
      <c r="AI146" s="173" t="inlineStr">
        <is>
          <t>+47 90 59 69 86</t>
        </is>
      </c>
      <c r="AJ146" s="174" t="inlineStr">
        <is>
          <t>Blomsterdalen, Norway</t>
        </is>
      </c>
      <c r="AK146" s="175" t="inlineStr">
        <is>
          <t>Ytrebygdsv. 215</t>
        </is>
      </c>
      <c r="AL146" s="176" t="inlineStr">
        <is>
          <t/>
        </is>
      </c>
      <c r="AM146" s="177" t="inlineStr">
        <is>
          <t>Blomsterdalen</t>
        </is>
      </c>
      <c r="AN146" s="178" t="inlineStr">
        <is>
          <t/>
        </is>
      </c>
      <c r="AO146" s="179" t="inlineStr">
        <is>
          <t>5258</t>
        </is>
      </c>
      <c r="AP146" s="180" t="inlineStr">
        <is>
          <t>Norway</t>
        </is>
      </c>
      <c r="AQ146" s="181" t="inlineStr">
        <is>
          <t>+47 57 98 88 55</t>
        </is>
      </c>
      <c r="AR146" s="182" t="inlineStr">
        <is>
          <t/>
        </is>
      </c>
      <c r="AS146" s="183" t="inlineStr">
        <is>
          <t>info@disruptive-technologies.com</t>
        </is>
      </c>
      <c r="AT146" s="184" t="inlineStr">
        <is>
          <t>Europe</t>
        </is>
      </c>
      <c r="AU146" s="185" t="inlineStr">
        <is>
          <t>Northern Europe</t>
        </is>
      </c>
      <c r="AV146" s="186" t="inlineStr">
        <is>
          <t>The company received an EUR 50,000 million grant from Horizon 2020 on June 20, 2016.</t>
        </is>
      </c>
      <c r="AW146" s="187" t="inlineStr">
        <is>
          <t>Grotmol Solutions, Horizon 2020, Norselab, Ubon Partners</t>
        </is>
      </c>
      <c r="AX146" s="188" t="n">
        <v>4.0</v>
      </c>
      <c r="AY146" s="189" t="inlineStr">
        <is>
          <t/>
        </is>
      </c>
      <c r="AZ146" s="190" t="inlineStr">
        <is>
          <t/>
        </is>
      </c>
      <c r="BA146" s="191" t="inlineStr">
        <is>
          <t/>
        </is>
      </c>
      <c r="BB146" s="192" t="inlineStr">
        <is>
          <t>Grotmol Solutions (www.grotmolsolutions.com), Norselab (www.norselab.com), Ubon Partners (www.ubonpartners.com)</t>
        </is>
      </c>
      <c r="BC146" s="193" t="inlineStr">
        <is>
          <t/>
        </is>
      </c>
      <c r="BD146" s="194" t="inlineStr">
        <is>
          <t/>
        </is>
      </c>
      <c r="BE146" s="195" t="inlineStr">
        <is>
          <t>PwC (Auditor)</t>
        </is>
      </c>
      <c r="BF146" s="196" t="inlineStr">
        <is>
          <t/>
        </is>
      </c>
      <c r="BG146" s="197" t="inlineStr">
        <is>
          <t/>
        </is>
      </c>
      <c r="BH146" s="198" t="n">
        <v>4.61</v>
      </c>
      <c r="BI146" s="199" t="inlineStr">
        <is>
          <t>Actual</t>
        </is>
      </c>
      <c r="BJ146" s="200" t="inlineStr">
        <is>
          <t/>
        </is>
      </c>
      <c r="BK146" s="201" t="inlineStr">
        <is>
          <t/>
        </is>
      </c>
      <c r="BL146" s="202" t="inlineStr">
        <is>
          <t>Angel (individual)</t>
        </is>
      </c>
      <c r="BM146" s="203" t="inlineStr">
        <is>
          <t>Angel</t>
        </is>
      </c>
      <c r="BN146" s="204" t="inlineStr">
        <is>
          <t/>
        </is>
      </c>
      <c r="BO146" s="205" t="inlineStr">
        <is>
          <t>Individual</t>
        </is>
      </c>
      <c r="BP146" s="206" t="inlineStr">
        <is>
          <t/>
        </is>
      </c>
      <c r="BQ146" s="207" t="inlineStr">
        <is>
          <t/>
        </is>
      </c>
      <c r="BR146" s="208" t="inlineStr">
        <is>
          <t/>
        </is>
      </c>
      <c r="BS146" s="209" t="inlineStr">
        <is>
          <t>Completed</t>
        </is>
      </c>
      <c r="BT146" s="210" t="n">
        <v>42541.0</v>
      </c>
      <c r="BU146" s="211" t="n">
        <v>0.05</v>
      </c>
      <c r="BV146" s="212" t="inlineStr">
        <is>
          <t>Actual</t>
        </is>
      </c>
      <c r="BW146" s="213" t="inlineStr">
        <is>
          <t/>
        </is>
      </c>
      <c r="BX146" s="214" t="inlineStr">
        <is>
          <t/>
        </is>
      </c>
      <c r="BY146" s="215" t="inlineStr">
        <is>
          <t>Grant</t>
        </is>
      </c>
      <c r="BZ146" s="216" t="inlineStr">
        <is>
          <t/>
        </is>
      </c>
      <c r="CA146" s="217" t="inlineStr">
        <is>
          <t/>
        </is>
      </c>
      <c r="CB146" s="218" t="inlineStr">
        <is>
          <t>Other</t>
        </is>
      </c>
      <c r="CC146" s="219" t="inlineStr">
        <is>
          <t/>
        </is>
      </c>
      <c r="CD146" s="220" t="inlineStr">
        <is>
          <t/>
        </is>
      </c>
      <c r="CE146" s="221" t="inlineStr">
        <is>
          <t/>
        </is>
      </c>
      <c r="CF146" s="222" t="inlineStr">
        <is>
          <t>Completed</t>
        </is>
      </c>
      <c r="CG146" s="223" t="inlineStr">
        <is>
          <t>0,62%</t>
        </is>
      </c>
      <c r="CH146" s="224" t="inlineStr">
        <is>
          <t>85</t>
        </is>
      </c>
      <c r="CI146" s="225" t="inlineStr">
        <is>
          <t>0,00%</t>
        </is>
      </c>
      <c r="CJ146" s="226" t="inlineStr">
        <is>
          <t>0,00%</t>
        </is>
      </c>
      <c r="CK146" s="227" t="inlineStr">
        <is>
          <t>1,23%</t>
        </is>
      </c>
      <c r="CL146" s="228" t="inlineStr">
        <is>
          <t>88</t>
        </is>
      </c>
      <c r="CM146" s="229" t="inlineStr">
        <is>
          <t>0,00%</t>
        </is>
      </c>
      <c r="CN146" s="230" t="inlineStr">
        <is>
          <t>19</t>
        </is>
      </c>
      <c r="CO146" s="231" t="inlineStr">
        <is>
          <t>2,46%</t>
        </is>
      </c>
      <c r="CP146" s="232" t="inlineStr">
        <is>
          <t>91</t>
        </is>
      </c>
      <c r="CQ146" s="233" t="inlineStr">
        <is>
          <t>0,00%</t>
        </is>
      </c>
      <c r="CR146" s="234" t="inlineStr">
        <is>
          <t>13</t>
        </is>
      </c>
      <c r="CS146" s="235" t="inlineStr">
        <is>
          <t/>
        </is>
      </c>
      <c r="CT146" s="236" t="inlineStr">
        <is>
          <t/>
        </is>
      </c>
      <c r="CU146" s="237" t="inlineStr">
        <is>
          <t>0,00%</t>
        </is>
      </c>
      <c r="CV146" s="238" t="inlineStr">
        <is>
          <t>20</t>
        </is>
      </c>
      <c r="CW146" s="239" t="inlineStr">
        <is>
          <t>1,84x</t>
        </is>
      </c>
      <c r="CX146" s="240" t="inlineStr">
        <is>
          <t>62</t>
        </is>
      </c>
      <c r="CY146" s="241" t="inlineStr">
        <is>
          <t>0,02x</t>
        </is>
      </c>
      <c r="CZ146" s="242" t="inlineStr">
        <is>
          <t>0,90%</t>
        </is>
      </c>
      <c r="DA146" s="243" t="inlineStr">
        <is>
          <t>3,43x</t>
        </is>
      </c>
      <c r="DB146" s="244" t="inlineStr">
        <is>
          <t>75</t>
        </is>
      </c>
      <c r="DC146" s="245" t="inlineStr">
        <is>
          <t>0,26x</t>
        </is>
      </c>
      <c r="DD146" s="246" t="inlineStr">
        <is>
          <t>25</t>
        </is>
      </c>
      <c r="DE146" s="247" t="inlineStr">
        <is>
          <t>5,02x</t>
        </is>
      </c>
      <c r="DF146" s="248" t="inlineStr">
        <is>
          <t>76</t>
        </is>
      </c>
      <c r="DG146" s="249" t="inlineStr">
        <is>
          <t>1,83x</t>
        </is>
      </c>
      <c r="DH146" s="250" t="inlineStr">
        <is>
          <t>62</t>
        </is>
      </c>
      <c r="DI146" s="251" t="inlineStr">
        <is>
          <t/>
        </is>
      </c>
      <c r="DJ146" s="252" t="inlineStr">
        <is>
          <t/>
        </is>
      </c>
      <c r="DK146" s="253" t="inlineStr">
        <is>
          <t>0,26x</t>
        </is>
      </c>
      <c r="DL146" s="254" t="inlineStr">
        <is>
          <t>29</t>
        </is>
      </c>
      <c r="DM146" s="255" t="inlineStr">
        <is>
          <t>3.144</t>
        </is>
      </c>
      <c r="DN146" s="256" t="inlineStr">
        <is>
          <t>-164</t>
        </is>
      </c>
      <c r="DO146" s="257" t="inlineStr">
        <is>
          <t>-4,96%</t>
        </is>
      </c>
      <c r="DP146" s="258" t="inlineStr">
        <is>
          <t/>
        </is>
      </c>
      <c r="DQ146" s="259" t="inlineStr">
        <is>
          <t/>
        </is>
      </c>
      <c r="DR146" s="260" t="inlineStr">
        <is>
          <t/>
        </is>
      </c>
      <c r="DS146" s="261" t="inlineStr">
        <is>
          <t>66</t>
        </is>
      </c>
      <c r="DT146" s="262" t="inlineStr">
        <is>
          <t>0</t>
        </is>
      </c>
      <c r="DU146" s="263" t="inlineStr">
        <is>
          <t>0,00%</t>
        </is>
      </c>
      <c r="DV146" s="264" t="inlineStr">
        <is>
          <t>88</t>
        </is>
      </c>
      <c r="DW146" s="265" t="inlineStr">
        <is>
          <t>0</t>
        </is>
      </c>
      <c r="DX146" s="266" t="inlineStr">
        <is>
          <t>0,00%</t>
        </is>
      </c>
      <c r="DY146" s="267" t="inlineStr">
        <is>
          <t>PitchBook Research</t>
        </is>
      </c>
      <c r="DZ146" s="786">
        <f>HYPERLINK("https://my.pitchbook.com?c=157898-53", "View company online")</f>
      </c>
    </row>
    <row r="147">
      <c r="A147" s="9" t="inlineStr">
        <is>
          <t>111027-52</t>
        </is>
      </c>
      <c r="B147" s="10" t="inlineStr">
        <is>
          <t>Distribusion</t>
        </is>
      </c>
      <c r="C147" s="11" t="inlineStr">
        <is>
          <t/>
        </is>
      </c>
      <c r="D147" s="12" t="inlineStr">
        <is>
          <t/>
        </is>
      </c>
      <c r="E147" s="13" t="inlineStr">
        <is>
          <t>111027-52</t>
        </is>
      </c>
      <c r="F147" s="14" t="inlineStr">
        <is>
          <t>Developer of global distribution system for the international intercity bus market. The company offers an online booking platform to simplify the process of booking bus tickets. It also provides a search, booking and fulfillment process and connects intercity bus operators with travel resellers worldwide.</t>
        </is>
      </c>
      <c r="G147" s="15" t="inlineStr">
        <is>
          <t>Information Technology</t>
        </is>
      </c>
      <c r="H147" s="16" t="inlineStr">
        <is>
          <t>Software</t>
        </is>
      </c>
      <c r="I147" s="17" t="inlineStr">
        <is>
          <t>Social/Platform Software</t>
        </is>
      </c>
      <c r="J147" s="18" t="inlineStr">
        <is>
          <t>Social/Platform Software*; Other Commercial Services; Application Software</t>
        </is>
      </c>
      <c r="K147" s="19" t="inlineStr">
        <is>
          <t>E-Commerce, Mobile</t>
        </is>
      </c>
      <c r="L147" s="20" t="inlineStr">
        <is>
          <t>Venture Capital-Backed</t>
        </is>
      </c>
      <c r="M147" s="21" t="n">
        <v>7.0</v>
      </c>
      <c r="N147" s="22" t="inlineStr">
        <is>
          <t>Startup</t>
        </is>
      </c>
      <c r="O147" s="23" t="inlineStr">
        <is>
          <t>Privately Held (backing)</t>
        </is>
      </c>
      <c r="P147" s="24" t="inlineStr">
        <is>
          <t>Venture Capital</t>
        </is>
      </c>
      <c r="Q147" s="25" t="inlineStr">
        <is>
          <t>www.distribusion.com</t>
        </is>
      </c>
      <c r="R147" s="26" t="n">
        <v>14.0</v>
      </c>
      <c r="S147" s="27" t="inlineStr">
        <is>
          <t/>
        </is>
      </c>
      <c r="T147" s="28" t="inlineStr">
        <is>
          <t/>
        </is>
      </c>
      <c r="U147" s="29" t="n">
        <v>2012.0</v>
      </c>
      <c r="V147" s="30" t="inlineStr">
        <is>
          <t/>
        </is>
      </c>
      <c r="W147" s="31" t="inlineStr">
        <is>
          <t/>
        </is>
      </c>
      <c r="X147" s="32" t="inlineStr">
        <is>
          <t/>
        </is>
      </c>
      <c r="Y147" s="33" t="inlineStr">
        <is>
          <t/>
        </is>
      </c>
      <c r="Z147" s="34" t="inlineStr">
        <is>
          <t/>
        </is>
      </c>
      <c r="AA147" s="35" t="inlineStr">
        <is>
          <t/>
        </is>
      </c>
      <c r="AB147" s="36" t="inlineStr">
        <is>
          <t/>
        </is>
      </c>
      <c r="AC147" s="37" t="inlineStr">
        <is>
          <t/>
        </is>
      </c>
      <c r="AD147" s="38" t="inlineStr">
        <is>
          <t/>
        </is>
      </c>
      <c r="AE147" s="39" t="inlineStr">
        <is>
          <t>97138-09P</t>
        </is>
      </c>
      <c r="AF147" s="40" t="inlineStr">
        <is>
          <t>Julian Hauck</t>
        </is>
      </c>
      <c r="AG147" s="41" t="inlineStr">
        <is>
          <t>Co-Founder, Chief Technology Officer &amp; Chief Executive Officer</t>
        </is>
      </c>
      <c r="AH147" s="42" t="inlineStr">
        <is>
          <t>julian.hauck@distribusion.com</t>
        </is>
      </c>
      <c r="AI147" s="43" t="inlineStr">
        <is>
          <t>+49 (0)30 3465 5075 0</t>
        </is>
      </c>
      <c r="AJ147" s="44" t="inlineStr">
        <is>
          <t>Berlin, Germany</t>
        </is>
      </c>
      <c r="AK147" s="45" t="inlineStr">
        <is>
          <t>Schwedenstraße 9</t>
        </is>
      </c>
      <c r="AL147" s="46" t="inlineStr">
        <is>
          <t/>
        </is>
      </c>
      <c r="AM147" s="47" t="inlineStr">
        <is>
          <t>Berlin</t>
        </is>
      </c>
      <c r="AN147" s="48" t="inlineStr">
        <is>
          <t/>
        </is>
      </c>
      <c r="AO147" s="49" t="inlineStr">
        <is>
          <t>13359</t>
        </is>
      </c>
      <c r="AP147" s="50" t="inlineStr">
        <is>
          <t>Germany</t>
        </is>
      </c>
      <c r="AQ147" s="51" t="inlineStr">
        <is>
          <t>+49 (0)30 3465 5075 0</t>
        </is>
      </c>
      <c r="AR147" s="52" t="inlineStr">
        <is>
          <t/>
        </is>
      </c>
      <c r="AS147" s="53" t="inlineStr">
        <is>
          <t>info@distribusion.com</t>
        </is>
      </c>
      <c r="AT147" s="54" t="inlineStr">
        <is>
          <t>Europe</t>
        </is>
      </c>
      <c r="AU147" s="55" t="inlineStr">
        <is>
          <t>Western Europe</t>
        </is>
      </c>
      <c r="AV147" s="56" t="inlineStr">
        <is>
          <t>The company raised EUR 6 million of Series A venture funding from Northzone, Creandum and HR Ventures on March 17, 2016. Bmp, Thomas Döring, Chris Hitchen, Richard Chen, Bo Mattsson and Marc Mogalle also participated. The company will use funds to accelerate the product and technology development, to ramp up the acquisition and integration of new bus operators and resellers and also to expand market coverage across Europe and expand their business operations to the major intercity bus markets in South America and Southeast Asia.</t>
        </is>
      </c>
      <c r="AW147" s="57" t="inlineStr">
        <is>
          <t>bmp, Bo Mattsson, Chris Hitchen, Creandum, EIT Digital, HR Ventures, Marc Mogalle, Northzone Ventures, Richard Chen, Thomas Doring</t>
        </is>
      </c>
      <c r="AX147" s="58" t="n">
        <v>10.0</v>
      </c>
      <c r="AY147" s="59" t="inlineStr">
        <is>
          <t/>
        </is>
      </c>
      <c r="AZ147" s="60" t="inlineStr">
        <is>
          <t/>
        </is>
      </c>
      <c r="BA147" s="61" t="inlineStr">
        <is>
          <t/>
        </is>
      </c>
      <c r="BB147" s="62" t="inlineStr">
        <is>
          <t>bmp (www.bmp.com), Creandum (www.creandum.com), EIT Digital (www.eitdigital.eu), HR Ventures (www.hrventures.de), Northzone Ventures (www.northzone.com)</t>
        </is>
      </c>
      <c r="BC147" s="63" t="inlineStr">
        <is>
          <t/>
        </is>
      </c>
      <c r="BD147" s="64" t="inlineStr">
        <is>
          <t/>
        </is>
      </c>
      <c r="BE147" s="65" t="inlineStr">
        <is>
          <t/>
        </is>
      </c>
      <c r="BF147" s="66" t="inlineStr">
        <is>
          <t/>
        </is>
      </c>
      <c r="BG147" s="67" t="inlineStr">
        <is>
          <t/>
        </is>
      </c>
      <c r="BH147" s="68" t="inlineStr">
        <is>
          <t/>
        </is>
      </c>
      <c r="BI147" s="69" t="inlineStr">
        <is>
          <t/>
        </is>
      </c>
      <c r="BJ147" s="70" t="inlineStr">
        <is>
          <t/>
        </is>
      </c>
      <c r="BK147" s="71" t="inlineStr">
        <is>
          <t/>
        </is>
      </c>
      <c r="BL147" s="72" t="inlineStr">
        <is>
          <t>Accelerator/Incubator</t>
        </is>
      </c>
      <c r="BM147" s="73" t="inlineStr">
        <is>
          <t/>
        </is>
      </c>
      <c r="BN147" s="74" t="inlineStr">
        <is>
          <t/>
        </is>
      </c>
      <c r="BO147" s="75" t="inlineStr">
        <is>
          <t>Other</t>
        </is>
      </c>
      <c r="BP147" s="76" t="inlineStr">
        <is>
          <t/>
        </is>
      </c>
      <c r="BQ147" s="77" t="inlineStr">
        <is>
          <t/>
        </is>
      </c>
      <c r="BR147" s="78" t="inlineStr">
        <is>
          <t/>
        </is>
      </c>
      <c r="BS147" s="79" t="inlineStr">
        <is>
          <t>Completed</t>
        </is>
      </c>
      <c r="BT147" s="80" t="n">
        <v>42446.0</v>
      </c>
      <c r="BU147" s="81" t="n">
        <v>6.0</v>
      </c>
      <c r="BV147" s="82" t="inlineStr">
        <is>
          <t>Actual</t>
        </is>
      </c>
      <c r="BW147" s="83" t="inlineStr">
        <is>
          <t/>
        </is>
      </c>
      <c r="BX147" s="84" t="inlineStr">
        <is>
          <t/>
        </is>
      </c>
      <c r="BY147" s="85" t="inlineStr">
        <is>
          <t>Early Stage VC</t>
        </is>
      </c>
      <c r="BZ147" s="86" t="inlineStr">
        <is>
          <t>Series A</t>
        </is>
      </c>
      <c r="CA147" s="87" t="inlineStr">
        <is>
          <t/>
        </is>
      </c>
      <c r="CB147" s="88" t="inlineStr">
        <is>
          <t>Venture Capital</t>
        </is>
      </c>
      <c r="CC147" s="89" t="inlineStr">
        <is>
          <t/>
        </is>
      </c>
      <c r="CD147" s="90" t="inlineStr">
        <is>
          <t/>
        </is>
      </c>
      <c r="CE147" s="91" t="inlineStr">
        <is>
          <t/>
        </is>
      </c>
      <c r="CF147" s="92" t="inlineStr">
        <is>
          <t>Completed</t>
        </is>
      </c>
      <c r="CG147" s="93" t="inlineStr">
        <is>
          <t>-1,01%</t>
        </is>
      </c>
      <c r="CH147" s="94" t="inlineStr">
        <is>
          <t>5</t>
        </is>
      </c>
      <c r="CI147" s="95" t="inlineStr">
        <is>
          <t>-0,02%</t>
        </is>
      </c>
      <c r="CJ147" s="96" t="inlineStr">
        <is>
          <t>-1,52%</t>
        </is>
      </c>
      <c r="CK147" s="97" t="inlineStr">
        <is>
          <t>-2,36%</t>
        </is>
      </c>
      <c r="CL147" s="98" t="inlineStr">
        <is>
          <t>4</t>
        </is>
      </c>
      <c r="CM147" s="99" t="inlineStr">
        <is>
          <t>0,33%</t>
        </is>
      </c>
      <c r="CN147" s="100" t="inlineStr">
        <is>
          <t>83</t>
        </is>
      </c>
      <c r="CO147" s="101" t="inlineStr">
        <is>
          <t>-5,00%</t>
        </is>
      </c>
      <c r="CP147" s="102" t="inlineStr">
        <is>
          <t>7</t>
        </is>
      </c>
      <c r="CQ147" s="103" t="inlineStr">
        <is>
          <t>0,29%</t>
        </is>
      </c>
      <c r="CR147" s="104" t="inlineStr">
        <is>
          <t>85</t>
        </is>
      </c>
      <c r="CS147" s="105" t="inlineStr">
        <is>
          <t/>
        </is>
      </c>
      <c r="CT147" s="106" t="inlineStr">
        <is>
          <t/>
        </is>
      </c>
      <c r="CU147" s="107" t="inlineStr">
        <is>
          <t>0,33%</t>
        </is>
      </c>
      <c r="CV147" s="108" t="inlineStr">
        <is>
          <t>86</t>
        </is>
      </c>
      <c r="CW147" s="109" t="inlineStr">
        <is>
          <t>1,36x</t>
        </is>
      </c>
      <c r="CX147" s="110" t="inlineStr">
        <is>
          <t>56</t>
        </is>
      </c>
      <c r="CY147" s="111" t="inlineStr">
        <is>
          <t>0,02x</t>
        </is>
      </c>
      <c r="CZ147" s="112" t="inlineStr">
        <is>
          <t>1,23%</t>
        </is>
      </c>
      <c r="DA147" s="113" t="inlineStr">
        <is>
          <t>2,37x</t>
        </is>
      </c>
      <c r="DB147" s="114" t="inlineStr">
        <is>
          <t>69</t>
        </is>
      </c>
      <c r="DC147" s="115" t="inlineStr">
        <is>
          <t>0,34x</t>
        </is>
      </c>
      <c r="DD147" s="116" t="inlineStr">
        <is>
          <t>29</t>
        </is>
      </c>
      <c r="DE147" s="117" t="inlineStr">
        <is>
          <t>1,02x</t>
        </is>
      </c>
      <c r="DF147" s="118" t="inlineStr">
        <is>
          <t>51</t>
        </is>
      </c>
      <c r="DG147" s="119" t="inlineStr">
        <is>
          <t>3,72x</t>
        </is>
      </c>
      <c r="DH147" s="120" t="inlineStr">
        <is>
          <t>75</t>
        </is>
      </c>
      <c r="DI147" s="121" t="inlineStr">
        <is>
          <t/>
        </is>
      </c>
      <c r="DJ147" s="122" t="inlineStr">
        <is>
          <t/>
        </is>
      </c>
      <c r="DK147" s="123" t="inlineStr">
        <is>
          <t>0,34x</t>
        </is>
      </c>
      <c r="DL147" s="124" t="inlineStr">
        <is>
          <t>33</t>
        </is>
      </c>
      <c r="DM147" s="125" t="inlineStr">
        <is>
          <t>645</t>
        </is>
      </c>
      <c r="DN147" s="126" t="inlineStr">
        <is>
          <t>-51</t>
        </is>
      </c>
      <c r="DO147" s="127" t="inlineStr">
        <is>
          <t>-7,33%</t>
        </is>
      </c>
      <c r="DP147" s="128" t="inlineStr">
        <is>
          <t/>
        </is>
      </c>
      <c r="DQ147" s="129" t="inlineStr">
        <is>
          <t/>
        </is>
      </c>
      <c r="DR147" s="130" t="inlineStr">
        <is>
          <t/>
        </is>
      </c>
      <c r="DS147" s="131" t="inlineStr">
        <is>
          <t>134</t>
        </is>
      </c>
      <c r="DT147" s="132" t="inlineStr">
        <is>
          <t>-2</t>
        </is>
      </c>
      <c r="DU147" s="133" t="inlineStr">
        <is>
          <t>-1,47%</t>
        </is>
      </c>
      <c r="DV147" s="134" t="inlineStr">
        <is>
          <t>115</t>
        </is>
      </c>
      <c r="DW147" s="135" t="inlineStr">
        <is>
          <t>1</t>
        </is>
      </c>
      <c r="DX147" s="136" t="inlineStr">
        <is>
          <t>0,88%</t>
        </is>
      </c>
      <c r="DY147" s="137" t="inlineStr">
        <is>
          <t>PitchBook Research</t>
        </is>
      </c>
      <c r="DZ147" s="785">
        <f>HYPERLINK("https://my.pitchbook.com?c=111027-52", "View company online")</f>
      </c>
    </row>
    <row r="148">
      <c r="A148" s="139" t="inlineStr">
        <is>
          <t>152668-90</t>
        </is>
      </c>
      <c r="B148" s="140" t="inlineStr">
        <is>
          <t>DOC+</t>
        </is>
      </c>
      <c r="C148" s="141" t="inlineStr">
        <is>
          <t/>
        </is>
      </c>
      <c r="D148" s="142" t="inlineStr">
        <is>
          <t/>
        </is>
      </c>
      <c r="E148" s="143" t="inlineStr">
        <is>
          <t>152668-90</t>
        </is>
      </c>
      <c r="F148" s="144" t="inlineStr">
        <is>
          <t>Developer of an on-demand digital clinic platform designed to connect doctors and patients. The company's platform DOC+ offers services including telemedicine consultations via chat, audio- or video calls, prescriptions, sick notes, medical tests, ECG, referrals to MRI and other advanced diagnostics as well as offers personalized services like digital health records and personal doctor subscriptions, enabling users to connect with doctors, on-demand.</t>
        </is>
      </c>
      <c r="G148" s="145" t="inlineStr">
        <is>
          <t>Information Technology</t>
        </is>
      </c>
      <c r="H148" s="146" t="inlineStr">
        <is>
          <t>Software</t>
        </is>
      </c>
      <c r="I148" s="147" t="inlineStr">
        <is>
          <t>Social/Platform Software</t>
        </is>
      </c>
      <c r="J148" s="148" t="inlineStr">
        <is>
          <t>Social/Platform Software*; Other Healthcare Technology Systems; Application Software</t>
        </is>
      </c>
      <c r="K148" s="149" t="inlineStr">
        <is>
          <t>HealthTech, Mobile</t>
        </is>
      </c>
      <c r="L148" s="150" t="inlineStr">
        <is>
          <t>Venture Capital-Backed</t>
        </is>
      </c>
      <c r="M148" s="151" t="n">
        <v>9.89</v>
      </c>
      <c r="N148" s="152" t="inlineStr">
        <is>
          <t>Generating Revenue</t>
        </is>
      </c>
      <c r="O148" s="153" t="inlineStr">
        <is>
          <t>Privately Held (backing)</t>
        </is>
      </c>
      <c r="P148" s="154" t="inlineStr">
        <is>
          <t>Venture Capital</t>
        </is>
      </c>
      <c r="Q148" s="155" t="inlineStr">
        <is>
          <t>www.docplus.ru</t>
        </is>
      </c>
      <c r="R148" s="156" t="n">
        <v>300.0</v>
      </c>
      <c r="S148" s="157" t="inlineStr">
        <is>
          <t/>
        </is>
      </c>
      <c r="T148" s="158" t="inlineStr">
        <is>
          <t/>
        </is>
      </c>
      <c r="U148" s="159" t="n">
        <v>2015.0</v>
      </c>
      <c r="V148" s="160" t="inlineStr">
        <is>
          <t/>
        </is>
      </c>
      <c r="W148" s="161" t="inlineStr">
        <is>
          <t/>
        </is>
      </c>
      <c r="X148" s="162" t="inlineStr">
        <is>
          <t/>
        </is>
      </c>
      <c r="Y148" s="163" t="n">
        <v>1.07191</v>
      </c>
      <c r="Z148" s="164" t="inlineStr">
        <is>
          <t/>
        </is>
      </c>
      <c r="AA148" s="165" t="inlineStr">
        <is>
          <t/>
        </is>
      </c>
      <c r="AB148" s="166" t="inlineStr">
        <is>
          <t/>
        </is>
      </c>
      <c r="AC148" s="167" t="inlineStr">
        <is>
          <t/>
        </is>
      </c>
      <c r="AD148" s="168" t="inlineStr">
        <is>
          <t>FY 2016</t>
        </is>
      </c>
      <c r="AE148" s="169" t="inlineStr">
        <is>
          <t>126507-70P</t>
        </is>
      </c>
      <c r="AF148" s="170" t="inlineStr">
        <is>
          <t>Ruslan Zaydullin</t>
        </is>
      </c>
      <c r="AG148" s="171" t="inlineStr">
        <is>
          <t>Co-Founder &amp; Chief Executive Officer</t>
        </is>
      </c>
      <c r="AH148" s="172" t="inlineStr">
        <is>
          <t>ruslan@doconcall.ru</t>
        </is>
      </c>
      <c r="AI148" s="173" t="inlineStr">
        <is>
          <t>+7 (8)499 653 6605</t>
        </is>
      </c>
      <c r="AJ148" s="174" t="inlineStr">
        <is>
          <t>Moscow, Russia</t>
        </is>
      </c>
      <c r="AK148" s="175" t="inlineStr">
        <is>
          <t>Ul. Ostrovityanova 5</t>
        </is>
      </c>
      <c r="AL148" s="176" t="inlineStr">
        <is>
          <t/>
        </is>
      </c>
      <c r="AM148" s="177" t="inlineStr">
        <is>
          <t>Moscow</t>
        </is>
      </c>
      <c r="AN148" s="178" t="inlineStr">
        <is>
          <t/>
        </is>
      </c>
      <c r="AO148" s="179" t="inlineStr">
        <is>
          <t/>
        </is>
      </c>
      <c r="AP148" s="180" t="inlineStr">
        <is>
          <t>Russia</t>
        </is>
      </c>
      <c r="AQ148" s="181" t="inlineStr">
        <is>
          <t>+7 (8)499 653 6605</t>
        </is>
      </c>
      <c r="AR148" s="182" t="inlineStr">
        <is>
          <t/>
        </is>
      </c>
      <c r="AS148" s="183" t="inlineStr">
        <is>
          <t/>
        </is>
      </c>
      <c r="AT148" s="184" t="inlineStr">
        <is>
          <t>Europe</t>
        </is>
      </c>
      <c r="AU148" s="185" t="inlineStr">
        <is>
          <t>Eastern Europe</t>
        </is>
      </c>
      <c r="AV148" s="186" t="inlineStr">
        <is>
          <t>The company raised $5 million of Series B venture funding from lead investors Yandex and Baring Vostok Capital Partners on June 6, 2017. The funds will be used to develop advanced digital health services, as well as to expand the core business of on-demand visits and telemedicine consultations. Previously, the company received $5.5 million of Series A venture funding in a deal led by Baring Vostok Capital Partners on July 14, 2016.</t>
        </is>
      </c>
      <c r="AW148" s="187" t="inlineStr">
        <is>
          <t>Baring Vostok Capital Partners, Damian Dobershteyn, Dmitriy Almakaev, Dmitriy Khandogin, Florian Dmitriy, Mikhail Sokolov, Yandex</t>
        </is>
      </c>
      <c r="AX148" s="188" t="n">
        <v>7.0</v>
      </c>
      <c r="AY148" s="189" t="inlineStr">
        <is>
          <t/>
        </is>
      </c>
      <c r="AZ148" s="190" t="inlineStr">
        <is>
          <t/>
        </is>
      </c>
      <c r="BA148" s="191" t="inlineStr">
        <is>
          <t/>
        </is>
      </c>
      <c r="BB148" s="192" t="inlineStr">
        <is>
          <t>Baring Vostok Capital Partners (www.baring-vostok.com), Yandex (www.yandex.com)</t>
        </is>
      </c>
      <c r="BC148" s="193" t="inlineStr">
        <is>
          <t/>
        </is>
      </c>
      <c r="BD148" s="194" t="inlineStr">
        <is>
          <t/>
        </is>
      </c>
      <c r="BE148" s="195" t="inlineStr">
        <is>
          <t/>
        </is>
      </c>
      <c r="BF148" s="196" t="inlineStr">
        <is>
          <t/>
        </is>
      </c>
      <c r="BG148" s="197" t="n">
        <v>42248.0</v>
      </c>
      <c r="BH148" s="198" t="n">
        <v>0.47</v>
      </c>
      <c r="BI148" s="199" t="inlineStr">
        <is>
          <t>Actual</t>
        </is>
      </c>
      <c r="BJ148" s="200" t="inlineStr">
        <is>
          <t/>
        </is>
      </c>
      <c r="BK148" s="201" t="inlineStr">
        <is>
          <t/>
        </is>
      </c>
      <c r="BL148" s="202" t="inlineStr">
        <is>
          <t>Seed Round</t>
        </is>
      </c>
      <c r="BM148" s="203" t="inlineStr">
        <is>
          <t>Seed</t>
        </is>
      </c>
      <c r="BN148" s="204" t="inlineStr">
        <is>
          <t/>
        </is>
      </c>
      <c r="BO148" s="205" t="inlineStr">
        <is>
          <t>Individual</t>
        </is>
      </c>
      <c r="BP148" s="206" t="inlineStr">
        <is>
          <t/>
        </is>
      </c>
      <c r="BQ148" s="207" t="inlineStr">
        <is>
          <t/>
        </is>
      </c>
      <c r="BR148" s="208" t="inlineStr">
        <is>
          <t/>
        </is>
      </c>
      <c r="BS148" s="209" t="inlineStr">
        <is>
          <t>Completed</t>
        </is>
      </c>
      <c r="BT148" s="210" t="n">
        <v>42892.0</v>
      </c>
      <c r="BU148" s="211" t="n">
        <v>4.46</v>
      </c>
      <c r="BV148" s="212" t="inlineStr">
        <is>
          <t>Actual</t>
        </is>
      </c>
      <c r="BW148" s="213" t="inlineStr">
        <is>
          <t/>
        </is>
      </c>
      <c r="BX148" s="214" t="inlineStr">
        <is>
          <t/>
        </is>
      </c>
      <c r="BY148" s="215" t="inlineStr">
        <is>
          <t>Early Stage VC</t>
        </is>
      </c>
      <c r="BZ148" s="216" t="inlineStr">
        <is>
          <t>Series B</t>
        </is>
      </c>
      <c r="CA148" s="217" t="inlineStr">
        <is>
          <t/>
        </is>
      </c>
      <c r="CB148" s="218" t="inlineStr">
        <is>
          <t>Venture Capital</t>
        </is>
      </c>
      <c r="CC148" s="219" t="inlineStr">
        <is>
          <t/>
        </is>
      </c>
      <c r="CD148" s="220" t="inlineStr">
        <is>
          <t/>
        </is>
      </c>
      <c r="CE148" s="221" t="inlineStr">
        <is>
          <t/>
        </is>
      </c>
      <c r="CF148" s="222" t="inlineStr">
        <is>
          <t>Completed</t>
        </is>
      </c>
      <c r="CG148" s="223" t="inlineStr">
        <is>
          <t>2,25%</t>
        </is>
      </c>
      <c r="CH148" s="224" t="inlineStr">
        <is>
          <t>94</t>
        </is>
      </c>
      <c r="CI148" s="225" t="inlineStr">
        <is>
          <t>-1,57%</t>
        </is>
      </c>
      <c r="CJ148" s="226" t="inlineStr">
        <is>
          <t>-41,08%</t>
        </is>
      </c>
      <c r="CK148" s="227" t="inlineStr">
        <is>
          <t>3,83%</t>
        </is>
      </c>
      <c r="CL148" s="228" t="inlineStr">
        <is>
          <t>95</t>
        </is>
      </c>
      <c r="CM148" s="229" t="inlineStr">
        <is>
          <t>0,68%</t>
        </is>
      </c>
      <c r="CN148" s="230" t="inlineStr">
        <is>
          <t>93</t>
        </is>
      </c>
      <c r="CO148" s="231" t="inlineStr">
        <is>
          <t>3,83%</t>
        </is>
      </c>
      <c r="CP148" s="232" t="inlineStr">
        <is>
          <t>94</t>
        </is>
      </c>
      <c r="CQ148" s="233" t="inlineStr">
        <is>
          <t/>
        </is>
      </c>
      <c r="CR148" s="234" t="inlineStr">
        <is>
          <t/>
        </is>
      </c>
      <c r="CS148" s="235" t="inlineStr">
        <is>
          <t>0,68%</t>
        </is>
      </c>
      <c r="CT148" s="236" t="inlineStr">
        <is>
          <t>91</t>
        </is>
      </c>
      <c r="CU148" s="237" t="inlineStr">
        <is>
          <t/>
        </is>
      </c>
      <c r="CV148" s="238" t="inlineStr">
        <is>
          <t/>
        </is>
      </c>
      <c r="CW148" s="239" t="inlineStr">
        <is>
          <t>18,16x</t>
        </is>
      </c>
      <c r="CX148" s="240" t="inlineStr">
        <is>
          <t>91</t>
        </is>
      </c>
      <c r="CY148" s="241" t="inlineStr">
        <is>
          <t>-4,06x</t>
        </is>
      </c>
      <c r="CZ148" s="242" t="inlineStr">
        <is>
          <t>-18,27%</t>
        </is>
      </c>
      <c r="DA148" s="243" t="inlineStr">
        <is>
          <t>22,22x</t>
        </is>
      </c>
      <c r="DB148" s="244" t="inlineStr">
        <is>
          <t>93</t>
        </is>
      </c>
      <c r="DC148" s="245" t="inlineStr">
        <is>
          <t>14,10x</t>
        </is>
      </c>
      <c r="DD148" s="246" t="inlineStr">
        <is>
          <t>87</t>
        </is>
      </c>
      <c r="DE148" s="247" t="inlineStr">
        <is>
          <t>22,22x</t>
        </is>
      </c>
      <c r="DF148" s="248" t="inlineStr">
        <is>
          <t>89</t>
        </is>
      </c>
      <c r="DG148" s="249" t="inlineStr">
        <is>
          <t/>
        </is>
      </c>
      <c r="DH148" s="250" t="inlineStr">
        <is>
          <t/>
        </is>
      </c>
      <c r="DI148" s="251" t="inlineStr">
        <is>
          <t>14,10x</t>
        </is>
      </c>
      <c r="DJ148" s="252" t="inlineStr">
        <is>
          <t>85</t>
        </is>
      </c>
      <c r="DK148" s="253" t="inlineStr">
        <is>
          <t/>
        </is>
      </c>
      <c r="DL148" s="254" t="inlineStr">
        <is>
          <t/>
        </is>
      </c>
      <c r="DM148" s="255" t="inlineStr">
        <is>
          <t>13.469</t>
        </is>
      </c>
      <c r="DN148" s="256" t="inlineStr">
        <is>
          <t>590</t>
        </is>
      </c>
      <c r="DO148" s="257" t="inlineStr">
        <is>
          <t>4,58%</t>
        </is>
      </c>
      <c r="DP148" s="258" t="inlineStr">
        <is>
          <t>11.223</t>
        </is>
      </c>
      <c r="DQ148" s="259" t="inlineStr">
        <is>
          <t>70</t>
        </is>
      </c>
      <c r="DR148" s="260" t="inlineStr">
        <is>
          <t>0,63%</t>
        </is>
      </c>
      <c r="DS148" s="261" t="inlineStr">
        <is>
          <t/>
        </is>
      </c>
      <c r="DT148" s="262" t="inlineStr">
        <is>
          <t/>
        </is>
      </c>
      <c r="DU148" s="263" t="inlineStr">
        <is>
          <t/>
        </is>
      </c>
      <c r="DV148" s="264" t="inlineStr">
        <is>
          <t/>
        </is>
      </c>
      <c r="DW148" s="265" t="inlineStr">
        <is>
          <t/>
        </is>
      </c>
      <c r="DX148" s="266" t="inlineStr">
        <is>
          <t/>
        </is>
      </c>
      <c r="DY148" s="267" t="inlineStr">
        <is>
          <t>PitchBook Research</t>
        </is>
      </c>
      <c r="DZ148" s="786">
        <f>HYPERLINK("https://my.pitchbook.com?c=152668-90", "View company online")</f>
      </c>
    </row>
    <row r="149">
      <c r="A149" s="9" t="inlineStr">
        <is>
          <t>62992-09</t>
        </is>
      </c>
      <c r="B149" s="10" t="inlineStr">
        <is>
          <t>Doctolib</t>
        </is>
      </c>
      <c r="C149" s="11" t="inlineStr">
        <is>
          <t/>
        </is>
      </c>
      <c r="D149" s="12" t="inlineStr">
        <is>
          <t/>
        </is>
      </c>
      <c r="E149" s="13" t="inlineStr">
        <is>
          <t>62992-09</t>
        </is>
      </c>
      <c r="F149" s="14" t="inlineStr">
        <is>
          <t>Developer of an application platform designed for patients to choose their doctor, make an appointment and monitor their health. The company's platform offers management software for physicians and health practitioners that optimizes the management of appointments.</t>
        </is>
      </c>
      <c r="G149" s="15" t="inlineStr">
        <is>
          <t>Information Technology</t>
        </is>
      </c>
      <c r="H149" s="16" t="inlineStr">
        <is>
          <t>Software</t>
        </is>
      </c>
      <c r="I149" s="17" t="inlineStr">
        <is>
          <t>Social/Platform Software</t>
        </is>
      </c>
      <c r="J149" s="18" t="inlineStr">
        <is>
          <t>Social/Platform Software*; Other Healthcare Technology Systems</t>
        </is>
      </c>
      <c r="K149" s="19" t="inlineStr">
        <is>
          <t>HealthTech, Mobile</t>
        </is>
      </c>
      <c r="L149" s="20" t="inlineStr">
        <is>
          <t>Venture Capital-Backed</t>
        </is>
      </c>
      <c r="M149" s="21" t="n">
        <v>51.03</v>
      </c>
      <c r="N149" s="22" t="inlineStr">
        <is>
          <t>Generating Revenue</t>
        </is>
      </c>
      <c r="O149" s="23" t="inlineStr">
        <is>
          <t>Privately Held (backing)</t>
        </is>
      </c>
      <c r="P149" s="24" t="inlineStr">
        <is>
          <t>Venture Capital</t>
        </is>
      </c>
      <c r="Q149" s="25" t="inlineStr">
        <is>
          <t>www.doctolib.fr</t>
        </is>
      </c>
      <c r="R149" s="26" t="n">
        <v>300.0</v>
      </c>
      <c r="S149" s="27" t="inlineStr">
        <is>
          <t/>
        </is>
      </c>
      <c r="T149" s="28" t="inlineStr">
        <is>
          <t/>
        </is>
      </c>
      <c r="U149" s="29" t="n">
        <v>2013.0</v>
      </c>
      <c r="V149" s="30" t="inlineStr">
        <is>
          <t/>
        </is>
      </c>
      <c r="W149" s="31" t="inlineStr">
        <is>
          <t/>
        </is>
      </c>
      <c r="X149" s="32" t="inlineStr">
        <is>
          <t/>
        </is>
      </c>
      <c r="Y149" s="33" t="inlineStr">
        <is>
          <t/>
        </is>
      </c>
      <c r="Z149" s="34" t="inlineStr">
        <is>
          <t/>
        </is>
      </c>
      <c r="AA149" s="35" t="inlineStr">
        <is>
          <t/>
        </is>
      </c>
      <c r="AB149" s="36" t="inlineStr">
        <is>
          <t/>
        </is>
      </c>
      <c r="AC149" s="37" t="inlineStr">
        <is>
          <t/>
        </is>
      </c>
      <c r="AD149" s="38" t="inlineStr">
        <is>
          <t/>
        </is>
      </c>
      <c r="AE149" s="39" t="inlineStr">
        <is>
          <t>52725-25P</t>
        </is>
      </c>
      <c r="AF149" s="40" t="inlineStr">
        <is>
          <t>Stanislas Niox-Chateau</t>
        </is>
      </c>
      <c r="AG149" s="41" t="inlineStr">
        <is>
          <t>Chief Executive Officer, Co-Founder &amp; Chairman</t>
        </is>
      </c>
      <c r="AH149" s="42" t="inlineStr">
        <is>
          <t>stanislas@doctolib.fr</t>
        </is>
      </c>
      <c r="AI149" s="43" t="inlineStr">
        <is>
          <t>+33 (0)1 83 35 53 58</t>
        </is>
      </c>
      <c r="AJ149" s="44" t="inlineStr">
        <is>
          <t>Paris, France</t>
        </is>
      </c>
      <c r="AK149" s="45" t="inlineStr">
        <is>
          <t>131 boulevard de Sebastopol</t>
        </is>
      </c>
      <c r="AL149" s="46" t="inlineStr">
        <is>
          <t/>
        </is>
      </c>
      <c r="AM149" s="47" t="inlineStr">
        <is>
          <t>Paris</t>
        </is>
      </c>
      <c r="AN149" s="48" t="inlineStr">
        <is>
          <t/>
        </is>
      </c>
      <c r="AO149" s="49" t="inlineStr">
        <is>
          <t>75002</t>
        </is>
      </c>
      <c r="AP149" s="50" t="inlineStr">
        <is>
          <t>France</t>
        </is>
      </c>
      <c r="AQ149" s="51" t="inlineStr">
        <is>
          <t>+33 (0)1 83 35 53 58</t>
        </is>
      </c>
      <c r="AR149" s="52" t="inlineStr">
        <is>
          <t/>
        </is>
      </c>
      <c r="AS149" s="53" t="inlineStr">
        <is>
          <t>julia@doctolib.fr</t>
        </is>
      </c>
      <c r="AT149" s="54" t="inlineStr">
        <is>
          <t>Europe</t>
        </is>
      </c>
      <c r="AU149" s="55" t="inlineStr">
        <is>
          <t>Western Europe</t>
        </is>
      </c>
      <c r="AV149" s="56" t="inlineStr">
        <is>
          <t>The company raised EUR 26 million of Series C venture funding in a deal led by Bpifrance on January 25, 2017. Accel Partners, Nicolas Brusson, Pierre Kosciusko-Moziret and Ludwig Klitzsch also participated in the round. The funds will be used to grow across Europe and to recruit 150 employees throughout 2017.</t>
        </is>
      </c>
      <c r="AW149" s="57" t="inlineStr">
        <is>
          <t>Accel, Agoranov, Antoine Freysz, Bertrand Jelensperger, Bpifrance, Kerala Ventures, Ludwig Klitzsch, Maxime Forgeot, Nicolas Brusson, Olivier Occelli, Pierre Kosciusko Morizet</t>
        </is>
      </c>
      <c r="AX149" s="58" t="n">
        <v>11.0</v>
      </c>
      <c r="AY149" s="59" t="inlineStr">
        <is>
          <t/>
        </is>
      </c>
      <c r="AZ149" s="60" t="inlineStr">
        <is>
          <t/>
        </is>
      </c>
      <c r="BA149" s="61" t="inlineStr">
        <is>
          <t/>
        </is>
      </c>
      <c r="BB149" s="62" t="inlineStr">
        <is>
          <t>Accel (www.accel.com), Agoranov (www.agoranov.com), Bpifrance (www.bpifrance.fr), Kerala Ventures (www.krlventures.com)</t>
        </is>
      </c>
      <c r="BC149" s="63" t="inlineStr">
        <is>
          <t/>
        </is>
      </c>
      <c r="BD149" s="64" t="inlineStr">
        <is>
          <t/>
        </is>
      </c>
      <c r="BE149" s="65" t="inlineStr">
        <is>
          <t>Dechert (Legal Advisor), Gide Loyrette Nouel (Legal Advisor)</t>
        </is>
      </c>
      <c r="BF149" s="66" t="inlineStr">
        <is>
          <t>Gide Loyrette Nouel (Legal Advisor)</t>
        </is>
      </c>
      <c r="BG149" s="67" t="n">
        <v>41674.0</v>
      </c>
      <c r="BH149" s="68" t="n">
        <v>1.03</v>
      </c>
      <c r="BI149" s="69" t="inlineStr">
        <is>
          <t>Actual</t>
        </is>
      </c>
      <c r="BJ149" s="70" t="inlineStr">
        <is>
          <t/>
        </is>
      </c>
      <c r="BK149" s="71" t="inlineStr">
        <is>
          <t/>
        </is>
      </c>
      <c r="BL149" s="72" t="inlineStr">
        <is>
          <t>Early Stage VC</t>
        </is>
      </c>
      <c r="BM149" s="73" t="inlineStr">
        <is>
          <t/>
        </is>
      </c>
      <c r="BN149" s="74" t="inlineStr">
        <is>
          <t/>
        </is>
      </c>
      <c r="BO149" s="75" t="inlineStr">
        <is>
          <t>Venture Capital</t>
        </is>
      </c>
      <c r="BP149" s="76" t="inlineStr">
        <is>
          <t/>
        </is>
      </c>
      <c r="BQ149" s="77" t="inlineStr">
        <is>
          <t/>
        </is>
      </c>
      <c r="BR149" s="78" t="inlineStr">
        <is>
          <t/>
        </is>
      </c>
      <c r="BS149" s="79" t="inlineStr">
        <is>
          <t>Completed</t>
        </is>
      </c>
      <c r="BT149" s="80" t="n">
        <v>42760.0</v>
      </c>
      <c r="BU149" s="81" t="n">
        <v>26.0</v>
      </c>
      <c r="BV149" s="82" t="inlineStr">
        <is>
          <t>Actual</t>
        </is>
      </c>
      <c r="BW149" s="83" t="inlineStr">
        <is>
          <t/>
        </is>
      </c>
      <c r="BX149" s="84" t="inlineStr">
        <is>
          <t/>
        </is>
      </c>
      <c r="BY149" s="85" t="inlineStr">
        <is>
          <t>Later Stage VC</t>
        </is>
      </c>
      <c r="BZ149" s="86" t="inlineStr">
        <is>
          <t>Series C</t>
        </is>
      </c>
      <c r="CA149" s="87" t="inlineStr">
        <is>
          <t/>
        </is>
      </c>
      <c r="CB149" s="88" t="inlineStr">
        <is>
          <t>Venture Capital</t>
        </is>
      </c>
      <c r="CC149" s="89" t="inlineStr">
        <is>
          <t/>
        </is>
      </c>
      <c r="CD149" s="90" t="inlineStr">
        <is>
          <t/>
        </is>
      </c>
      <c r="CE149" s="91" t="inlineStr">
        <is>
          <t/>
        </is>
      </c>
      <c r="CF149" s="92" t="inlineStr">
        <is>
          <t>Completed</t>
        </is>
      </c>
      <c r="CG149" s="93" t="inlineStr">
        <is>
          <t>0,46%</t>
        </is>
      </c>
      <c r="CH149" s="94" t="inlineStr">
        <is>
          <t>83</t>
        </is>
      </c>
      <c r="CI149" s="95" t="inlineStr">
        <is>
          <t>-0,01%</t>
        </is>
      </c>
      <c r="CJ149" s="96" t="inlineStr">
        <is>
          <t>-2,61%</t>
        </is>
      </c>
      <c r="CK149" s="97" t="inlineStr">
        <is>
          <t>0,54%</t>
        </is>
      </c>
      <c r="CL149" s="98" t="inlineStr">
        <is>
          <t>84</t>
        </is>
      </c>
      <c r="CM149" s="99" t="inlineStr">
        <is>
          <t>0,38%</t>
        </is>
      </c>
      <c r="CN149" s="100" t="inlineStr">
        <is>
          <t>85</t>
        </is>
      </c>
      <c r="CO149" s="101" t="inlineStr">
        <is>
          <t>0,68%</t>
        </is>
      </c>
      <c r="CP149" s="102" t="inlineStr">
        <is>
          <t>83</t>
        </is>
      </c>
      <c r="CQ149" s="103" t="inlineStr">
        <is>
          <t>0,40%</t>
        </is>
      </c>
      <c r="CR149" s="104" t="inlineStr">
        <is>
          <t>86</t>
        </is>
      </c>
      <c r="CS149" s="105" t="inlineStr">
        <is>
          <t>0,50%</t>
        </is>
      </c>
      <c r="CT149" s="106" t="inlineStr">
        <is>
          <t>87</t>
        </is>
      </c>
      <c r="CU149" s="107" t="inlineStr">
        <is>
          <t>0,26%</t>
        </is>
      </c>
      <c r="CV149" s="108" t="inlineStr">
        <is>
          <t>82</t>
        </is>
      </c>
      <c r="CW149" s="109" t="inlineStr">
        <is>
          <t>642,69x</t>
        </is>
      </c>
      <c r="CX149" s="110" t="inlineStr">
        <is>
          <t>100</t>
        </is>
      </c>
      <c r="CY149" s="111" t="inlineStr">
        <is>
          <t>0,91x</t>
        </is>
      </c>
      <c r="CZ149" s="112" t="inlineStr">
        <is>
          <t>0,14%</t>
        </is>
      </c>
      <c r="DA149" s="113" t="inlineStr">
        <is>
          <t>1.269,57x</t>
        </is>
      </c>
      <c r="DB149" s="114" t="inlineStr">
        <is>
          <t>100</t>
        </is>
      </c>
      <c r="DC149" s="115" t="inlineStr">
        <is>
          <t>15,80x</t>
        </is>
      </c>
      <c r="DD149" s="116" t="inlineStr">
        <is>
          <t>88</t>
        </is>
      </c>
      <c r="DE149" s="117" t="inlineStr">
        <is>
          <t>2.432,45x</t>
        </is>
      </c>
      <c r="DF149" s="118" t="inlineStr">
        <is>
          <t>100</t>
        </is>
      </c>
      <c r="DG149" s="119" t="inlineStr">
        <is>
          <t>106,69x</t>
        </is>
      </c>
      <c r="DH149" s="120" t="inlineStr">
        <is>
          <t>99</t>
        </is>
      </c>
      <c r="DI149" s="121" t="inlineStr">
        <is>
          <t>17,56x</t>
        </is>
      </c>
      <c r="DJ149" s="122" t="inlineStr">
        <is>
          <t>87</t>
        </is>
      </c>
      <c r="DK149" s="123" t="inlineStr">
        <is>
          <t>14,05x</t>
        </is>
      </c>
      <c r="DL149" s="124" t="inlineStr">
        <is>
          <t>89</t>
        </is>
      </c>
      <c r="DM149" s="125" t="inlineStr">
        <is>
          <t>1.494.361</t>
        </is>
      </c>
      <c r="DN149" s="126" t="inlineStr">
        <is>
          <t>4.785</t>
        </is>
      </c>
      <c r="DO149" s="127" t="inlineStr">
        <is>
          <t>0,32%</t>
        </is>
      </c>
      <c r="DP149" s="128" t="inlineStr">
        <is>
          <t>13.993</t>
        </is>
      </c>
      <c r="DQ149" s="129" t="inlineStr">
        <is>
          <t>80</t>
        </is>
      </c>
      <c r="DR149" s="130" t="inlineStr">
        <is>
          <t>0,58%</t>
        </is>
      </c>
      <c r="DS149" s="131" t="inlineStr">
        <is>
          <t>3.843</t>
        </is>
      </c>
      <c r="DT149" s="132" t="inlineStr">
        <is>
          <t>3</t>
        </is>
      </c>
      <c r="DU149" s="133" t="inlineStr">
        <is>
          <t>0,08%</t>
        </is>
      </c>
      <c r="DV149" s="134" t="inlineStr">
        <is>
          <t>4.816</t>
        </is>
      </c>
      <c r="DW149" s="135" t="inlineStr">
        <is>
          <t>7</t>
        </is>
      </c>
      <c r="DX149" s="136" t="inlineStr">
        <is>
          <t>0,15%</t>
        </is>
      </c>
      <c r="DY149" s="137" t="inlineStr">
        <is>
          <t>PitchBook Research</t>
        </is>
      </c>
      <c r="DZ149" s="785">
        <f>HYPERLINK("https://my.pitchbook.com?c=62992-09", "View company online")</f>
      </c>
    </row>
    <row r="150">
      <c r="A150" s="139" t="inlineStr">
        <is>
          <t>115219-36</t>
        </is>
      </c>
      <c r="B150" s="140" t="inlineStr">
        <is>
          <t>Dojo Madness</t>
        </is>
      </c>
      <c r="C150" s="141" t="inlineStr">
        <is>
          <t/>
        </is>
      </c>
      <c r="D150" s="142" t="inlineStr">
        <is>
          <t/>
        </is>
      </c>
      <c r="E150" s="143" t="inlineStr">
        <is>
          <t>115219-36</t>
        </is>
      </c>
      <c r="F150" s="144" t="inlineStr">
        <is>
          <t>Developer of esports coaching and data applications designed to improve the experience and engagement of players in their favorite games. The company's esports coaching and data applications combine data analytics and machine learning to offer tools, contents and data visualizations for counter-strike, enabling players to improve and master their learning on online games.</t>
        </is>
      </c>
      <c r="G150" s="145" t="inlineStr">
        <is>
          <t>Information Technology</t>
        </is>
      </c>
      <c r="H150" s="146" t="inlineStr">
        <is>
          <t>Software</t>
        </is>
      </c>
      <c r="I150" s="147" t="inlineStr">
        <is>
          <t>Entertainment Software</t>
        </is>
      </c>
      <c r="J150" s="148" t="inlineStr">
        <is>
          <t>Entertainment Software*; Information Services (B2C); Application Software</t>
        </is>
      </c>
      <c r="K150" s="149" t="inlineStr">
        <is>
          <t>Artificial Intelligence &amp; Machine Learning, Big Data, EdTech, Mobile, SaaS</t>
        </is>
      </c>
      <c r="L150" s="150" t="inlineStr">
        <is>
          <t>Venture Capital-Backed</t>
        </is>
      </c>
      <c r="M150" s="151" t="n">
        <v>11.59</v>
      </c>
      <c r="N150" s="152" t="inlineStr">
        <is>
          <t>Generating Revenue</t>
        </is>
      </c>
      <c r="O150" s="153" t="inlineStr">
        <is>
          <t>Privately Held (backing)</t>
        </is>
      </c>
      <c r="P150" s="154" t="inlineStr">
        <is>
          <t>Venture Capital</t>
        </is>
      </c>
      <c r="Q150" s="155" t="inlineStr">
        <is>
          <t>www.dojomadness.com</t>
        </is>
      </c>
      <c r="R150" s="156" t="n">
        <v>45.0</v>
      </c>
      <c r="S150" s="157" t="inlineStr">
        <is>
          <t/>
        </is>
      </c>
      <c r="T150" s="158" t="inlineStr">
        <is>
          <t/>
        </is>
      </c>
      <c r="U150" s="159" t="n">
        <v>2014.0</v>
      </c>
      <c r="V150" s="160" t="inlineStr">
        <is>
          <t/>
        </is>
      </c>
      <c r="W150" s="161" t="inlineStr">
        <is>
          <t/>
        </is>
      </c>
      <c r="X150" s="162" t="inlineStr">
        <is>
          <t/>
        </is>
      </c>
      <c r="Y150" s="163" t="inlineStr">
        <is>
          <t/>
        </is>
      </c>
      <c r="Z150" s="164" t="inlineStr">
        <is>
          <t/>
        </is>
      </c>
      <c r="AA150" s="165" t="inlineStr">
        <is>
          <t/>
        </is>
      </c>
      <c r="AB150" s="166" t="inlineStr">
        <is>
          <t/>
        </is>
      </c>
      <c r="AC150" s="167" t="inlineStr">
        <is>
          <t/>
        </is>
      </c>
      <c r="AD150" s="168" t="inlineStr">
        <is>
          <t/>
        </is>
      </c>
      <c r="AE150" s="169" t="inlineStr">
        <is>
          <t>55972-45P</t>
        </is>
      </c>
      <c r="AF150" s="170" t="inlineStr">
        <is>
          <t>Jens Hilgers</t>
        </is>
      </c>
      <c r="AG150" s="171" t="inlineStr">
        <is>
          <t>Co-Founder &amp; Chief Executive Officer</t>
        </is>
      </c>
      <c r="AH150" s="172" t="inlineStr">
        <is>
          <t>jens@dojomadness.com</t>
        </is>
      </c>
      <c r="AI150" s="173" t="inlineStr">
        <is>
          <t>+49 (0)30 6098 4686</t>
        </is>
      </c>
      <c r="AJ150" s="174" t="inlineStr">
        <is>
          <t>Berlin, Germany</t>
        </is>
      </c>
      <c r="AK150" s="175" t="inlineStr">
        <is>
          <t>Axel-Springer-Strasse 54B</t>
        </is>
      </c>
      <c r="AL150" s="176" t="inlineStr">
        <is>
          <t>Third Floor</t>
        </is>
      </c>
      <c r="AM150" s="177" t="inlineStr">
        <is>
          <t>Berlin</t>
        </is>
      </c>
      <c r="AN150" s="178" t="inlineStr">
        <is>
          <t/>
        </is>
      </c>
      <c r="AO150" s="179" t="inlineStr">
        <is>
          <t>10117</t>
        </is>
      </c>
      <c r="AP150" s="180" t="inlineStr">
        <is>
          <t>Germany</t>
        </is>
      </c>
      <c r="AQ150" s="181" t="inlineStr">
        <is>
          <t>+49 (0)30 6098 4686</t>
        </is>
      </c>
      <c r="AR150" s="182" t="inlineStr">
        <is>
          <t/>
        </is>
      </c>
      <c r="AS150" s="183" t="inlineStr">
        <is>
          <t>contact@dojomadness.com</t>
        </is>
      </c>
      <c r="AT150" s="184" t="inlineStr">
        <is>
          <t>Europe</t>
        </is>
      </c>
      <c r="AU150" s="185" t="inlineStr">
        <is>
          <t>Western Europe</t>
        </is>
      </c>
      <c r="AV150" s="186" t="inlineStr">
        <is>
          <t>The company raised $6 million of Series A2 venture funding in a deal led by Raine Ventures on April 5, 2017. K Cube Ventures, March Capital Partners and DN Capital also participated in this round. The company will use the money to expand its data-driven products, including its Sumo coaching application for training League of Legends players. Previously, the company raised $4.5 million of Series A venture funding from lead investor March Capital Partners on May 19, 2016. Investitionsbank Berlin, London Venture Partners and DN Capital also participated in the round.</t>
        </is>
      </c>
      <c r="AW150" s="187" t="inlineStr">
        <is>
          <t>500 Startups, Avala Capital, Bitkraft Esports Ventures, Cavalry Ventures, Christian Edler, Claude Ritter, DN Capital, European Commission, Investitionsbank Berlin, K Cube Ventures, Kristian Segerstrale, Lawrence Barclay, London Venture Partners, March Capital Partners, Mark Hoffmann, Nikita Fahrenholz, Raine Ventures, The Hive</t>
        </is>
      </c>
      <c r="AX150" s="188" t="n">
        <v>18.0</v>
      </c>
      <c r="AY150" s="189" t="inlineStr">
        <is>
          <t/>
        </is>
      </c>
      <c r="AZ150" s="190" t="inlineStr">
        <is>
          <t/>
        </is>
      </c>
      <c r="BA150" s="191" t="inlineStr">
        <is>
          <t/>
        </is>
      </c>
      <c r="BB150" s="192" t="inlineStr">
        <is>
          <t>500 Startups (www.500.co), Avala Capital (www.avalacapital.com), Bitkraft Esports Ventures (www.bitkraft.net), Cavalry Ventures (www.cavalry.vc), Claude Ritter (www.pico.vc), DN Capital (www.dncapital.com), European Commission (ec.europa.eu), Investitionsbank Berlin (www.ibb.de), K Cube Ventures (kcubeventures.co.kr), London Venture Partners (www.londonvp.com), March Capital Partners (www.marchcp.com), The Hive (www.hivedata.com)</t>
        </is>
      </c>
      <c r="BC150" s="193" t="inlineStr">
        <is>
          <t/>
        </is>
      </c>
      <c r="BD150" s="194" t="inlineStr">
        <is>
          <t/>
        </is>
      </c>
      <c r="BE150" s="195" t="inlineStr">
        <is>
          <t>Cooley (Legal Advisor)</t>
        </is>
      </c>
      <c r="BF150" s="196" t="inlineStr">
        <is>
          <t/>
        </is>
      </c>
      <c r="BG150" s="197" t="n">
        <v>42165.0</v>
      </c>
      <c r="BH150" s="198" t="n">
        <v>2.0</v>
      </c>
      <c r="BI150" s="199" t="inlineStr">
        <is>
          <t>Actual</t>
        </is>
      </c>
      <c r="BJ150" s="200" t="inlineStr">
        <is>
          <t/>
        </is>
      </c>
      <c r="BK150" s="201" t="inlineStr">
        <is>
          <t/>
        </is>
      </c>
      <c r="BL150" s="202" t="inlineStr">
        <is>
          <t>Seed Round</t>
        </is>
      </c>
      <c r="BM150" s="203" t="inlineStr">
        <is>
          <t>Seed</t>
        </is>
      </c>
      <c r="BN150" s="204" t="inlineStr">
        <is>
          <t/>
        </is>
      </c>
      <c r="BO150" s="205" t="inlineStr">
        <is>
          <t>Venture Capital</t>
        </is>
      </c>
      <c r="BP150" s="206" t="inlineStr">
        <is>
          <t/>
        </is>
      </c>
      <c r="BQ150" s="207" t="inlineStr">
        <is>
          <t/>
        </is>
      </c>
      <c r="BR150" s="208" t="inlineStr">
        <is>
          <t/>
        </is>
      </c>
      <c r="BS150" s="209" t="inlineStr">
        <is>
          <t>Completed</t>
        </is>
      </c>
      <c r="BT150" s="210" t="n">
        <v>42830.0</v>
      </c>
      <c r="BU150" s="211" t="n">
        <v>5.61</v>
      </c>
      <c r="BV150" s="212" t="inlineStr">
        <is>
          <t>Actual</t>
        </is>
      </c>
      <c r="BW150" s="213" t="inlineStr">
        <is>
          <t/>
        </is>
      </c>
      <c r="BX150" s="214" t="inlineStr">
        <is>
          <t/>
        </is>
      </c>
      <c r="BY150" s="215" t="inlineStr">
        <is>
          <t>Early Stage VC</t>
        </is>
      </c>
      <c r="BZ150" s="216" t="inlineStr">
        <is>
          <t>Series A2</t>
        </is>
      </c>
      <c r="CA150" s="217" t="inlineStr">
        <is>
          <t/>
        </is>
      </c>
      <c r="CB150" s="218" t="inlineStr">
        <is>
          <t>Venture Capital</t>
        </is>
      </c>
      <c r="CC150" s="219" t="inlineStr">
        <is>
          <t/>
        </is>
      </c>
      <c r="CD150" s="220" t="inlineStr">
        <is>
          <t/>
        </is>
      </c>
      <c r="CE150" s="221" t="inlineStr">
        <is>
          <t/>
        </is>
      </c>
      <c r="CF150" s="222" t="inlineStr">
        <is>
          <t>Completed</t>
        </is>
      </c>
      <c r="CG150" s="223" t="inlineStr">
        <is>
          <t>1,11%</t>
        </is>
      </c>
      <c r="CH150" s="224" t="inlineStr">
        <is>
          <t>89</t>
        </is>
      </c>
      <c r="CI150" s="225" t="inlineStr">
        <is>
          <t>-0,03%</t>
        </is>
      </c>
      <c r="CJ150" s="226" t="inlineStr">
        <is>
          <t>-2,22%</t>
        </is>
      </c>
      <c r="CK150" s="227" t="inlineStr">
        <is>
          <t>2,01%</t>
        </is>
      </c>
      <c r="CL150" s="228" t="inlineStr">
        <is>
          <t>91</t>
        </is>
      </c>
      <c r="CM150" s="229" t="inlineStr">
        <is>
          <t>0,21%</t>
        </is>
      </c>
      <c r="CN150" s="230" t="inlineStr">
        <is>
          <t>74</t>
        </is>
      </c>
      <c r="CO150" s="231" t="inlineStr">
        <is>
          <t>4,02%</t>
        </is>
      </c>
      <c r="CP150" s="232" t="inlineStr">
        <is>
          <t>94</t>
        </is>
      </c>
      <c r="CQ150" s="233" t="inlineStr">
        <is>
          <t>0,00%</t>
        </is>
      </c>
      <c r="CR150" s="234" t="inlineStr">
        <is>
          <t>13</t>
        </is>
      </c>
      <c r="CS150" s="235" t="inlineStr">
        <is>
          <t>0,00%</t>
        </is>
      </c>
      <c r="CT150" s="236" t="inlineStr">
        <is>
          <t>18</t>
        </is>
      </c>
      <c r="CU150" s="237" t="inlineStr">
        <is>
          <t>0,42%</t>
        </is>
      </c>
      <c r="CV150" s="238" t="inlineStr">
        <is>
          <t>89</t>
        </is>
      </c>
      <c r="CW150" s="239" t="inlineStr">
        <is>
          <t>2,14x</t>
        </is>
      </c>
      <c r="CX150" s="240" t="inlineStr">
        <is>
          <t>65</t>
        </is>
      </c>
      <c r="CY150" s="241" t="inlineStr">
        <is>
          <t>0,01x</t>
        </is>
      </c>
      <c r="CZ150" s="242" t="inlineStr">
        <is>
          <t>0,63%</t>
        </is>
      </c>
      <c r="DA150" s="243" t="inlineStr">
        <is>
          <t>3,69x</t>
        </is>
      </c>
      <c r="DB150" s="244" t="inlineStr">
        <is>
          <t>76</t>
        </is>
      </c>
      <c r="DC150" s="245" t="inlineStr">
        <is>
          <t>0,59x</t>
        </is>
      </c>
      <c r="DD150" s="246" t="inlineStr">
        <is>
          <t>39</t>
        </is>
      </c>
      <c r="DE150" s="247" t="inlineStr">
        <is>
          <t>6,17x</t>
        </is>
      </c>
      <c r="DF150" s="248" t="inlineStr">
        <is>
          <t>79</t>
        </is>
      </c>
      <c r="DG150" s="249" t="inlineStr">
        <is>
          <t>1,22x</t>
        </is>
      </c>
      <c r="DH150" s="250" t="inlineStr">
        <is>
          <t>54</t>
        </is>
      </c>
      <c r="DI150" s="251" t="inlineStr">
        <is>
          <t>0,03x</t>
        </is>
      </c>
      <c r="DJ150" s="252" t="inlineStr">
        <is>
          <t>5</t>
        </is>
      </c>
      <c r="DK150" s="253" t="inlineStr">
        <is>
          <t>1,15x</t>
        </is>
      </c>
      <c r="DL150" s="254" t="inlineStr">
        <is>
          <t>53</t>
        </is>
      </c>
      <c r="DM150" s="255" t="inlineStr">
        <is>
          <t>3.699</t>
        </is>
      </c>
      <c r="DN150" s="256" t="inlineStr">
        <is>
          <t>279</t>
        </is>
      </c>
      <c r="DO150" s="257" t="inlineStr">
        <is>
          <t>8,16%</t>
        </is>
      </c>
      <c r="DP150" s="258" t="inlineStr">
        <is>
          <t>27</t>
        </is>
      </c>
      <c r="DQ150" s="259" t="inlineStr">
        <is>
          <t>0</t>
        </is>
      </c>
      <c r="DR150" s="260" t="inlineStr">
        <is>
          <t>0,00%</t>
        </is>
      </c>
      <c r="DS150" s="261" t="inlineStr">
        <is>
          <t>44</t>
        </is>
      </c>
      <c r="DT150" s="262" t="inlineStr">
        <is>
          <t>1</t>
        </is>
      </c>
      <c r="DU150" s="263" t="inlineStr">
        <is>
          <t>2,33%</t>
        </is>
      </c>
      <c r="DV150" s="264" t="inlineStr">
        <is>
          <t>394</t>
        </is>
      </c>
      <c r="DW150" s="265" t="inlineStr">
        <is>
          <t>1</t>
        </is>
      </c>
      <c r="DX150" s="266" t="inlineStr">
        <is>
          <t>0,25%</t>
        </is>
      </c>
      <c r="DY150" s="267" t="inlineStr">
        <is>
          <t>PitchBook Research</t>
        </is>
      </c>
      <c r="DZ150" s="786">
        <f>HYPERLINK("https://my.pitchbook.com?c=115219-36", "View company online")</f>
      </c>
    </row>
    <row r="151">
      <c r="A151" s="9" t="inlineStr">
        <is>
          <t>181359-73</t>
        </is>
      </c>
      <c r="B151" s="10" t="inlineStr">
        <is>
          <t>Domotron</t>
        </is>
      </c>
      <c r="C151" s="11" t="inlineStr">
        <is>
          <t>Akira Control</t>
        </is>
      </c>
      <c r="D151" s="12" t="inlineStr">
        <is>
          <t/>
        </is>
      </c>
      <c r="E151" s="13" t="inlineStr">
        <is>
          <t>181359-73</t>
        </is>
      </c>
      <c r="F151" s="14" t="inlineStr">
        <is>
          <t>Developer and seller of smart household systems designed to improve the daily lives of customers. The company's products includes sensors that record the temperature, weather, humidity and air quality, movement in the house and are connected to the security system allowing the user to set all by himself without the intervention of a service technician or programming knowledge, enabling customers to get an affordable and easy to operate technology.</t>
        </is>
      </c>
      <c r="G151" s="15" t="inlineStr">
        <is>
          <t>Information Technology</t>
        </is>
      </c>
      <c r="H151" s="16" t="inlineStr">
        <is>
          <t>Software</t>
        </is>
      </c>
      <c r="I151" s="17" t="inlineStr">
        <is>
          <t>Application Software</t>
        </is>
      </c>
      <c r="J151" s="18" t="inlineStr">
        <is>
          <t>Application Software*</t>
        </is>
      </c>
      <c r="K151" s="19" t="inlineStr">
        <is>
          <t>CleanTech, Internet of Things</t>
        </is>
      </c>
      <c r="L151" s="20" t="inlineStr">
        <is>
          <t>Venture Capital-Backed</t>
        </is>
      </c>
      <c r="M151" s="21" t="n">
        <v>10.0</v>
      </c>
      <c r="N151" s="22" t="inlineStr">
        <is>
          <t>Generating Revenue</t>
        </is>
      </c>
      <c r="O151" s="23" t="inlineStr">
        <is>
          <t>Privately Held (backing)</t>
        </is>
      </c>
      <c r="P151" s="24" t="inlineStr">
        <is>
          <t>Venture Capital</t>
        </is>
      </c>
      <c r="Q151" s="25" t="inlineStr">
        <is>
          <t>www.domotron.com</t>
        </is>
      </c>
      <c r="R151" s="26" t="inlineStr">
        <is>
          <t/>
        </is>
      </c>
      <c r="S151" s="27" t="inlineStr">
        <is>
          <t/>
        </is>
      </c>
      <c r="T151" s="28" t="inlineStr">
        <is>
          <t/>
        </is>
      </c>
      <c r="U151" s="29" t="n">
        <v>2012.0</v>
      </c>
      <c r="V151" s="30" t="inlineStr">
        <is>
          <t/>
        </is>
      </c>
      <c r="W151" s="31" t="inlineStr">
        <is>
          <t/>
        </is>
      </c>
      <c r="X151" s="32" t="inlineStr">
        <is>
          <t/>
        </is>
      </c>
      <c r="Y151" s="33" t="n">
        <v>1.91327</v>
      </c>
      <c r="Z151" s="34" t="inlineStr">
        <is>
          <t/>
        </is>
      </c>
      <c r="AA151" s="35" t="inlineStr">
        <is>
          <t/>
        </is>
      </c>
      <c r="AB151" s="36" t="inlineStr">
        <is>
          <t/>
        </is>
      </c>
      <c r="AC151" s="37" t="inlineStr">
        <is>
          <t/>
        </is>
      </c>
      <c r="AD151" s="38" t="inlineStr">
        <is>
          <t>FY 2017</t>
        </is>
      </c>
      <c r="AE151" s="39" t="inlineStr">
        <is>
          <t>163741-51P</t>
        </is>
      </c>
      <c r="AF151" s="40" t="inlineStr">
        <is>
          <t>Martin Budaj</t>
        </is>
      </c>
      <c r="AG151" s="41" t="inlineStr">
        <is>
          <t>Chief Executive Officer &amp; Co-Founder</t>
        </is>
      </c>
      <c r="AH151" s="42" t="inlineStr">
        <is>
          <t>budaj@domotron.com</t>
        </is>
      </c>
      <c r="AI151" s="43" t="inlineStr">
        <is>
          <t>+421 (0)2 2030 0037</t>
        </is>
      </c>
      <c r="AJ151" s="44" t="inlineStr">
        <is>
          <t>Bratislava, Slovakia</t>
        </is>
      </c>
      <c r="AK151" s="45" t="inlineStr">
        <is>
          <t>Stará Vajnorská 37/E</t>
        </is>
      </c>
      <c r="AL151" s="46" t="inlineStr">
        <is>
          <t/>
        </is>
      </c>
      <c r="AM151" s="47" t="inlineStr">
        <is>
          <t>Bratislava</t>
        </is>
      </c>
      <c r="AN151" s="48" t="inlineStr">
        <is>
          <t/>
        </is>
      </c>
      <c r="AO151" s="49" t="inlineStr">
        <is>
          <t>831 04</t>
        </is>
      </c>
      <c r="AP151" s="50" t="inlineStr">
        <is>
          <t>Slovakia</t>
        </is>
      </c>
      <c r="AQ151" s="51" t="inlineStr">
        <is>
          <t>+421 (0)2 2030 0037</t>
        </is>
      </c>
      <c r="AR151" s="52" t="inlineStr">
        <is>
          <t/>
        </is>
      </c>
      <c r="AS151" s="53" t="inlineStr">
        <is>
          <t>info@domotron.com</t>
        </is>
      </c>
      <c r="AT151" s="54" t="inlineStr">
        <is>
          <t>Europe</t>
        </is>
      </c>
      <c r="AU151" s="55" t="inlineStr">
        <is>
          <t>Eastern Europe</t>
        </is>
      </c>
      <c r="AV151" s="56" t="inlineStr">
        <is>
          <t>The company raised EUR 10 million of venture funding from Bohemia Venture Capital on May 19, 2017.</t>
        </is>
      </c>
      <c r="AW151" s="57" t="inlineStr">
        <is>
          <t>Bohemian Ventures</t>
        </is>
      </c>
      <c r="AX151" s="58" t="n">
        <v>1.0</v>
      </c>
      <c r="AY151" s="59" t="inlineStr">
        <is>
          <t/>
        </is>
      </c>
      <c r="AZ151" s="60" t="inlineStr">
        <is>
          <t/>
        </is>
      </c>
      <c r="BA151" s="61" t="inlineStr">
        <is>
          <t/>
        </is>
      </c>
      <c r="BB151" s="62" t="inlineStr">
        <is>
          <t/>
        </is>
      </c>
      <c r="BC151" s="63" t="inlineStr">
        <is>
          <t/>
        </is>
      </c>
      <c r="BD151" s="64" t="inlineStr">
        <is>
          <t/>
        </is>
      </c>
      <c r="BE151" s="65" t="inlineStr">
        <is>
          <t/>
        </is>
      </c>
      <c r="BF151" s="66" t="inlineStr">
        <is>
          <t/>
        </is>
      </c>
      <c r="BG151" s="67" t="n">
        <v>42874.0</v>
      </c>
      <c r="BH151" s="68" t="n">
        <v>10.0</v>
      </c>
      <c r="BI151" s="69" t="inlineStr">
        <is>
          <t>Actual</t>
        </is>
      </c>
      <c r="BJ151" s="70" t="n">
        <v>28.57</v>
      </c>
      <c r="BK151" s="71" t="inlineStr">
        <is>
          <t>Actual</t>
        </is>
      </c>
      <c r="BL151" s="72" t="inlineStr">
        <is>
          <t>Early Stage VC</t>
        </is>
      </c>
      <c r="BM151" s="73" t="inlineStr">
        <is>
          <t/>
        </is>
      </c>
      <c r="BN151" s="74" t="inlineStr">
        <is>
          <t/>
        </is>
      </c>
      <c r="BO151" s="75" t="inlineStr">
        <is>
          <t>Venture Capital</t>
        </is>
      </c>
      <c r="BP151" s="76" t="inlineStr">
        <is>
          <t/>
        </is>
      </c>
      <c r="BQ151" s="77" t="inlineStr">
        <is>
          <t/>
        </is>
      </c>
      <c r="BR151" s="78" t="inlineStr">
        <is>
          <t/>
        </is>
      </c>
      <c r="BS151" s="79" t="inlineStr">
        <is>
          <t>Completed</t>
        </is>
      </c>
      <c r="BT151" s="80" t="n">
        <v>42874.0</v>
      </c>
      <c r="BU151" s="81" t="n">
        <v>10.0</v>
      </c>
      <c r="BV151" s="82" t="inlineStr">
        <is>
          <t>Actual</t>
        </is>
      </c>
      <c r="BW151" s="83" t="n">
        <v>28.57</v>
      </c>
      <c r="BX151" s="84" t="inlineStr">
        <is>
          <t>Actual</t>
        </is>
      </c>
      <c r="BY151" s="85" t="inlineStr">
        <is>
          <t>Early Stage VC</t>
        </is>
      </c>
      <c r="BZ151" s="86" t="inlineStr">
        <is>
          <t/>
        </is>
      </c>
      <c r="CA151" s="87" t="inlineStr">
        <is>
          <t/>
        </is>
      </c>
      <c r="CB151" s="88" t="inlineStr">
        <is>
          <t>Venture Capital</t>
        </is>
      </c>
      <c r="CC151" s="89" t="inlineStr">
        <is>
          <t/>
        </is>
      </c>
      <c r="CD151" s="90" t="inlineStr">
        <is>
          <t/>
        </is>
      </c>
      <c r="CE151" s="91" t="inlineStr">
        <is>
          <t/>
        </is>
      </c>
      <c r="CF151" s="92" t="inlineStr">
        <is>
          <t>Completed</t>
        </is>
      </c>
      <c r="CG151" s="93" t="inlineStr">
        <is>
          <t>0,19%</t>
        </is>
      </c>
      <c r="CH151" s="94" t="inlineStr">
        <is>
          <t>78</t>
        </is>
      </c>
      <c r="CI151" s="95" t="inlineStr">
        <is>
          <t>0,00%</t>
        </is>
      </c>
      <c r="CJ151" s="96" t="inlineStr">
        <is>
          <t>0,00%</t>
        </is>
      </c>
      <c r="CK151" s="97" t="inlineStr">
        <is>
          <t>0,39%</t>
        </is>
      </c>
      <c r="CL151" s="98" t="inlineStr">
        <is>
          <t>83</t>
        </is>
      </c>
      <c r="CM151" s="99" t="inlineStr">
        <is>
          <t>0,00%</t>
        </is>
      </c>
      <c r="CN151" s="100" t="inlineStr">
        <is>
          <t>19</t>
        </is>
      </c>
      <c r="CO151" s="101" t="inlineStr">
        <is>
          <t>0,78%</t>
        </is>
      </c>
      <c r="CP151" s="102" t="inlineStr">
        <is>
          <t>83</t>
        </is>
      </c>
      <c r="CQ151" s="103" t="inlineStr">
        <is>
          <t>0,00%</t>
        </is>
      </c>
      <c r="CR151" s="104" t="inlineStr">
        <is>
          <t>13</t>
        </is>
      </c>
      <c r="CS151" s="105" t="inlineStr">
        <is>
          <t/>
        </is>
      </c>
      <c r="CT151" s="106" t="inlineStr">
        <is>
          <t/>
        </is>
      </c>
      <c r="CU151" s="107" t="inlineStr">
        <is>
          <t>0,00%</t>
        </is>
      </c>
      <c r="CV151" s="108" t="inlineStr">
        <is>
          <t>20</t>
        </is>
      </c>
      <c r="CW151" s="109" t="inlineStr">
        <is>
          <t>0,75x</t>
        </is>
      </c>
      <c r="CX151" s="110" t="inlineStr">
        <is>
          <t>42</t>
        </is>
      </c>
      <c r="CY151" s="111" t="inlineStr">
        <is>
          <t>0,01x</t>
        </is>
      </c>
      <c r="CZ151" s="112" t="inlineStr">
        <is>
          <t>2,03%</t>
        </is>
      </c>
      <c r="DA151" s="113" t="inlineStr">
        <is>
          <t>1,39x</t>
        </is>
      </c>
      <c r="DB151" s="114" t="inlineStr">
        <is>
          <t>59</t>
        </is>
      </c>
      <c r="DC151" s="115" t="inlineStr">
        <is>
          <t>0,11x</t>
        </is>
      </c>
      <c r="DD151" s="116" t="inlineStr">
        <is>
          <t>15</t>
        </is>
      </c>
      <c r="DE151" s="117" t="inlineStr">
        <is>
          <t>1,95x</t>
        </is>
      </c>
      <c r="DF151" s="118" t="inlineStr">
        <is>
          <t>63</t>
        </is>
      </c>
      <c r="DG151" s="119" t="inlineStr">
        <is>
          <t>0,83x</t>
        </is>
      </c>
      <c r="DH151" s="120" t="inlineStr">
        <is>
          <t>46</t>
        </is>
      </c>
      <c r="DI151" s="121" t="inlineStr">
        <is>
          <t/>
        </is>
      </c>
      <c r="DJ151" s="122" t="inlineStr">
        <is>
          <t/>
        </is>
      </c>
      <c r="DK151" s="123" t="inlineStr">
        <is>
          <t>0,11x</t>
        </is>
      </c>
      <c r="DL151" s="124" t="inlineStr">
        <is>
          <t>19</t>
        </is>
      </c>
      <c r="DM151" s="125" t="inlineStr">
        <is>
          <t>1.212</t>
        </is>
      </c>
      <c r="DN151" s="126" t="inlineStr">
        <is>
          <t>-39</t>
        </is>
      </c>
      <c r="DO151" s="127" t="inlineStr">
        <is>
          <t>-3,12%</t>
        </is>
      </c>
      <c r="DP151" s="128" t="inlineStr">
        <is>
          <t>1.218</t>
        </is>
      </c>
      <c r="DQ151" s="129" t="inlineStr">
        <is>
          <t>0</t>
        </is>
      </c>
      <c r="DR151" s="130" t="inlineStr">
        <is>
          <t>0,00%</t>
        </is>
      </c>
      <c r="DS151" s="131" t="inlineStr">
        <is>
          <t>29</t>
        </is>
      </c>
      <c r="DT151" s="132" t="inlineStr">
        <is>
          <t>0</t>
        </is>
      </c>
      <c r="DU151" s="133" t="inlineStr">
        <is>
          <t>0,00%</t>
        </is>
      </c>
      <c r="DV151" s="134" t="inlineStr">
        <is>
          <t>36</t>
        </is>
      </c>
      <c r="DW151" s="135" t="inlineStr">
        <is>
          <t>0</t>
        </is>
      </c>
      <c r="DX151" s="136" t="inlineStr">
        <is>
          <t>0,00%</t>
        </is>
      </c>
      <c r="DY151" s="137" t="inlineStr">
        <is>
          <t>PitchBook Research</t>
        </is>
      </c>
      <c r="DZ151" s="785">
        <f>HYPERLINK("https://my.pitchbook.com?c=181359-73", "View company online")</f>
      </c>
    </row>
    <row r="152">
      <c r="A152" s="139" t="inlineStr">
        <is>
          <t>64814-68</t>
        </is>
      </c>
      <c r="B152" s="140" t="inlineStr">
        <is>
          <t>Doozer</t>
        </is>
      </c>
      <c r="C152" s="141" t="inlineStr">
        <is>
          <t/>
        </is>
      </c>
      <c r="D152" s="142" t="inlineStr">
        <is>
          <t/>
        </is>
      </c>
      <c r="E152" s="143" t="inlineStr">
        <is>
          <t>64814-68</t>
        </is>
      </c>
      <c r="F152" s="144" t="inlineStr">
        <is>
          <t>Operator of a home renovation platform designed to contract craftsmen and companies to repair and renovate real estate. The company's platform combines the speed of the internet with the workmanship and professional trade services which would normally require a commissioning period of 2-3 weeks can be compiled, scheduled and commissioned within an hour, enabling real estate companies to get attractive purchasing conditions for clients including price and quality guarantee.</t>
        </is>
      </c>
      <c r="G152" s="145" t="inlineStr">
        <is>
          <t>Business Products and Services (B2B)</t>
        </is>
      </c>
      <c r="H152" s="146" t="inlineStr">
        <is>
          <t>Commercial Services</t>
        </is>
      </c>
      <c r="I152" s="147" t="inlineStr">
        <is>
          <t>Media and Information Services (B2B)</t>
        </is>
      </c>
      <c r="J152" s="148" t="inlineStr">
        <is>
          <t>Media and Information Services (B2B)*; Social/Platform Software</t>
        </is>
      </c>
      <c r="K152" s="149" t="inlineStr">
        <is>
          <t>E-Commerce</t>
        </is>
      </c>
      <c r="L152" s="150" t="inlineStr">
        <is>
          <t>Venture Capital-Backed</t>
        </is>
      </c>
      <c r="M152" s="151" t="n">
        <v>8.5</v>
      </c>
      <c r="N152" s="152" t="inlineStr">
        <is>
          <t>Generating Revenue</t>
        </is>
      </c>
      <c r="O152" s="153" t="inlineStr">
        <is>
          <t>Privately Held (backing)</t>
        </is>
      </c>
      <c r="P152" s="154" t="inlineStr">
        <is>
          <t>Venture Capital</t>
        </is>
      </c>
      <c r="Q152" s="155" t="inlineStr">
        <is>
          <t>dasist.doozer.de</t>
        </is>
      </c>
      <c r="R152" s="156" t="n">
        <v>20.0</v>
      </c>
      <c r="S152" s="157" t="inlineStr">
        <is>
          <t/>
        </is>
      </c>
      <c r="T152" s="158" t="inlineStr">
        <is>
          <t/>
        </is>
      </c>
      <c r="U152" s="159" t="n">
        <v>2014.0</v>
      </c>
      <c r="V152" s="160" t="inlineStr">
        <is>
          <t/>
        </is>
      </c>
      <c r="W152" s="161" t="inlineStr">
        <is>
          <t/>
        </is>
      </c>
      <c r="X152" s="162" t="inlineStr">
        <is>
          <t/>
        </is>
      </c>
      <c r="Y152" s="163" t="inlineStr">
        <is>
          <t/>
        </is>
      </c>
      <c r="Z152" s="164" t="inlineStr">
        <is>
          <t/>
        </is>
      </c>
      <c r="AA152" s="165" t="inlineStr">
        <is>
          <t/>
        </is>
      </c>
      <c r="AB152" s="166" t="inlineStr">
        <is>
          <t/>
        </is>
      </c>
      <c r="AC152" s="167" t="inlineStr">
        <is>
          <t/>
        </is>
      </c>
      <c r="AD152" s="168" t="inlineStr">
        <is>
          <t/>
        </is>
      </c>
      <c r="AE152" s="169" t="inlineStr">
        <is>
          <t>123376-15P</t>
        </is>
      </c>
      <c r="AF152" s="170" t="inlineStr">
        <is>
          <t>Jan-Hendrik Dörlitz</t>
        </is>
      </c>
      <c r="AG152" s="171" t="inlineStr">
        <is>
          <t>Co-Founder</t>
        </is>
      </c>
      <c r="AH152" s="172" t="inlineStr">
        <is>
          <t>jan-hendrik@doozer.de</t>
        </is>
      </c>
      <c r="AI152" s="173" t="inlineStr">
        <is>
          <t>+49 (0)30 5557 8521 0</t>
        </is>
      </c>
      <c r="AJ152" s="174" t="inlineStr">
        <is>
          <t>Berlin, Germany</t>
        </is>
      </c>
      <c r="AK152" s="175" t="inlineStr">
        <is>
          <t>Greifswalder Straße 5</t>
        </is>
      </c>
      <c r="AL152" s="176" t="inlineStr">
        <is>
          <t/>
        </is>
      </c>
      <c r="AM152" s="177" t="inlineStr">
        <is>
          <t>Berlin</t>
        </is>
      </c>
      <c r="AN152" s="178" t="inlineStr">
        <is>
          <t/>
        </is>
      </c>
      <c r="AO152" s="179" t="inlineStr">
        <is>
          <t>10405</t>
        </is>
      </c>
      <c r="AP152" s="180" t="inlineStr">
        <is>
          <t>Germany</t>
        </is>
      </c>
      <c r="AQ152" s="181" t="inlineStr">
        <is>
          <t>+49 (0)30 5557 8521 0</t>
        </is>
      </c>
      <c r="AR152" s="182" t="inlineStr">
        <is>
          <t/>
        </is>
      </c>
      <c r="AS152" s="183" t="inlineStr">
        <is>
          <t>info@doozer.de</t>
        </is>
      </c>
      <c r="AT152" s="184" t="inlineStr">
        <is>
          <t>Europe</t>
        </is>
      </c>
      <c r="AU152" s="185" t="inlineStr">
        <is>
          <t>Western Europe</t>
        </is>
      </c>
      <c r="AV152" s="186" t="inlineStr">
        <is>
          <t>The company raised EUR 3.5 million of venture funding from Innogy Ventures, Christian Vollmann and Felix Jahn on August 17, 2017. Kristofer Fichtner, Lukas Brosseder and Dirk Graber also participated in this round. The company will use this fund for the expansion of the sales team as well as for the further development of the product.</t>
        </is>
      </c>
      <c r="AW152" s="187" t="inlineStr">
        <is>
          <t>Christian Vollmann, Dirk Graber, Felix Jahn, Innogy Venture Capital, Kristofer Fichtner, Lukas Brosseder</t>
        </is>
      </c>
      <c r="AX152" s="188" t="n">
        <v>6.0</v>
      </c>
      <c r="AY152" s="189" t="inlineStr">
        <is>
          <t/>
        </is>
      </c>
      <c r="AZ152" s="190" t="inlineStr">
        <is>
          <t/>
        </is>
      </c>
      <c r="BA152" s="191" t="inlineStr">
        <is>
          <t/>
        </is>
      </c>
      <c r="BB152" s="192" t="inlineStr">
        <is>
          <t>Innogy Venture Capital (www.innogy-ventures.com)</t>
        </is>
      </c>
      <c r="BC152" s="193" t="inlineStr">
        <is>
          <t/>
        </is>
      </c>
      <c r="BD152" s="194" t="inlineStr">
        <is>
          <t/>
        </is>
      </c>
      <c r="BE152" s="195" t="inlineStr">
        <is>
          <t/>
        </is>
      </c>
      <c r="BF152" s="196" t="inlineStr">
        <is>
          <t/>
        </is>
      </c>
      <c r="BG152" s="197" t="inlineStr">
        <is>
          <t/>
        </is>
      </c>
      <c r="BH152" s="198" t="n">
        <v>5.0</v>
      </c>
      <c r="BI152" s="199" t="inlineStr">
        <is>
          <t>Actual</t>
        </is>
      </c>
      <c r="BJ152" s="200" t="inlineStr">
        <is>
          <t/>
        </is>
      </c>
      <c r="BK152" s="201" t="inlineStr">
        <is>
          <t/>
        </is>
      </c>
      <c r="BL152" s="202" t="inlineStr">
        <is>
          <t>Angel (individual)</t>
        </is>
      </c>
      <c r="BM152" s="203" t="inlineStr">
        <is>
          <t>Angel</t>
        </is>
      </c>
      <c r="BN152" s="204" t="inlineStr">
        <is>
          <t/>
        </is>
      </c>
      <c r="BO152" s="205" t="inlineStr">
        <is>
          <t>Individual</t>
        </is>
      </c>
      <c r="BP152" s="206" t="inlineStr">
        <is>
          <t/>
        </is>
      </c>
      <c r="BQ152" s="207" t="inlineStr">
        <is>
          <t/>
        </is>
      </c>
      <c r="BR152" s="208" t="inlineStr">
        <is>
          <t/>
        </is>
      </c>
      <c r="BS152" s="209" t="inlineStr">
        <is>
          <t>Completed</t>
        </is>
      </c>
      <c r="BT152" s="210" t="n">
        <v>42964.0</v>
      </c>
      <c r="BU152" s="211" t="n">
        <v>3.5</v>
      </c>
      <c r="BV152" s="212" t="inlineStr">
        <is>
          <t>Actual</t>
        </is>
      </c>
      <c r="BW152" s="213" t="inlineStr">
        <is>
          <t/>
        </is>
      </c>
      <c r="BX152" s="214" t="inlineStr">
        <is>
          <t/>
        </is>
      </c>
      <c r="BY152" s="215" t="inlineStr">
        <is>
          <t>Early Stage VC</t>
        </is>
      </c>
      <c r="BZ152" s="216" t="inlineStr">
        <is>
          <t/>
        </is>
      </c>
      <c r="CA152" s="217" t="inlineStr">
        <is>
          <t/>
        </is>
      </c>
      <c r="CB152" s="218" t="inlineStr">
        <is>
          <t>Venture Capital</t>
        </is>
      </c>
      <c r="CC152" s="219" t="inlineStr">
        <is>
          <t/>
        </is>
      </c>
      <c r="CD152" s="220" t="inlineStr">
        <is>
          <t/>
        </is>
      </c>
      <c r="CE152" s="221" t="inlineStr">
        <is>
          <t/>
        </is>
      </c>
      <c r="CF152" s="222" t="inlineStr">
        <is>
          <t>Completed</t>
        </is>
      </c>
      <c r="CG152" s="223" t="inlineStr">
        <is>
          <t/>
        </is>
      </c>
      <c r="CH152" s="224" t="inlineStr">
        <is>
          <t/>
        </is>
      </c>
      <c r="CI152" s="225" t="inlineStr">
        <is>
          <t/>
        </is>
      </c>
      <c r="CJ152" s="226" t="inlineStr">
        <is>
          <t/>
        </is>
      </c>
      <c r="CK152" s="227" t="inlineStr">
        <is>
          <t/>
        </is>
      </c>
      <c r="CL152" s="228" t="inlineStr">
        <is>
          <t/>
        </is>
      </c>
      <c r="CM152" s="229" t="inlineStr">
        <is>
          <t/>
        </is>
      </c>
      <c r="CN152" s="230" t="inlineStr">
        <is>
          <t/>
        </is>
      </c>
      <c r="CO152" s="231" t="inlineStr">
        <is>
          <t/>
        </is>
      </c>
      <c r="CP152" s="232" t="inlineStr">
        <is>
          <t/>
        </is>
      </c>
      <c r="CQ152" s="233" t="inlineStr">
        <is>
          <t/>
        </is>
      </c>
      <c r="CR152" s="234" t="inlineStr">
        <is>
          <t/>
        </is>
      </c>
      <c r="CS152" s="235" t="inlineStr">
        <is>
          <t/>
        </is>
      </c>
      <c r="CT152" s="236" t="inlineStr">
        <is>
          <t/>
        </is>
      </c>
      <c r="CU152" s="237" t="inlineStr">
        <is>
          <t/>
        </is>
      </c>
      <c r="CV152" s="238" t="inlineStr">
        <is>
          <t/>
        </is>
      </c>
      <c r="CW152" s="239" t="inlineStr">
        <is>
          <t/>
        </is>
      </c>
      <c r="CX152" s="240" t="inlineStr">
        <is>
          <t/>
        </is>
      </c>
      <c r="CY152" s="241" t="inlineStr">
        <is>
          <t/>
        </is>
      </c>
      <c r="CZ152" s="242" t="inlineStr">
        <is>
          <t/>
        </is>
      </c>
      <c r="DA152" s="243" t="inlineStr">
        <is>
          <t/>
        </is>
      </c>
      <c r="DB152" s="244" t="inlineStr">
        <is>
          <t/>
        </is>
      </c>
      <c r="DC152" s="245" t="inlineStr">
        <is>
          <t/>
        </is>
      </c>
      <c r="DD152" s="246" t="inlineStr">
        <is>
          <t/>
        </is>
      </c>
      <c r="DE152" s="247" t="inlineStr">
        <is>
          <t/>
        </is>
      </c>
      <c r="DF152" s="248" t="inlineStr">
        <is>
          <t/>
        </is>
      </c>
      <c r="DG152" s="249" t="inlineStr">
        <is>
          <t/>
        </is>
      </c>
      <c r="DH152" s="250" t="inlineStr">
        <is>
          <t/>
        </is>
      </c>
      <c r="DI152" s="251" t="inlineStr">
        <is>
          <t/>
        </is>
      </c>
      <c r="DJ152" s="252" t="inlineStr">
        <is>
          <t/>
        </is>
      </c>
      <c r="DK152" s="253" t="inlineStr">
        <is>
          <t/>
        </is>
      </c>
      <c r="DL152" s="254" t="inlineStr">
        <is>
          <t/>
        </is>
      </c>
      <c r="DM152" s="255" t="inlineStr">
        <is>
          <t/>
        </is>
      </c>
      <c r="DN152" s="256" t="inlineStr">
        <is>
          <t/>
        </is>
      </c>
      <c r="DO152" s="257" t="inlineStr">
        <is>
          <t/>
        </is>
      </c>
      <c r="DP152" s="258" t="inlineStr">
        <is>
          <t/>
        </is>
      </c>
      <c r="DQ152" s="259" t="inlineStr">
        <is>
          <t/>
        </is>
      </c>
      <c r="DR152" s="260" t="inlineStr">
        <is>
          <t/>
        </is>
      </c>
      <c r="DS152" s="261" t="inlineStr">
        <is>
          <t/>
        </is>
      </c>
      <c r="DT152" s="262" t="inlineStr">
        <is>
          <t/>
        </is>
      </c>
      <c r="DU152" s="263" t="inlineStr">
        <is>
          <t/>
        </is>
      </c>
      <c r="DV152" s="264" t="inlineStr">
        <is>
          <t/>
        </is>
      </c>
      <c r="DW152" s="265" t="inlineStr">
        <is>
          <t/>
        </is>
      </c>
      <c r="DX152" s="266" t="inlineStr">
        <is>
          <t/>
        </is>
      </c>
      <c r="DY152" s="267" t="inlineStr">
        <is>
          <t>PitchBook Research</t>
        </is>
      </c>
      <c r="DZ152" s="786">
        <f>HYPERLINK("https://my.pitchbook.com?c=64814-68", "View company online")</f>
      </c>
    </row>
    <row r="153">
      <c r="A153" s="9" t="inlineStr">
        <is>
          <t>153906-31</t>
        </is>
      </c>
      <c r="B153" s="10" t="inlineStr">
        <is>
          <t>Downoak</t>
        </is>
      </c>
      <c r="C153" s="11" t="inlineStr">
        <is>
          <t/>
        </is>
      </c>
      <c r="D153" s="12" t="inlineStr">
        <is>
          <t/>
        </is>
      </c>
      <c r="E153" s="13" t="inlineStr">
        <is>
          <t>153906-31</t>
        </is>
      </c>
      <c r="F153" s="14" t="inlineStr">
        <is>
          <t>Owner and operator of a company that acquires free hold pubs. The company purchases, refurbishes, relaunches and operates high quality freehold pubs in or near affluent market towns in South Central England.</t>
        </is>
      </c>
      <c r="G153" s="15" t="inlineStr">
        <is>
          <t>Financial Services</t>
        </is>
      </c>
      <c r="H153" s="16" t="inlineStr">
        <is>
          <t>Other Financial Services</t>
        </is>
      </c>
      <c r="I153" s="17" t="inlineStr">
        <is>
          <t>Holding Companies</t>
        </is>
      </c>
      <c r="J153" s="18" t="inlineStr">
        <is>
          <t>Holding Companies*; Restaurants and Bars</t>
        </is>
      </c>
      <c r="K153" s="19" t="inlineStr">
        <is>
          <t/>
        </is>
      </c>
      <c r="L153" s="20" t="inlineStr">
        <is>
          <t>Venture Capital-Backed</t>
        </is>
      </c>
      <c r="M153" s="21" t="n">
        <v>9.69</v>
      </c>
      <c r="N153" s="22" t="inlineStr">
        <is>
          <t>Startup</t>
        </is>
      </c>
      <c r="O153" s="23" t="inlineStr">
        <is>
          <t>Privately Held (backing)</t>
        </is>
      </c>
      <c r="P153" s="24" t="inlineStr">
        <is>
          <t>Venture Capital</t>
        </is>
      </c>
      <c r="Q153" s="25" t="inlineStr">
        <is>
          <t/>
        </is>
      </c>
      <c r="R153" s="26" t="inlineStr">
        <is>
          <t/>
        </is>
      </c>
      <c r="S153" s="27" t="inlineStr">
        <is>
          <t/>
        </is>
      </c>
      <c r="T153" s="28" t="inlineStr">
        <is>
          <t/>
        </is>
      </c>
      <c r="U153" s="29" t="n">
        <v>2014.0</v>
      </c>
      <c r="V153" s="30" t="inlineStr">
        <is>
          <t/>
        </is>
      </c>
      <c r="W153" s="31" t="inlineStr">
        <is>
          <t/>
        </is>
      </c>
      <c r="X153" s="32" t="inlineStr">
        <is>
          <t/>
        </is>
      </c>
      <c r="Y153" s="33" t="n">
        <v>0.7413</v>
      </c>
      <c r="Z153" s="34" t="n">
        <v>0.52818</v>
      </c>
      <c r="AA153" s="35" t="n">
        <v>-0.06486</v>
      </c>
      <c r="AB153" s="36" t="inlineStr">
        <is>
          <t/>
        </is>
      </c>
      <c r="AC153" s="37" t="n">
        <v>0.00927</v>
      </c>
      <c r="AD153" s="38" t="inlineStr">
        <is>
          <t>FY 2015</t>
        </is>
      </c>
      <c r="AE153" s="39" t="inlineStr">
        <is>
          <t/>
        </is>
      </c>
      <c r="AF153" s="40" t="inlineStr">
        <is>
          <t/>
        </is>
      </c>
      <c r="AG153" s="41" t="inlineStr">
        <is>
          <t/>
        </is>
      </c>
      <c r="AH153" s="42" t="inlineStr">
        <is>
          <t/>
        </is>
      </c>
      <c r="AI153" s="43" t="inlineStr">
        <is>
          <t/>
        </is>
      </c>
      <c r="AJ153" s="44" t="inlineStr">
        <is>
          <t>London, United Kingdom</t>
        </is>
      </c>
      <c r="AK153" s="45" t="inlineStr">
        <is>
          <t>Ergon House</t>
        </is>
      </c>
      <c r="AL153" s="46" t="inlineStr">
        <is>
          <t>Horseferry Road</t>
        </is>
      </c>
      <c r="AM153" s="47" t="inlineStr">
        <is>
          <t>London</t>
        </is>
      </c>
      <c r="AN153" s="48" t="inlineStr">
        <is>
          <t>England</t>
        </is>
      </c>
      <c r="AO153" s="49" t="inlineStr">
        <is>
          <t>SW1P 2AL</t>
        </is>
      </c>
      <c r="AP153" s="50" t="inlineStr">
        <is>
          <t>United Kingdom</t>
        </is>
      </c>
      <c r="AQ153" s="51" t="inlineStr">
        <is>
          <t/>
        </is>
      </c>
      <c r="AR153" s="52" t="inlineStr">
        <is>
          <t/>
        </is>
      </c>
      <c r="AS153" s="53" t="inlineStr">
        <is>
          <t/>
        </is>
      </c>
      <c r="AT153" s="54" t="inlineStr">
        <is>
          <t>Europe</t>
        </is>
      </c>
      <c r="AU153" s="55" t="inlineStr">
        <is>
          <t>Western Europe</t>
        </is>
      </c>
      <c r="AV153" s="56" t="inlineStr">
        <is>
          <t>The company raised GBP 6 million of venture funding from Downing Ventures in March 2015. The financing was used for the acquisition of three high-quality freehold pubs in the home counties. Earlier in September 2014, the company raised GBP 1.1 million of venture funding from Downing Ventures.</t>
        </is>
      </c>
      <c r="AW153" s="57" t="inlineStr">
        <is>
          <t>Downing, Downing Ventures</t>
        </is>
      </c>
      <c r="AX153" s="58" t="n">
        <v>2.0</v>
      </c>
      <c r="AY153" s="59" t="inlineStr">
        <is>
          <t/>
        </is>
      </c>
      <c r="AZ153" s="60" t="inlineStr">
        <is>
          <t/>
        </is>
      </c>
      <c r="BA153" s="61" t="inlineStr">
        <is>
          <t/>
        </is>
      </c>
      <c r="BB153" s="62" t="inlineStr">
        <is>
          <t>Downing (www.downing.co.uk), Downing Ventures (www.downingventures.com)</t>
        </is>
      </c>
      <c r="BC153" s="63" t="inlineStr">
        <is>
          <t/>
        </is>
      </c>
      <c r="BD153" s="64" t="inlineStr">
        <is>
          <t/>
        </is>
      </c>
      <c r="BE153" s="65" t="inlineStr">
        <is>
          <t/>
        </is>
      </c>
      <c r="BF153" s="66" t="inlineStr">
        <is>
          <t/>
        </is>
      </c>
      <c r="BG153" s="67" t="n">
        <v>41883.0</v>
      </c>
      <c r="BH153" s="68" t="n">
        <v>1.39</v>
      </c>
      <c r="BI153" s="69" t="inlineStr">
        <is>
          <t>Actual</t>
        </is>
      </c>
      <c r="BJ153" s="70" t="inlineStr">
        <is>
          <t/>
        </is>
      </c>
      <c r="BK153" s="71" t="inlineStr">
        <is>
          <t/>
        </is>
      </c>
      <c r="BL153" s="72" t="inlineStr">
        <is>
          <t>Early Stage VC</t>
        </is>
      </c>
      <c r="BM153" s="73" t="inlineStr">
        <is>
          <t>Acquisition Financing</t>
        </is>
      </c>
      <c r="BN153" s="74" t="inlineStr">
        <is>
          <t/>
        </is>
      </c>
      <c r="BO153" s="75" t="inlineStr">
        <is>
          <t>Venture Capital</t>
        </is>
      </c>
      <c r="BP153" s="76" t="inlineStr">
        <is>
          <t/>
        </is>
      </c>
      <c r="BQ153" s="77" t="inlineStr">
        <is>
          <t/>
        </is>
      </c>
      <c r="BR153" s="78" t="inlineStr">
        <is>
          <t/>
        </is>
      </c>
      <c r="BS153" s="79" t="inlineStr">
        <is>
          <t>Completed</t>
        </is>
      </c>
      <c r="BT153" s="80" t="n">
        <v>42064.0</v>
      </c>
      <c r="BU153" s="81" t="n">
        <v>8.3</v>
      </c>
      <c r="BV153" s="82" t="inlineStr">
        <is>
          <t>Actual</t>
        </is>
      </c>
      <c r="BW153" s="83" t="inlineStr">
        <is>
          <t/>
        </is>
      </c>
      <c r="BX153" s="84" t="inlineStr">
        <is>
          <t/>
        </is>
      </c>
      <c r="BY153" s="85" t="inlineStr">
        <is>
          <t>Early Stage VC</t>
        </is>
      </c>
      <c r="BZ153" s="86" t="inlineStr">
        <is>
          <t>Acquisition Financing</t>
        </is>
      </c>
      <c r="CA153" s="87" t="inlineStr">
        <is>
          <t/>
        </is>
      </c>
      <c r="CB153" s="88" t="inlineStr">
        <is>
          <t>Venture Capital</t>
        </is>
      </c>
      <c r="CC153" s="89" t="inlineStr">
        <is>
          <t/>
        </is>
      </c>
      <c r="CD153" s="90" t="inlineStr">
        <is>
          <t/>
        </is>
      </c>
      <c r="CE153" s="91" t="inlineStr">
        <is>
          <t/>
        </is>
      </c>
      <c r="CF153" s="92" t="inlineStr">
        <is>
          <t>Completed</t>
        </is>
      </c>
      <c r="CG153" s="93" t="inlineStr">
        <is>
          <t/>
        </is>
      </c>
      <c r="CH153" s="94" t="inlineStr">
        <is>
          <t/>
        </is>
      </c>
      <c r="CI153" s="95" t="inlineStr">
        <is>
          <t/>
        </is>
      </c>
      <c r="CJ153" s="96" t="inlineStr">
        <is>
          <t/>
        </is>
      </c>
      <c r="CK153" s="97" t="inlineStr">
        <is>
          <t/>
        </is>
      </c>
      <c r="CL153" s="98" t="inlineStr">
        <is>
          <t/>
        </is>
      </c>
      <c r="CM153" s="99" t="inlineStr">
        <is>
          <t/>
        </is>
      </c>
      <c r="CN153" s="100" t="inlineStr">
        <is>
          <t/>
        </is>
      </c>
      <c r="CO153" s="101" t="inlineStr">
        <is>
          <t/>
        </is>
      </c>
      <c r="CP153" s="102" t="inlineStr">
        <is>
          <t/>
        </is>
      </c>
      <c r="CQ153" s="103" t="inlineStr">
        <is>
          <t/>
        </is>
      </c>
      <c r="CR153" s="104" t="inlineStr">
        <is>
          <t/>
        </is>
      </c>
      <c r="CS153" s="105" t="inlineStr">
        <is>
          <t/>
        </is>
      </c>
      <c r="CT153" s="106" t="inlineStr">
        <is>
          <t/>
        </is>
      </c>
      <c r="CU153" s="107" t="inlineStr">
        <is>
          <t/>
        </is>
      </c>
      <c r="CV153" s="108" t="inlineStr">
        <is>
          <t/>
        </is>
      </c>
      <c r="CW153" s="109" t="inlineStr">
        <is>
          <t/>
        </is>
      </c>
      <c r="CX153" s="110" t="inlineStr">
        <is>
          <t/>
        </is>
      </c>
      <c r="CY153" s="111" t="inlineStr">
        <is>
          <t/>
        </is>
      </c>
      <c r="CZ153" s="112" t="inlineStr">
        <is>
          <t/>
        </is>
      </c>
      <c r="DA153" s="113" t="inlineStr">
        <is>
          <t/>
        </is>
      </c>
      <c r="DB153" s="114" t="inlineStr">
        <is>
          <t/>
        </is>
      </c>
      <c r="DC153" s="115" t="inlineStr">
        <is>
          <t/>
        </is>
      </c>
      <c r="DD153" s="116" t="inlineStr">
        <is>
          <t/>
        </is>
      </c>
      <c r="DE153" s="117" t="inlineStr">
        <is>
          <t/>
        </is>
      </c>
      <c r="DF153" s="118" t="inlineStr">
        <is>
          <t/>
        </is>
      </c>
      <c r="DG153" s="119" t="inlineStr">
        <is>
          <t/>
        </is>
      </c>
      <c r="DH153" s="120" t="inlineStr">
        <is>
          <t/>
        </is>
      </c>
      <c r="DI153" s="121" t="inlineStr">
        <is>
          <t/>
        </is>
      </c>
      <c r="DJ153" s="122" t="inlineStr">
        <is>
          <t/>
        </is>
      </c>
      <c r="DK153" s="123" t="inlineStr">
        <is>
          <t/>
        </is>
      </c>
      <c r="DL153" s="124" t="inlineStr">
        <is>
          <t/>
        </is>
      </c>
      <c r="DM153" s="125" t="inlineStr">
        <is>
          <t/>
        </is>
      </c>
      <c r="DN153" s="126" t="inlineStr">
        <is>
          <t/>
        </is>
      </c>
      <c r="DO153" s="127" t="inlineStr">
        <is>
          <t/>
        </is>
      </c>
      <c r="DP153" s="128" t="inlineStr">
        <is>
          <t/>
        </is>
      </c>
      <c r="DQ153" s="129" t="inlineStr">
        <is>
          <t/>
        </is>
      </c>
      <c r="DR153" s="130" t="inlineStr">
        <is>
          <t/>
        </is>
      </c>
      <c r="DS153" s="131" t="inlineStr">
        <is>
          <t/>
        </is>
      </c>
      <c r="DT153" s="132" t="inlineStr">
        <is>
          <t/>
        </is>
      </c>
      <c r="DU153" s="133" t="inlineStr">
        <is>
          <t/>
        </is>
      </c>
      <c r="DV153" s="134" t="inlineStr">
        <is>
          <t/>
        </is>
      </c>
      <c r="DW153" s="135" t="inlineStr">
        <is>
          <t/>
        </is>
      </c>
      <c r="DX153" s="136" t="inlineStr">
        <is>
          <t/>
        </is>
      </c>
      <c r="DY153" s="137" t="inlineStr">
        <is>
          <t>PitchBook Research</t>
        </is>
      </c>
      <c r="DZ153" s="785">
        <f>HYPERLINK("https://my.pitchbook.com?c=153906-31", "View company online")</f>
      </c>
    </row>
    <row r="154">
      <c r="A154" s="139" t="inlineStr">
        <is>
          <t>57698-74</t>
        </is>
      </c>
      <c r="B154" s="140" t="inlineStr">
        <is>
          <t>Dreamlines.de</t>
        </is>
      </c>
      <c r="C154" s="141" t="inlineStr">
        <is>
          <t>Netvacation</t>
        </is>
      </c>
      <c r="D154" s="142" t="inlineStr">
        <is>
          <t/>
        </is>
      </c>
      <c r="E154" s="143" t="inlineStr">
        <is>
          <t>57698-74</t>
        </is>
      </c>
      <c r="F154" s="144" t="inlineStr">
        <is>
          <t>Operator of an online travel agency designed for cruise bookings. The company's online cruise marketplace offers river cruises and sailing ships from around the world through its website.</t>
        </is>
      </c>
      <c r="G154" s="145" t="inlineStr">
        <is>
          <t>Information Technology</t>
        </is>
      </c>
      <c r="H154" s="146" t="inlineStr">
        <is>
          <t>Software</t>
        </is>
      </c>
      <c r="I154" s="147" t="inlineStr">
        <is>
          <t>Social/Platform Software</t>
        </is>
      </c>
      <c r="J154" s="148" t="inlineStr">
        <is>
          <t>Social/Platform Software*</t>
        </is>
      </c>
      <c r="K154" s="149" t="inlineStr">
        <is>
          <t>E-Commerce</t>
        </is>
      </c>
      <c r="L154" s="150" t="inlineStr">
        <is>
          <t>Venture Capital-Backed</t>
        </is>
      </c>
      <c r="M154" s="151" t="n">
        <v>65.7</v>
      </c>
      <c r="N154" s="152" t="inlineStr">
        <is>
          <t>Generating Revenue</t>
        </is>
      </c>
      <c r="O154" s="153" t="inlineStr">
        <is>
          <t>Privately Held (backing)</t>
        </is>
      </c>
      <c r="P154" s="154" t="inlineStr">
        <is>
          <t>Venture Capital</t>
        </is>
      </c>
      <c r="Q154" s="155" t="inlineStr">
        <is>
          <t>www.dreamlines.de</t>
        </is>
      </c>
      <c r="R154" s="156" t="n">
        <v>350.0</v>
      </c>
      <c r="S154" s="157" t="inlineStr">
        <is>
          <t/>
        </is>
      </c>
      <c r="T154" s="158" t="inlineStr">
        <is>
          <t/>
        </is>
      </c>
      <c r="U154" s="159" t="n">
        <v>2012.0</v>
      </c>
      <c r="V154" s="160" t="inlineStr">
        <is>
          <t/>
        </is>
      </c>
      <c r="W154" s="161" t="inlineStr">
        <is>
          <t/>
        </is>
      </c>
      <c r="X154" s="162" t="inlineStr">
        <is>
          <t/>
        </is>
      </c>
      <c r="Y154" s="163" t="n">
        <v>100.00089</v>
      </c>
      <c r="Z154" s="164" t="inlineStr">
        <is>
          <t/>
        </is>
      </c>
      <c r="AA154" s="165" t="inlineStr">
        <is>
          <t/>
        </is>
      </c>
      <c r="AB154" s="166" t="inlineStr">
        <is>
          <t/>
        </is>
      </c>
      <c r="AC154" s="167" t="inlineStr">
        <is>
          <t/>
        </is>
      </c>
      <c r="AD154" s="168" t="inlineStr">
        <is>
          <t>FY 2013</t>
        </is>
      </c>
      <c r="AE154" s="169" t="inlineStr">
        <is>
          <t>48818-98P</t>
        </is>
      </c>
      <c r="AF154" s="170" t="inlineStr">
        <is>
          <t>Thomas Taherkhani</t>
        </is>
      </c>
      <c r="AG154" s="171" t="inlineStr">
        <is>
          <t>Chief Financial Officer &amp; Managing Director</t>
        </is>
      </c>
      <c r="AH154" s="172" t="inlineStr">
        <is>
          <t>thomas.taherkhani@dreamlines.de</t>
        </is>
      </c>
      <c r="AI154" s="173" t="inlineStr">
        <is>
          <t>+49 (0)40 2093 3184</t>
        </is>
      </c>
      <c r="AJ154" s="174" t="inlineStr">
        <is>
          <t>Hamburg, Germany</t>
        </is>
      </c>
      <c r="AK154" s="175" t="inlineStr">
        <is>
          <t>Hermannstrasse 9</t>
        </is>
      </c>
      <c r="AL154" s="176" t="inlineStr">
        <is>
          <t/>
        </is>
      </c>
      <c r="AM154" s="177" t="inlineStr">
        <is>
          <t>Hamburg</t>
        </is>
      </c>
      <c r="AN154" s="178" t="inlineStr">
        <is>
          <t/>
        </is>
      </c>
      <c r="AO154" s="179" t="inlineStr">
        <is>
          <t>20095</t>
        </is>
      </c>
      <c r="AP154" s="180" t="inlineStr">
        <is>
          <t>Germany</t>
        </is>
      </c>
      <c r="AQ154" s="181" t="inlineStr">
        <is>
          <t>+49 (0)40 2093 3184</t>
        </is>
      </c>
      <c r="AR154" s="182" t="inlineStr">
        <is>
          <t>+49 (0)40 6094 6502 5</t>
        </is>
      </c>
      <c r="AS154" s="183" t="inlineStr">
        <is>
          <t>info@dreamlines.de</t>
        </is>
      </c>
      <c r="AT154" s="184" t="inlineStr">
        <is>
          <t>Europe</t>
        </is>
      </c>
      <c r="AU154" s="185" t="inlineStr">
        <is>
          <t>Western Europe</t>
        </is>
      </c>
      <c r="AV154" s="186" t="inlineStr">
        <is>
          <t>The company raised EUR 18 million of venture funding from Dimaventures, Hasso Plattner Ventures and Holtzbrinck Ventures on February 9, 2017. Global Founders, Altpoint and Target Global also participated in the round. The company will use the funding to expand organically and through acquisitions. With the round, the company has now raised a total of EUR 70 million in funding to date. Previously, company raised EUR 14 million of venture funding from Holtzbrinck Ventures, Hasso Plattner Ventures and Dimaventures on August 15, 2016.</t>
        </is>
      </c>
      <c r="AW154" s="187" t="inlineStr">
        <is>
          <t>Altpoint Ventures, China Alliance Investment, Dimaventures, European Founders Fund, Felix Schneider, Global Founders Capital, Hasso Plattner Ventures, Holtzbrinck Ventures, TA Ventures, Target Global, TruVenturo</t>
        </is>
      </c>
      <c r="AX154" s="188" t="n">
        <v>11.0</v>
      </c>
      <c r="AY154" s="189" t="inlineStr">
        <is>
          <t/>
        </is>
      </c>
      <c r="AZ154" s="190" t="inlineStr">
        <is>
          <t>Astutia Ventures</t>
        </is>
      </c>
      <c r="BA154" s="191" t="inlineStr">
        <is>
          <t/>
        </is>
      </c>
      <c r="BB154" s="192" t="inlineStr">
        <is>
          <t>Altpoint Ventures (www.altpointventures.com), European Founders Fund (www.europeanfounders.com), Global Founders Capital (www.globalfounders.vc), Hasso Plattner Ventures (www.hp-ventures.com), Holtzbrinck Ventures (www.holtzbrinck-ventures.com), TA Ventures (www.taventures.vc), Target Global (www.targetglobal.vc), TruVenturo (truventuro.de)</t>
        </is>
      </c>
      <c r="BC154" s="193" t="inlineStr">
        <is>
          <t>Astutia Ventures (www.astutia.de)</t>
        </is>
      </c>
      <c r="BD154" s="194" t="inlineStr">
        <is>
          <t/>
        </is>
      </c>
      <c r="BE154" s="195" t="inlineStr">
        <is>
          <t/>
        </is>
      </c>
      <c r="BF154" s="196" t="inlineStr">
        <is>
          <t>Hogan Lovells (Legal Advisor), Hasso Plattner Ventures, Kreos Capital</t>
        </is>
      </c>
      <c r="BG154" s="197" t="n">
        <v>41122.0</v>
      </c>
      <c r="BH154" s="198" t="n">
        <v>2.2</v>
      </c>
      <c r="BI154" s="199" t="inlineStr">
        <is>
          <t>Actual</t>
        </is>
      </c>
      <c r="BJ154" s="200" t="inlineStr">
        <is>
          <t/>
        </is>
      </c>
      <c r="BK154" s="201" t="inlineStr">
        <is>
          <t/>
        </is>
      </c>
      <c r="BL154" s="202" t="inlineStr">
        <is>
          <t>Early Stage VC</t>
        </is>
      </c>
      <c r="BM154" s="203" t="inlineStr">
        <is>
          <t>Series A</t>
        </is>
      </c>
      <c r="BN154" s="204" t="inlineStr">
        <is>
          <t/>
        </is>
      </c>
      <c r="BO154" s="205" t="inlineStr">
        <is>
          <t>Venture Capital</t>
        </is>
      </c>
      <c r="BP154" s="206" t="inlineStr">
        <is>
          <t/>
        </is>
      </c>
      <c r="BQ154" s="207" t="inlineStr">
        <is>
          <t/>
        </is>
      </c>
      <c r="BR154" s="208" t="inlineStr">
        <is>
          <t/>
        </is>
      </c>
      <c r="BS154" s="209" t="inlineStr">
        <is>
          <t>Completed</t>
        </is>
      </c>
      <c r="BT154" s="210" t="n">
        <v>42775.0</v>
      </c>
      <c r="BU154" s="211" t="n">
        <v>18.0</v>
      </c>
      <c r="BV154" s="212" t="inlineStr">
        <is>
          <t>Actual</t>
        </is>
      </c>
      <c r="BW154" s="213" t="inlineStr">
        <is>
          <t/>
        </is>
      </c>
      <c r="BX154" s="214" t="inlineStr">
        <is>
          <t/>
        </is>
      </c>
      <c r="BY154" s="215" t="inlineStr">
        <is>
          <t>Later Stage VC</t>
        </is>
      </c>
      <c r="BZ154" s="216" t="inlineStr">
        <is>
          <t/>
        </is>
      </c>
      <c r="CA154" s="217" t="inlineStr">
        <is>
          <t/>
        </is>
      </c>
      <c r="CB154" s="218" t="inlineStr">
        <is>
          <t>Venture Capital</t>
        </is>
      </c>
      <c r="CC154" s="219" t="inlineStr">
        <is>
          <t/>
        </is>
      </c>
      <c r="CD154" s="220" t="inlineStr">
        <is>
          <t/>
        </is>
      </c>
      <c r="CE154" s="221" t="inlineStr">
        <is>
          <t/>
        </is>
      </c>
      <c r="CF154" s="222" t="inlineStr">
        <is>
          <t>Completed</t>
        </is>
      </c>
      <c r="CG154" s="223" t="inlineStr">
        <is>
          <t>1,81%</t>
        </is>
      </c>
      <c r="CH154" s="224" t="inlineStr">
        <is>
          <t>93</t>
        </is>
      </c>
      <c r="CI154" s="225" t="inlineStr">
        <is>
          <t>-0,03%</t>
        </is>
      </c>
      <c r="CJ154" s="226" t="inlineStr">
        <is>
          <t>-1,61%</t>
        </is>
      </c>
      <c r="CK154" s="227" t="inlineStr">
        <is>
          <t>3,47%</t>
        </is>
      </c>
      <c r="CL154" s="228" t="inlineStr">
        <is>
          <t>94</t>
        </is>
      </c>
      <c r="CM154" s="229" t="inlineStr">
        <is>
          <t>0,15%</t>
        </is>
      </c>
      <c r="CN154" s="230" t="inlineStr">
        <is>
          <t>67</t>
        </is>
      </c>
      <c r="CO154" s="231" t="inlineStr">
        <is>
          <t>3,54%</t>
        </is>
      </c>
      <c r="CP154" s="232" t="inlineStr">
        <is>
          <t>93</t>
        </is>
      </c>
      <c r="CQ154" s="233" t="inlineStr">
        <is>
          <t>3,40%</t>
        </is>
      </c>
      <c r="CR154" s="234" t="inlineStr">
        <is>
          <t>93</t>
        </is>
      </c>
      <c r="CS154" s="235" t="inlineStr">
        <is>
          <t>0,07%</t>
        </is>
      </c>
      <c r="CT154" s="236" t="inlineStr">
        <is>
          <t>53</t>
        </is>
      </c>
      <c r="CU154" s="237" t="inlineStr">
        <is>
          <t>0,22%</t>
        </is>
      </c>
      <c r="CV154" s="238" t="inlineStr">
        <is>
          <t>79</t>
        </is>
      </c>
      <c r="CW154" s="239" t="inlineStr">
        <is>
          <t>99,35x</t>
        </is>
      </c>
      <c r="CX154" s="240" t="inlineStr">
        <is>
          <t>98</t>
        </is>
      </c>
      <c r="CY154" s="241" t="inlineStr">
        <is>
          <t>1,12x</t>
        </is>
      </c>
      <c r="CZ154" s="242" t="inlineStr">
        <is>
          <t>1,14%</t>
        </is>
      </c>
      <c r="DA154" s="243" t="inlineStr">
        <is>
          <t>115,61x</t>
        </is>
      </c>
      <c r="DB154" s="244" t="inlineStr">
        <is>
          <t>98</t>
        </is>
      </c>
      <c r="DC154" s="245" t="inlineStr">
        <is>
          <t>83,09x</t>
        </is>
      </c>
      <c r="DD154" s="246" t="inlineStr">
        <is>
          <t>96</t>
        </is>
      </c>
      <c r="DE154" s="247" t="inlineStr">
        <is>
          <t>193,59x</t>
        </is>
      </c>
      <c r="DF154" s="248" t="inlineStr">
        <is>
          <t>97</t>
        </is>
      </c>
      <c r="DG154" s="249" t="inlineStr">
        <is>
          <t>37,64x</t>
        </is>
      </c>
      <c r="DH154" s="250" t="inlineStr">
        <is>
          <t>96</t>
        </is>
      </c>
      <c r="DI154" s="251" t="inlineStr">
        <is>
          <t>165,69x</t>
        </is>
      </c>
      <c r="DJ154" s="252" t="inlineStr">
        <is>
          <t>97</t>
        </is>
      </c>
      <c r="DK154" s="253" t="inlineStr">
        <is>
          <t>0,50x</t>
        </is>
      </c>
      <c r="DL154" s="254" t="inlineStr">
        <is>
          <t>39</t>
        </is>
      </c>
      <c r="DM154" s="255" t="inlineStr">
        <is>
          <t>118.413</t>
        </is>
      </c>
      <c r="DN154" s="256" t="inlineStr">
        <is>
          <t>1.932</t>
        </is>
      </c>
      <c r="DO154" s="257" t="inlineStr">
        <is>
          <t>1,66%</t>
        </is>
      </c>
      <c r="DP154" s="258" t="inlineStr">
        <is>
          <t>132.358</t>
        </is>
      </c>
      <c r="DQ154" s="259" t="inlineStr">
        <is>
          <t>61</t>
        </is>
      </c>
      <c r="DR154" s="260" t="inlineStr">
        <is>
          <t>0,05%</t>
        </is>
      </c>
      <c r="DS154" s="261" t="inlineStr">
        <is>
          <t>1.356</t>
        </is>
      </c>
      <c r="DT154" s="262" t="inlineStr">
        <is>
          <t>1</t>
        </is>
      </c>
      <c r="DU154" s="263" t="inlineStr">
        <is>
          <t>0,07%</t>
        </is>
      </c>
      <c r="DV154" s="264" t="inlineStr">
        <is>
          <t>172</t>
        </is>
      </c>
      <c r="DW154" s="265" t="inlineStr">
        <is>
          <t>0</t>
        </is>
      </c>
      <c r="DX154" s="266" t="inlineStr">
        <is>
          <t>0,00%</t>
        </is>
      </c>
      <c r="DY154" s="267" t="inlineStr">
        <is>
          <t>PitchBook Research</t>
        </is>
      </c>
      <c r="DZ154" s="786">
        <f>HYPERLINK("https://my.pitchbook.com?c=57698-74", "View company online")</f>
      </c>
    </row>
    <row r="155">
      <c r="A155" s="9" t="inlineStr">
        <is>
          <t>157949-56</t>
        </is>
      </c>
      <c r="B155" s="10" t="inlineStr">
        <is>
          <t>DriveTribe</t>
        </is>
      </c>
      <c r="C155" s="11" t="inlineStr">
        <is>
          <t/>
        </is>
      </c>
      <c r="D155" s="12" t="inlineStr">
        <is>
          <t/>
        </is>
      </c>
      <c r="E155" s="13" t="inlineStr">
        <is>
          <t>157949-56</t>
        </is>
      </c>
      <c r="F155" s="14" t="inlineStr">
        <is>
          <t>Developer of a digital media platform intended to share information and connect with the community for auto fans. The company's digital media platform supports video, articles, social and interactive content with users signing up to the tribes that reflect their personal motoring interests, enabling people to create, join, post, share content and express themselves.</t>
        </is>
      </c>
      <c r="G155" s="15" t="inlineStr">
        <is>
          <t>Information Technology</t>
        </is>
      </c>
      <c r="H155" s="16" t="inlineStr">
        <is>
          <t>Software</t>
        </is>
      </c>
      <c r="I155" s="17" t="inlineStr">
        <is>
          <t>Social/Platform Software</t>
        </is>
      </c>
      <c r="J155" s="18" t="inlineStr">
        <is>
          <t>Social/Platform Software*; Information Services (B2C); Other Transportation</t>
        </is>
      </c>
      <c r="K155" s="19" t="inlineStr">
        <is>
          <t/>
        </is>
      </c>
      <c r="L155" s="20" t="inlineStr">
        <is>
          <t>Venture Capital-Backed</t>
        </is>
      </c>
      <c r="M155" s="21" t="n">
        <v>10.71</v>
      </c>
      <c r="N155" s="22" t="inlineStr">
        <is>
          <t>Startup</t>
        </is>
      </c>
      <c r="O155" s="23" t="inlineStr">
        <is>
          <t>Privately Held (backing)</t>
        </is>
      </c>
      <c r="P155" s="24" t="inlineStr">
        <is>
          <t>Venture Capital</t>
        </is>
      </c>
      <c r="Q155" s="25" t="inlineStr">
        <is>
          <t>www.drivetribe.com</t>
        </is>
      </c>
      <c r="R155" s="26" t="n">
        <v>70.0</v>
      </c>
      <c r="S155" s="27" t="inlineStr">
        <is>
          <t/>
        </is>
      </c>
      <c r="T155" s="28" t="inlineStr">
        <is>
          <t/>
        </is>
      </c>
      <c r="U155" s="29" t="n">
        <v>2015.0</v>
      </c>
      <c r="V155" s="30" t="inlineStr">
        <is>
          <t/>
        </is>
      </c>
      <c r="W155" s="31" t="inlineStr">
        <is>
          <t/>
        </is>
      </c>
      <c r="X155" s="32" t="inlineStr">
        <is>
          <t/>
        </is>
      </c>
      <c r="Y155" s="33" t="inlineStr">
        <is>
          <t/>
        </is>
      </c>
      <c r="Z155" s="34" t="inlineStr">
        <is>
          <t/>
        </is>
      </c>
      <c r="AA155" s="35" t="inlineStr">
        <is>
          <t/>
        </is>
      </c>
      <c r="AB155" s="36" t="inlineStr">
        <is>
          <t/>
        </is>
      </c>
      <c r="AC155" s="37" t="inlineStr">
        <is>
          <t/>
        </is>
      </c>
      <c r="AD155" s="38" t="inlineStr">
        <is>
          <t/>
        </is>
      </c>
      <c r="AE155" s="39" t="inlineStr">
        <is>
          <t>133928-92P</t>
        </is>
      </c>
      <c r="AF155" s="40" t="inlineStr">
        <is>
          <t>Jeremy Clarkson</t>
        </is>
      </c>
      <c r="AG155" s="41" t="inlineStr">
        <is>
          <t>Co-Founder</t>
        </is>
      </c>
      <c r="AH155" s="42" t="inlineStr">
        <is>
          <t>jeremy.clarkson@drivetribe.com</t>
        </is>
      </c>
      <c r="AI155" s="43" t="inlineStr">
        <is>
          <t/>
        </is>
      </c>
      <c r="AJ155" s="44" t="inlineStr">
        <is>
          <t>London, United Kingdom</t>
        </is>
      </c>
      <c r="AK155" s="45" t="inlineStr">
        <is>
          <t>The Office Group</t>
        </is>
      </c>
      <c r="AL155" s="46" t="inlineStr">
        <is>
          <t>Kings Cross</t>
        </is>
      </c>
      <c r="AM155" s="47" t="inlineStr">
        <is>
          <t>London</t>
        </is>
      </c>
      <c r="AN155" s="48" t="inlineStr">
        <is>
          <t>England</t>
        </is>
      </c>
      <c r="AO155" s="49" t="inlineStr">
        <is>
          <t>N1C 4AX</t>
        </is>
      </c>
      <c r="AP155" s="50" t="inlineStr">
        <is>
          <t>United Kingdom</t>
        </is>
      </c>
      <c r="AQ155" s="51" t="inlineStr">
        <is>
          <t/>
        </is>
      </c>
      <c r="AR155" s="52" t="inlineStr">
        <is>
          <t/>
        </is>
      </c>
      <c r="AS155" s="53" t="inlineStr">
        <is>
          <t/>
        </is>
      </c>
      <c r="AT155" s="54" t="inlineStr">
        <is>
          <t>Europe</t>
        </is>
      </c>
      <c r="AU155" s="55" t="inlineStr">
        <is>
          <t>Western Europe</t>
        </is>
      </c>
      <c r="AV155" s="56" t="inlineStr">
        <is>
          <t>The company received $6.5 million of Series A financing from 21st Century Fox(NAS:FOXA) on September 6, 2016. Previously, the company raised $5.5 million of Series A venture funding in a deal led by Breyer Capital on August 17, 2016. Atomico Uk Partners and other undisclosed individual investors also participated in the round. Earlier, the company was capitalized with an undisclosed amount of funding from founders Jeremy Clarkson, Richard Hammond and James May on April 25, 2016. Andy Wilman and Ernesto Schmitt also participated in theround.</t>
        </is>
      </c>
      <c r="AW155" s="57" t="inlineStr">
        <is>
          <t>21st Century Fox, Atomico, Breyer Capital</t>
        </is>
      </c>
      <c r="AX155" s="58" t="n">
        <v>3.0</v>
      </c>
      <c r="AY155" s="59" t="inlineStr">
        <is>
          <t/>
        </is>
      </c>
      <c r="AZ155" s="60" t="inlineStr">
        <is>
          <t/>
        </is>
      </c>
      <c r="BA155" s="61" t="inlineStr">
        <is>
          <t/>
        </is>
      </c>
      <c r="BB155" s="62" t="inlineStr">
        <is>
          <t>21st Century Fox (www.21cf.com), Atomico (www.atomico.com), Breyer Capital (www.breyercapital.com)</t>
        </is>
      </c>
      <c r="BC155" s="63" t="inlineStr">
        <is>
          <t/>
        </is>
      </c>
      <c r="BD155" s="64" t="inlineStr">
        <is>
          <t/>
        </is>
      </c>
      <c r="BE155" s="65" t="inlineStr">
        <is>
          <t>Albany Partners (Consulting), Olswang (Legal Advisor)</t>
        </is>
      </c>
      <c r="BF155" s="66" t="inlineStr">
        <is>
          <t>Olswang (Legal Advisor)</t>
        </is>
      </c>
      <c r="BG155" s="67" t="n">
        <v>42485.0</v>
      </c>
      <c r="BH155" s="68" t="inlineStr">
        <is>
          <t/>
        </is>
      </c>
      <c r="BI155" s="69" t="inlineStr">
        <is>
          <t/>
        </is>
      </c>
      <c r="BJ155" s="70" t="inlineStr">
        <is>
          <t/>
        </is>
      </c>
      <c r="BK155" s="71" t="inlineStr">
        <is>
          <t/>
        </is>
      </c>
      <c r="BL155" s="72" t="inlineStr">
        <is>
          <t>Capitalization</t>
        </is>
      </c>
      <c r="BM155" s="73" t="inlineStr">
        <is>
          <t/>
        </is>
      </c>
      <c r="BN155" s="74" t="inlineStr">
        <is>
          <t/>
        </is>
      </c>
      <c r="BO155" s="75" t="inlineStr">
        <is>
          <t>Individual</t>
        </is>
      </c>
      <c r="BP155" s="76" t="inlineStr">
        <is>
          <t/>
        </is>
      </c>
      <c r="BQ155" s="77" t="inlineStr">
        <is>
          <t/>
        </is>
      </c>
      <c r="BR155" s="78" t="inlineStr">
        <is>
          <t/>
        </is>
      </c>
      <c r="BS155" s="79" t="inlineStr">
        <is>
          <t>Completed</t>
        </is>
      </c>
      <c r="BT155" s="80" t="n">
        <v>42619.0</v>
      </c>
      <c r="BU155" s="81" t="n">
        <v>5.8</v>
      </c>
      <c r="BV155" s="82" t="inlineStr">
        <is>
          <t>Actual</t>
        </is>
      </c>
      <c r="BW155" s="83" t="inlineStr">
        <is>
          <t/>
        </is>
      </c>
      <c r="BX155" s="84" t="inlineStr">
        <is>
          <t/>
        </is>
      </c>
      <c r="BY155" s="85" t="inlineStr">
        <is>
          <t>Corporate</t>
        </is>
      </c>
      <c r="BZ155" s="86" t="inlineStr">
        <is>
          <t>Series A</t>
        </is>
      </c>
      <c r="CA155" s="87" t="inlineStr">
        <is>
          <t/>
        </is>
      </c>
      <c r="CB155" s="88" t="inlineStr">
        <is>
          <t>Corporate</t>
        </is>
      </c>
      <c r="CC155" s="89" t="inlineStr">
        <is>
          <t/>
        </is>
      </c>
      <c r="CD155" s="90" t="inlineStr">
        <is>
          <t/>
        </is>
      </c>
      <c r="CE155" s="91" t="inlineStr">
        <is>
          <t/>
        </is>
      </c>
      <c r="CF155" s="92" t="inlineStr">
        <is>
          <t>Completed</t>
        </is>
      </c>
      <c r="CG155" s="93" t="inlineStr">
        <is>
          <t>-1,92%</t>
        </is>
      </c>
      <c r="CH155" s="94" t="inlineStr">
        <is>
          <t>3</t>
        </is>
      </c>
      <c r="CI155" s="95" t="inlineStr">
        <is>
          <t>-0,24%</t>
        </is>
      </c>
      <c r="CJ155" s="96" t="inlineStr">
        <is>
          <t>-14,49%</t>
        </is>
      </c>
      <c r="CK155" s="97" t="inlineStr">
        <is>
          <t>-4,84%</t>
        </is>
      </c>
      <c r="CL155" s="98" t="inlineStr">
        <is>
          <t>1</t>
        </is>
      </c>
      <c r="CM155" s="99" t="inlineStr">
        <is>
          <t>1,01%</t>
        </is>
      </c>
      <c r="CN155" s="100" t="inlineStr">
        <is>
          <t>96</t>
        </is>
      </c>
      <c r="CO155" s="101" t="inlineStr">
        <is>
          <t>-4,84%</t>
        </is>
      </c>
      <c r="CP155" s="102" t="inlineStr">
        <is>
          <t>7</t>
        </is>
      </c>
      <c r="CQ155" s="103" t="inlineStr">
        <is>
          <t/>
        </is>
      </c>
      <c r="CR155" s="104" t="inlineStr">
        <is>
          <t/>
        </is>
      </c>
      <c r="CS155" s="105" t="inlineStr">
        <is>
          <t>1,40%</t>
        </is>
      </c>
      <c r="CT155" s="106" t="inlineStr">
        <is>
          <t>97</t>
        </is>
      </c>
      <c r="CU155" s="107" t="inlineStr">
        <is>
          <t>0,62%</t>
        </is>
      </c>
      <c r="CV155" s="108" t="inlineStr">
        <is>
          <t>94</t>
        </is>
      </c>
      <c r="CW155" s="109" t="inlineStr">
        <is>
          <t>2.071,87x</t>
        </is>
      </c>
      <c r="CX155" s="110" t="inlineStr">
        <is>
          <t>100</t>
        </is>
      </c>
      <c r="CY155" s="111" t="inlineStr">
        <is>
          <t>-662,86x</t>
        </is>
      </c>
      <c r="CZ155" s="112" t="inlineStr">
        <is>
          <t>-24,24%</t>
        </is>
      </c>
      <c r="DA155" s="113" t="inlineStr">
        <is>
          <t>2.549,64x</t>
        </is>
      </c>
      <c r="DB155" s="114" t="inlineStr">
        <is>
          <t>100</t>
        </is>
      </c>
      <c r="DC155" s="115" t="inlineStr">
        <is>
          <t>1.594,10x</t>
        </is>
      </c>
      <c r="DD155" s="116" t="inlineStr">
        <is>
          <t>100</t>
        </is>
      </c>
      <c r="DE155" s="117" t="inlineStr">
        <is>
          <t>2.549,64x</t>
        </is>
      </c>
      <c r="DF155" s="118" t="inlineStr">
        <is>
          <t>100</t>
        </is>
      </c>
      <c r="DG155" s="119" t="inlineStr">
        <is>
          <t/>
        </is>
      </c>
      <c r="DH155" s="120" t="inlineStr">
        <is>
          <t/>
        </is>
      </c>
      <c r="DI155" s="121" t="inlineStr">
        <is>
          <t>3.002,76x</t>
        </is>
      </c>
      <c r="DJ155" s="122" t="inlineStr">
        <is>
          <t>100</t>
        </is>
      </c>
      <c r="DK155" s="123" t="inlineStr">
        <is>
          <t>185,43x</t>
        </is>
      </c>
      <c r="DL155" s="124" t="inlineStr">
        <is>
          <t>99</t>
        </is>
      </c>
      <c r="DM155" s="125" t="inlineStr">
        <is>
          <t>1.567.040</t>
        </is>
      </c>
      <c r="DN155" s="126" t="inlineStr">
        <is>
          <t>2.960</t>
        </is>
      </c>
      <c r="DO155" s="127" t="inlineStr">
        <is>
          <t>0,19%</t>
        </is>
      </c>
      <c r="DP155" s="128" t="inlineStr">
        <is>
          <t>2.391.876</t>
        </is>
      </c>
      <c r="DQ155" s="129" t="inlineStr">
        <is>
          <t>15.946</t>
        </is>
      </c>
      <c r="DR155" s="130" t="inlineStr">
        <is>
          <t>0,67%</t>
        </is>
      </c>
      <c r="DS155" s="131" t="inlineStr">
        <is>
          <t/>
        </is>
      </c>
      <c r="DT155" s="132" t="inlineStr">
        <is>
          <t/>
        </is>
      </c>
      <c r="DU155" s="133" t="inlineStr">
        <is>
          <t/>
        </is>
      </c>
      <c r="DV155" s="134" t="inlineStr">
        <is>
          <t>63.474</t>
        </is>
      </c>
      <c r="DW155" s="135" t="inlineStr">
        <is>
          <t>246</t>
        </is>
      </c>
      <c r="DX155" s="136" t="inlineStr">
        <is>
          <t>0,39%</t>
        </is>
      </c>
      <c r="DY155" s="137" t="inlineStr">
        <is>
          <t>PitchBook Research</t>
        </is>
      </c>
      <c r="DZ155" s="785">
        <f>HYPERLINK("https://my.pitchbook.com?c=157949-56", "View company online")</f>
      </c>
    </row>
    <row r="156">
      <c r="A156" s="139" t="inlineStr">
        <is>
          <t>118664-74</t>
        </is>
      </c>
      <c r="B156" s="140" t="inlineStr">
        <is>
          <t>DSK Grad</t>
        </is>
      </c>
      <c r="C156" s="141" t="inlineStr">
        <is>
          <t/>
        </is>
      </c>
      <c r="D156" s="142" t="inlineStr">
        <is>
          <t/>
        </is>
      </c>
      <c r="E156" s="143" t="inlineStr">
        <is>
          <t>118664-74</t>
        </is>
      </c>
      <c r="F156" s="144" t="inlineStr">
        <is>
          <t>Manufacturer of prefabricated building units. The company operates a modular housing plant and manufactures prefabricated residential construction units.</t>
        </is>
      </c>
      <c r="G156" s="145" t="inlineStr">
        <is>
          <t>Business Products and Services (B2B)</t>
        </is>
      </c>
      <c r="H156" s="146" t="inlineStr">
        <is>
          <t>Commercial Products</t>
        </is>
      </c>
      <c r="I156" s="147" t="inlineStr">
        <is>
          <t>Building Products</t>
        </is>
      </c>
      <c r="J156" s="148" t="inlineStr">
        <is>
          <t>Building Products*</t>
        </is>
      </c>
      <c r="K156" s="149" t="inlineStr">
        <is>
          <t>Manufacturing</t>
        </is>
      </c>
      <c r="L156" s="150" t="inlineStr">
        <is>
          <t>Venture Capital-Backed</t>
        </is>
      </c>
      <c r="M156" s="151" t="n">
        <v>224.08</v>
      </c>
      <c r="N156" s="152" t="inlineStr">
        <is>
          <t>Startup</t>
        </is>
      </c>
      <c r="O156" s="153" t="inlineStr">
        <is>
          <t>Privately Held (backing)</t>
        </is>
      </c>
      <c r="P156" s="154" t="inlineStr">
        <is>
          <t>Venture Capital</t>
        </is>
      </c>
      <c r="Q156" s="155" t="inlineStr">
        <is>
          <t>www.dskgrad.ru</t>
        </is>
      </c>
      <c r="R156" s="156" t="inlineStr">
        <is>
          <t/>
        </is>
      </c>
      <c r="S156" s="157" t="inlineStr">
        <is>
          <t/>
        </is>
      </c>
      <c r="T156" s="158" t="inlineStr">
        <is>
          <t/>
        </is>
      </c>
      <c r="U156" s="159" t="n">
        <v>2013.0</v>
      </c>
      <c r="V156" s="160" t="inlineStr">
        <is>
          <t/>
        </is>
      </c>
      <c r="W156" s="161" t="inlineStr">
        <is>
          <t/>
        </is>
      </c>
      <c r="X156" s="162" t="inlineStr">
        <is>
          <t/>
        </is>
      </c>
      <c r="Y156" s="163" t="n">
        <v>102.89776</v>
      </c>
      <c r="Z156" s="164" t="inlineStr">
        <is>
          <t/>
        </is>
      </c>
      <c r="AA156" s="165" t="inlineStr">
        <is>
          <t/>
        </is>
      </c>
      <c r="AB156" s="166" t="inlineStr">
        <is>
          <t/>
        </is>
      </c>
      <c r="AC156" s="167" t="inlineStr">
        <is>
          <t/>
        </is>
      </c>
      <c r="AD156" s="168" t="inlineStr">
        <is>
          <t>FY 2015</t>
        </is>
      </c>
      <c r="AE156" s="169" t="inlineStr">
        <is>
          <t/>
        </is>
      </c>
      <c r="AF156" s="170" t="inlineStr">
        <is>
          <t/>
        </is>
      </c>
      <c r="AG156" s="171" t="inlineStr">
        <is>
          <t/>
        </is>
      </c>
      <c r="AH156" s="172" t="inlineStr">
        <is>
          <t/>
        </is>
      </c>
      <c r="AI156" s="173" t="inlineStr">
        <is>
          <t/>
        </is>
      </c>
      <c r="AJ156" s="174" t="inlineStr">
        <is>
          <t>Moscow, Russia</t>
        </is>
      </c>
      <c r="AK156" s="175" t="inlineStr">
        <is>
          <t>Preobrazhenskaya Square</t>
        </is>
      </c>
      <c r="AL156" s="176" t="inlineStr">
        <is>
          <t>Building 8</t>
        </is>
      </c>
      <c r="AM156" s="177" t="inlineStr">
        <is>
          <t>Moscow</t>
        </is>
      </c>
      <c r="AN156" s="178" t="inlineStr">
        <is>
          <t/>
        </is>
      </c>
      <c r="AO156" s="179" t="inlineStr">
        <is>
          <t/>
        </is>
      </c>
      <c r="AP156" s="180" t="inlineStr">
        <is>
          <t>Russia</t>
        </is>
      </c>
      <c r="AQ156" s="181" t="inlineStr">
        <is>
          <t>+7 (8)800 550 0011</t>
        </is>
      </c>
      <c r="AR156" s="182" t="inlineStr">
        <is>
          <t/>
        </is>
      </c>
      <c r="AS156" s="183" t="inlineStr">
        <is>
          <t>info@dskgrad.ru</t>
        </is>
      </c>
      <c r="AT156" s="184" t="inlineStr">
        <is>
          <t>Europe</t>
        </is>
      </c>
      <c r="AU156" s="185" t="inlineStr">
        <is>
          <t>Eastern Europe</t>
        </is>
      </c>
      <c r="AV156" s="186" t="inlineStr">
        <is>
          <t>The company raised RUB 9000 million of venture funding from Rusnano, Promsvyazbank and Morton in 2013.</t>
        </is>
      </c>
      <c r="AW156" s="187" t="inlineStr">
        <is>
          <t>Morton, Promsvyazbank, Rusnano</t>
        </is>
      </c>
      <c r="AX156" s="188" t="n">
        <v>3.0</v>
      </c>
      <c r="AY156" s="189" t="inlineStr">
        <is>
          <t/>
        </is>
      </c>
      <c r="AZ156" s="190" t="inlineStr">
        <is>
          <t/>
        </is>
      </c>
      <c r="BA156" s="191" t="inlineStr">
        <is>
          <t/>
        </is>
      </c>
      <c r="BB156" s="192" t="inlineStr">
        <is>
          <t>Morton (www.morton.ru), Promsvyazbank (www.psbank.ru), Rusnano (www.rusnano.com)</t>
        </is>
      </c>
      <c r="BC156" s="193" t="inlineStr">
        <is>
          <t/>
        </is>
      </c>
      <c r="BD156" s="194" t="inlineStr">
        <is>
          <t/>
        </is>
      </c>
      <c r="BE156" s="195" t="inlineStr">
        <is>
          <t/>
        </is>
      </c>
      <c r="BF156" s="196" t="inlineStr">
        <is>
          <t/>
        </is>
      </c>
      <c r="BG156" s="197" t="n">
        <v>41275.0</v>
      </c>
      <c r="BH156" s="198" t="n">
        <v>224.08</v>
      </c>
      <c r="BI156" s="199" t="inlineStr">
        <is>
          <t>Actual</t>
        </is>
      </c>
      <c r="BJ156" s="200" t="inlineStr">
        <is>
          <t/>
        </is>
      </c>
      <c r="BK156" s="201" t="inlineStr">
        <is>
          <t/>
        </is>
      </c>
      <c r="BL156" s="202" t="inlineStr">
        <is>
          <t>Early Stage VC</t>
        </is>
      </c>
      <c r="BM156" s="203" t="inlineStr">
        <is>
          <t/>
        </is>
      </c>
      <c r="BN156" s="204" t="inlineStr">
        <is>
          <t/>
        </is>
      </c>
      <c r="BO156" s="205" t="inlineStr">
        <is>
          <t>Venture Capital</t>
        </is>
      </c>
      <c r="BP156" s="206" t="inlineStr">
        <is>
          <t/>
        </is>
      </c>
      <c r="BQ156" s="207" t="inlineStr">
        <is>
          <t/>
        </is>
      </c>
      <c r="BR156" s="208" t="inlineStr">
        <is>
          <t/>
        </is>
      </c>
      <c r="BS156" s="209" t="inlineStr">
        <is>
          <t>Completed</t>
        </is>
      </c>
      <c r="BT156" s="210" t="n">
        <v>41275.0</v>
      </c>
      <c r="BU156" s="211" t="n">
        <v>224.08</v>
      </c>
      <c r="BV156" s="212" t="inlineStr">
        <is>
          <t>Actual</t>
        </is>
      </c>
      <c r="BW156" s="213" t="inlineStr">
        <is>
          <t/>
        </is>
      </c>
      <c r="BX156" s="214" t="inlineStr">
        <is>
          <t/>
        </is>
      </c>
      <c r="BY156" s="215" t="inlineStr">
        <is>
          <t>Early Stage VC</t>
        </is>
      </c>
      <c r="BZ156" s="216" t="inlineStr">
        <is>
          <t/>
        </is>
      </c>
      <c r="CA156" s="217" t="inlineStr">
        <is>
          <t/>
        </is>
      </c>
      <c r="CB156" s="218" t="inlineStr">
        <is>
          <t>Venture Capital</t>
        </is>
      </c>
      <c r="CC156" s="219" t="inlineStr">
        <is>
          <t/>
        </is>
      </c>
      <c r="CD156" s="220" t="inlineStr">
        <is>
          <t/>
        </is>
      </c>
      <c r="CE156" s="221" t="inlineStr">
        <is>
          <t/>
        </is>
      </c>
      <c r="CF156" s="222" t="inlineStr">
        <is>
          <t>Completed</t>
        </is>
      </c>
      <c r="CG156" s="223" t="inlineStr">
        <is>
          <t>-0,41%</t>
        </is>
      </c>
      <c r="CH156" s="224" t="inlineStr">
        <is>
          <t>10</t>
        </is>
      </c>
      <c r="CI156" s="225" t="inlineStr">
        <is>
          <t>0,00%</t>
        </is>
      </c>
      <c r="CJ156" s="226" t="inlineStr">
        <is>
          <t>-0,96%</t>
        </is>
      </c>
      <c r="CK156" s="227" t="inlineStr">
        <is>
          <t>-0,79%</t>
        </is>
      </c>
      <c r="CL156" s="228" t="inlineStr">
        <is>
          <t>10</t>
        </is>
      </c>
      <c r="CM156" s="229" t="inlineStr">
        <is>
          <t>-0,03%</t>
        </is>
      </c>
      <c r="CN156" s="230" t="inlineStr">
        <is>
          <t>12</t>
        </is>
      </c>
      <c r="CO156" s="231" t="inlineStr">
        <is>
          <t>-1,59%</t>
        </is>
      </c>
      <c r="CP156" s="232" t="inlineStr">
        <is>
          <t>17</t>
        </is>
      </c>
      <c r="CQ156" s="233" t="inlineStr">
        <is>
          <t>0,00%</t>
        </is>
      </c>
      <c r="CR156" s="234" t="inlineStr">
        <is>
          <t>13</t>
        </is>
      </c>
      <c r="CS156" s="235" t="inlineStr">
        <is>
          <t>-0,03%</t>
        </is>
      </c>
      <c r="CT156" s="236" t="inlineStr">
        <is>
          <t>10</t>
        </is>
      </c>
      <c r="CU156" s="237" t="inlineStr">
        <is>
          <t/>
        </is>
      </c>
      <c r="CV156" s="238" t="inlineStr">
        <is>
          <t/>
        </is>
      </c>
      <c r="CW156" s="239" t="inlineStr">
        <is>
          <t>1,82x</t>
        </is>
      </c>
      <c r="CX156" s="240" t="inlineStr">
        <is>
          <t>62</t>
        </is>
      </c>
      <c r="CY156" s="241" t="inlineStr">
        <is>
          <t>0,02x</t>
        </is>
      </c>
      <c r="CZ156" s="242" t="inlineStr">
        <is>
          <t>1,04%</t>
        </is>
      </c>
      <c r="DA156" s="243" t="inlineStr">
        <is>
          <t>1,64x</t>
        </is>
      </c>
      <c r="DB156" s="244" t="inlineStr">
        <is>
          <t>62</t>
        </is>
      </c>
      <c r="DC156" s="245" t="inlineStr">
        <is>
          <t>2,00x</t>
        </is>
      </c>
      <c r="DD156" s="246" t="inlineStr">
        <is>
          <t>61</t>
        </is>
      </c>
      <c r="DE156" s="247" t="inlineStr">
        <is>
          <t>2,51x</t>
        </is>
      </c>
      <c r="DF156" s="248" t="inlineStr">
        <is>
          <t>67</t>
        </is>
      </c>
      <c r="DG156" s="249" t="inlineStr">
        <is>
          <t>0,78x</t>
        </is>
      </c>
      <c r="DH156" s="250" t="inlineStr">
        <is>
          <t>45</t>
        </is>
      </c>
      <c r="DI156" s="251" t="inlineStr">
        <is>
          <t>2,00x</t>
        </is>
      </c>
      <c r="DJ156" s="252" t="inlineStr">
        <is>
          <t>62</t>
        </is>
      </c>
      <c r="DK156" s="253" t="inlineStr">
        <is>
          <t/>
        </is>
      </c>
      <c r="DL156" s="254" t="inlineStr">
        <is>
          <t/>
        </is>
      </c>
      <c r="DM156" s="255" t="inlineStr">
        <is>
          <t>1.556</t>
        </is>
      </c>
      <c r="DN156" s="256" t="inlineStr">
        <is>
          <t>-45</t>
        </is>
      </c>
      <c r="DO156" s="257" t="inlineStr">
        <is>
          <t>-2,81%</t>
        </is>
      </c>
      <c r="DP156" s="258" t="inlineStr">
        <is>
          <t>1.596</t>
        </is>
      </c>
      <c r="DQ156" s="259" t="inlineStr">
        <is>
          <t>-1</t>
        </is>
      </c>
      <c r="DR156" s="260" t="inlineStr">
        <is>
          <t>-0,06%</t>
        </is>
      </c>
      <c r="DS156" s="261" t="inlineStr">
        <is>
          <t>28</t>
        </is>
      </c>
      <c r="DT156" s="262" t="inlineStr">
        <is>
          <t>-1</t>
        </is>
      </c>
      <c r="DU156" s="263" t="inlineStr">
        <is>
          <t>-3,45%</t>
        </is>
      </c>
      <c r="DV156" s="264" t="inlineStr">
        <is>
          <t/>
        </is>
      </c>
      <c r="DW156" s="265" t="inlineStr">
        <is>
          <t/>
        </is>
      </c>
      <c r="DX156" s="266" t="inlineStr">
        <is>
          <t/>
        </is>
      </c>
      <c r="DY156" s="267" t="inlineStr">
        <is>
          <t>PitchBook Research</t>
        </is>
      </c>
      <c r="DZ156" s="786">
        <f>HYPERLINK("https://my.pitchbook.com?c=118664-74", "View company online")</f>
      </c>
    </row>
    <row r="157">
      <c r="A157" s="9" t="inlineStr">
        <is>
          <t>99936-10</t>
        </is>
      </c>
      <c r="B157" s="10" t="inlineStr">
        <is>
          <t>Dubsmash</t>
        </is>
      </c>
      <c r="C157" s="11" t="inlineStr">
        <is>
          <t/>
        </is>
      </c>
      <c r="D157" s="12" t="inlineStr">
        <is>
          <t/>
        </is>
      </c>
      <c r="E157" s="13" t="inlineStr">
        <is>
          <t>99936-10</t>
        </is>
      </c>
      <c r="F157" s="14" t="inlineStr">
        <is>
          <t>Developer of a mobile music video application. The company provides a lip-syncing video platform that enables users to record, edit and share videos.</t>
        </is>
      </c>
      <c r="G157" s="15" t="inlineStr">
        <is>
          <t>Consumer Products and Services (B2C)</t>
        </is>
      </c>
      <c r="H157" s="16" t="inlineStr">
        <is>
          <t>Media</t>
        </is>
      </c>
      <c r="I157" s="17" t="inlineStr">
        <is>
          <t>Social Content</t>
        </is>
      </c>
      <c r="J157" s="18" t="inlineStr">
        <is>
          <t>Social Content*; Multimedia and Design Software; Social/Platform Software</t>
        </is>
      </c>
      <c r="K157" s="19" t="inlineStr">
        <is>
          <t>Mobile</t>
        </is>
      </c>
      <c r="L157" s="20" t="inlineStr">
        <is>
          <t>Venture Capital-Backed</t>
        </is>
      </c>
      <c r="M157" s="21" t="n">
        <v>13.94</v>
      </c>
      <c r="N157" s="22" t="inlineStr">
        <is>
          <t>Generating Revenue</t>
        </is>
      </c>
      <c r="O157" s="23" t="inlineStr">
        <is>
          <t>Privately Held (backing)</t>
        </is>
      </c>
      <c r="P157" s="24" t="inlineStr">
        <is>
          <t>Venture Capital</t>
        </is>
      </c>
      <c r="Q157" s="25" t="inlineStr">
        <is>
          <t>www.dubsmash.com</t>
        </is>
      </c>
      <c r="R157" s="26" t="n">
        <v>27.0</v>
      </c>
      <c r="S157" s="27" t="inlineStr">
        <is>
          <t/>
        </is>
      </c>
      <c r="T157" s="28" t="inlineStr">
        <is>
          <t/>
        </is>
      </c>
      <c r="U157" s="29" t="n">
        <v>2013.0</v>
      </c>
      <c r="V157" s="30" t="inlineStr">
        <is>
          <t/>
        </is>
      </c>
      <c r="W157" s="31" t="inlineStr">
        <is>
          <t/>
        </is>
      </c>
      <c r="X157" s="32" t="inlineStr">
        <is>
          <t/>
        </is>
      </c>
      <c r="Y157" s="33" t="inlineStr">
        <is>
          <t/>
        </is>
      </c>
      <c r="Z157" s="34" t="inlineStr">
        <is>
          <t/>
        </is>
      </c>
      <c r="AA157" s="35" t="inlineStr">
        <is>
          <t/>
        </is>
      </c>
      <c r="AB157" s="36" t="inlineStr">
        <is>
          <t/>
        </is>
      </c>
      <c r="AC157" s="37" t="inlineStr">
        <is>
          <t/>
        </is>
      </c>
      <c r="AD157" s="38" t="inlineStr">
        <is>
          <t/>
        </is>
      </c>
      <c r="AE157" s="39" t="inlineStr">
        <is>
          <t>86068-18P</t>
        </is>
      </c>
      <c r="AF157" s="40" t="inlineStr">
        <is>
          <t>Roland Grenke</t>
        </is>
      </c>
      <c r="AG157" s="41" t="inlineStr">
        <is>
          <t>Co-Founder &amp; Managing Director</t>
        </is>
      </c>
      <c r="AH157" s="42" t="inlineStr">
        <is>
          <t/>
        </is>
      </c>
      <c r="AI157" s="43" t="inlineStr">
        <is>
          <t/>
        </is>
      </c>
      <c r="AJ157" s="44" t="inlineStr">
        <is>
          <t>Berlin, Germany</t>
        </is>
      </c>
      <c r="AK157" s="45" t="inlineStr">
        <is>
          <t>Karl-Liebknecht-Straße 5</t>
        </is>
      </c>
      <c r="AL157" s="46" t="inlineStr">
        <is>
          <t/>
        </is>
      </c>
      <c r="AM157" s="47" t="inlineStr">
        <is>
          <t>Berlin</t>
        </is>
      </c>
      <c r="AN157" s="48" t="inlineStr">
        <is>
          <t/>
        </is>
      </c>
      <c r="AO157" s="49" t="inlineStr">
        <is>
          <t>10178</t>
        </is>
      </c>
      <c r="AP157" s="50" t="inlineStr">
        <is>
          <t>Germany</t>
        </is>
      </c>
      <c r="AQ157" s="51" t="inlineStr">
        <is>
          <t/>
        </is>
      </c>
      <c r="AR157" s="52" t="inlineStr">
        <is>
          <t/>
        </is>
      </c>
      <c r="AS157" s="53" t="inlineStr">
        <is>
          <t>impressum@dubsmash.com</t>
        </is>
      </c>
      <c r="AT157" s="54" t="inlineStr">
        <is>
          <t>Europe</t>
        </is>
      </c>
      <c r="AU157" s="55" t="inlineStr">
        <is>
          <t>Western Europe</t>
        </is>
      </c>
      <c r="AV157" s="56" t="inlineStr">
        <is>
          <t>The company raised EUR 9 million of Series B venture funding in a deal led by Sunstone Capital on November 30, 2016. Index Ventures, Lowercase Capital, Balderton Capital and Eniac Ventures also participated in the round. The company intends to use the capital to streamline processes and scale their growth.</t>
        </is>
      </c>
      <c r="AW157" s="57" t="inlineStr">
        <is>
          <t>Balderton Capital, Eniac Ventures, Hasso Plattner Ventures, Index Ventures (UK), Lowercase Capital, Raine Ventures, Riccardo Zacconi, Sunstone Capital</t>
        </is>
      </c>
      <c r="AX157" s="58" t="n">
        <v>8.0</v>
      </c>
      <c r="AY157" s="59" t="inlineStr">
        <is>
          <t/>
        </is>
      </c>
      <c r="AZ157" s="60" t="inlineStr">
        <is>
          <t/>
        </is>
      </c>
      <c r="BA157" s="61" t="inlineStr">
        <is>
          <t/>
        </is>
      </c>
      <c r="BB157" s="62" t="inlineStr">
        <is>
          <t>Balderton Capital (www.balderton.com), Eniac Ventures (www.eniac.vc), Hasso Plattner Ventures (www.hp-ventures.com), Index Ventures (UK) (www.indexventures.com), Lowercase Capital (www.lowercasecapital.com), Sunstone Capital (www.sunstone.eu)</t>
        </is>
      </c>
      <c r="BC157" s="63" t="inlineStr">
        <is>
          <t/>
        </is>
      </c>
      <c r="BD157" s="64" t="inlineStr">
        <is>
          <t/>
        </is>
      </c>
      <c r="BE157" s="65" t="inlineStr">
        <is>
          <t>Latham &amp; Watkins (Legal Advisor)</t>
        </is>
      </c>
      <c r="BF157" s="66" t="inlineStr">
        <is>
          <t>Latham &amp; Watkins (Legal Advisor)</t>
        </is>
      </c>
      <c r="BG157" s="67" t="inlineStr">
        <is>
          <t/>
        </is>
      </c>
      <c r="BH157" s="68" t="inlineStr">
        <is>
          <t/>
        </is>
      </c>
      <c r="BI157" s="69" t="inlineStr">
        <is>
          <t/>
        </is>
      </c>
      <c r="BJ157" s="70" t="inlineStr">
        <is>
          <t/>
        </is>
      </c>
      <c r="BK157" s="71" t="inlineStr">
        <is>
          <t/>
        </is>
      </c>
      <c r="BL157" s="72" t="inlineStr">
        <is>
          <t>Seed Round</t>
        </is>
      </c>
      <c r="BM157" s="73" t="inlineStr">
        <is>
          <t>Seed</t>
        </is>
      </c>
      <c r="BN157" s="74" t="inlineStr">
        <is>
          <t/>
        </is>
      </c>
      <c r="BO157" s="75" t="inlineStr">
        <is>
          <t>Venture Capital</t>
        </is>
      </c>
      <c r="BP157" s="76" t="inlineStr">
        <is>
          <t/>
        </is>
      </c>
      <c r="BQ157" s="77" t="inlineStr">
        <is>
          <t/>
        </is>
      </c>
      <c r="BR157" s="78" t="inlineStr">
        <is>
          <t/>
        </is>
      </c>
      <c r="BS157" s="79" t="inlineStr">
        <is>
          <t>Completed</t>
        </is>
      </c>
      <c r="BT157" s="80" t="n">
        <v>42704.0</v>
      </c>
      <c r="BU157" s="81" t="n">
        <v>9.0</v>
      </c>
      <c r="BV157" s="82" t="inlineStr">
        <is>
          <t>Actual</t>
        </is>
      </c>
      <c r="BW157" s="83" t="inlineStr">
        <is>
          <t/>
        </is>
      </c>
      <c r="BX157" s="84" t="inlineStr">
        <is>
          <t/>
        </is>
      </c>
      <c r="BY157" s="85" t="inlineStr">
        <is>
          <t>Early Stage VC</t>
        </is>
      </c>
      <c r="BZ157" s="86" t="inlineStr">
        <is>
          <t>Series B</t>
        </is>
      </c>
      <c r="CA157" s="87" t="inlineStr">
        <is>
          <t/>
        </is>
      </c>
      <c r="CB157" s="88" t="inlineStr">
        <is>
          <t>Venture Capital</t>
        </is>
      </c>
      <c r="CC157" s="89" t="inlineStr">
        <is>
          <t/>
        </is>
      </c>
      <c r="CD157" s="90" t="inlineStr">
        <is>
          <t/>
        </is>
      </c>
      <c r="CE157" s="91" t="inlineStr">
        <is>
          <t/>
        </is>
      </c>
      <c r="CF157" s="92" t="inlineStr">
        <is>
          <t>Completed</t>
        </is>
      </c>
      <c r="CG157" s="93" t="inlineStr">
        <is>
          <t>-0,91%</t>
        </is>
      </c>
      <c r="CH157" s="94" t="inlineStr">
        <is>
          <t>6</t>
        </is>
      </c>
      <c r="CI157" s="95" t="inlineStr">
        <is>
          <t>-0,01%</t>
        </is>
      </c>
      <c r="CJ157" s="96" t="inlineStr">
        <is>
          <t>-1,67%</t>
        </is>
      </c>
      <c r="CK157" s="97" t="inlineStr">
        <is>
          <t>-3,15%</t>
        </is>
      </c>
      <c r="CL157" s="98" t="inlineStr">
        <is>
          <t>3</t>
        </is>
      </c>
      <c r="CM157" s="99" t="inlineStr">
        <is>
          <t>0,30%</t>
        </is>
      </c>
      <c r="CN157" s="100" t="inlineStr">
        <is>
          <t>81</t>
        </is>
      </c>
      <c r="CO157" s="101" t="inlineStr">
        <is>
          <t>-3,15%</t>
        </is>
      </c>
      <c r="CP157" s="102" t="inlineStr">
        <is>
          <t>11</t>
        </is>
      </c>
      <c r="CQ157" s="103" t="inlineStr">
        <is>
          <t/>
        </is>
      </c>
      <c r="CR157" s="104" t="inlineStr">
        <is>
          <t/>
        </is>
      </c>
      <c r="CS157" s="105" t="inlineStr">
        <is>
          <t>0,02%</t>
        </is>
      </c>
      <c r="CT157" s="106" t="inlineStr">
        <is>
          <t>43</t>
        </is>
      </c>
      <c r="CU157" s="107" t="inlineStr">
        <is>
          <t>0,59%</t>
        </is>
      </c>
      <c r="CV157" s="108" t="inlineStr">
        <is>
          <t>93</t>
        </is>
      </c>
      <c r="CW157" s="109" t="inlineStr">
        <is>
          <t>876,41x</t>
        </is>
      </c>
      <c r="CX157" s="110" t="inlineStr">
        <is>
          <t>100</t>
        </is>
      </c>
      <c r="CY157" s="111" t="inlineStr">
        <is>
          <t>15,15x</t>
        </is>
      </c>
      <c r="CZ157" s="112" t="inlineStr">
        <is>
          <t>1,76%</t>
        </is>
      </c>
      <c r="DA157" s="113" t="inlineStr">
        <is>
          <t>40,49x</t>
        </is>
      </c>
      <c r="DB157" s="114" t="inlineStr">
        <is>
          <t>96</t>
        </is>
      </c>
      <c r="DC157" s="115" t="inlineStr">
        <is>
          <t>2.186,48x</t>
        </is>
      </c>
      <c r="DD157" s="116" t="inlineStr">
        <is>
          <t>100</t>
        </is>
      </c>
      <c r="DE157" s="117" t="inlineStr">
        <is>
          <t>40,49x</t>
        </is>
      </c>
      <c r="DF157" s="118" t="inlineStr">
        <is>
          <t>92</t>
        </is>
      </c>
      <c r="DG157" s="119" t="inlineStr">
        <is>
          <t/>
        </is>
      </c>
      <c r="DH157" s="120" t="inlineStr">
        <is>
          <t/>
        </is>
      </c>
      <c r="DI157" s="121" t="inlineStr">
        <is>
          <t>4.372,51x</t>
        </is>
      </c>
      <c r="DJ157" s="122" t="inlineStr">
        <is>
          <t>100</t>
        </is>
      </c>
      <c r="DK157" s="123" t="inlineStr">
        <is>
          <t>0,44x</t>
        </is>
      </c>
      <c r="DL157" s="124" t="inlineStr">
        <is>
          <t>37</t>
        </is>
      </c>
      <c r="DM157" s="125" t="inlineStr">
        <is>
          <t>25.129</t>
        </is>
      </c>
      <c r="DN157" s="126" t="inlineStr">
        <is>
          <t>-681</t>
        </is>
      </c>
      <c r="DO157" s="127" t="inlineStr">
        <is>
          <t>-2,64%</t>
        </is>
      </c>
      <c r="DP157" s="128" t="inlineStr">
        <is>
          <t>3.493.861</t>
        </is>
      </c>
      <c r="DQ157" s="129" t="inlineStr">
        <is>
          <t>-365</t>
        </is>
      </c>
      <c r="DR157" s="130" t="inlineStr">
        <is>
          <t>-0,01%</t>
        </is>
      </c>
      <c r="DS157" s="131" t="inlineStr">
        <is>
          <t/>
        </is>
      </c>
      <c r="DT157" s="132" t="inlineStr">
        <is>
          <t/>
        </is>
      </c>
      <c r="DU157" s="133" t="inlineStr">
        <is>
          <t/>
        </is>
      </c>
      <c r="DV157" s="134" t="inlineStr">
        <is>
          <t>152</t>
        </is>
      </c>
      <c r="DW157" s="135" t="inlineStr">
        <is>
          <t>0</t>
        </is>
      </c>
      <c r="DX157" s="136" t="inlineStr">
        <is>
          <t>0,00%</t>
        </is>
      </c>
      <c r="DY157" s="137" t="inlineStr">
        <is>
          <t>PitchBook Research</t>
        </is>
      </c>
      <c r="DZ157" s="785">
        <f>HYPERLINK("https://my.pitchbook.com?c=99936-10", "View company online")</f>
      </c>
    </row>
    <row r="158">
      <c r="A158" s="139" t="inlineStr">
        <is>
          <t>109979-11</t>
        </is>
      </c>
      <c r="B158" s="140" t="inlineStr">
        <is>
          <t>Easyrecrue</t>
        </is>
      </c>
      <c r="C158" s="141" t="inlineStr">
        <is>
          <t/>
        </is>
      </c>
      <c r="D158" s="142" t="inlineStr">
        <is>
          <t/>
        </is>
      </c>
      <c r="E158" s="143" t="inlineStr">
        <is>
          <t>109979-11</t>
        </is>
      </c>
      <c r="F158" s="144" t="inlineStr">
        <is>
          <t>Developer of a SaaS video recruitment platform designed to assist recruitment professionals with the applicant pre-screening and short-listing process. The company's online pre-recorded video interviewing platform provides the facility to hold interviews with applicants and assess them in non real-time as well as allows companies to optimize and organize the time allocated to applicant pre-screening, enabling them to identify the best profiles using video interviews and improve the quality of their recruitment.</t>
        </is>
      </c>
      <c r="G158" s="145" t="inlineStr">
        <is>
          <t>Information Technology</t>
        </is>
      </c>
      <c r="H158" s="146" t="inlineStr">
        <is>
          <t>Software</t>
        </is>
      </c>
      <c r="I158" s="147" t="inlineStr">
        <is>
          <t>Business/Productivity Software</t>
        </is>
      </c>
      <c r="J158" s="148" t="inlineStr">
        <is>
          <t>Business/Productivity Software*; Human Capital Services; Communication Software</t>
        </is>
      </c>
      <c r="K158" s="149" t="inlineStr">
        <is>
          <t>SaaS</t>
        </is>
      </c>
      <c r="L158" s="150" t="inlineStr">
        <is>
          <t>Venture Capital-Backed</t>
        </is>
      </c>
      <c r="M158" s="151" t="n">
        <v>11.0</v>
      </c>
      <c r="N158" s="152" t="inlineStr">
        <is>
          <t>Generating Revenue</t>
        </is>
      </c>
      <c r="O158" s="153" t="inlineStr">
        <is>
          <t>Privately Held (backing)</t>
        </is>
      </c>
      <c r="P158" s="154" t="inlineStr">
        <is>
          <t>Venture Capital</t>
        </is>
      </c>
      <c r="Q158" s="155" t="inlineStr">
        <is>
          <t>www.easyrecrue.com</t>
        </is>
      </c>
      <c r="R158" s="156" t="n">
        <v>45.0</v>
      </c>
      <c r="S158" s="157" t="inlineStr">
        <is>
          <t/>
        </is>
      </c>
      <c r="T158" s="158" t="inlineStr">
        <is>
          <t/>
        </is>
      </c>
      <c r="U158" s="159" t="n">
        <v>2013.0</v>
      </c>
      <c r="V158" s="160" t="inlineStr">
        <is>
          <t/>
        </is>
      </c>
      <c r="W158" s="161" t="inlineStr">
        <is>
          <t/>
        </is>
      </c>
      <c r="X158" s="162" t="inlineStr">
        <is>
          <t/>
        </is>
      </c>
      <c r="Y158" s="163" t="n">
        <v>24.99951</v>
      </c>
      <c r="Z158" s="164" t="inlineStr">
        <is>
          <t/>
        </is>
      </c>
      <c r="AA158" s="165" t="inlineStr">
        <is>
          <t/>
        </is>
      </c>
      <c r="AB158" s="166" t="inlineStr">
        <is>
          <t/>
        </is>
      </c>
      <c r="AC158" s="167" t="inlineStr">
        <is>
          <t/>
        </is>
      </c>
      <c r="AD158" s="168" t="inlineStr">
        <is>
          <t>FY 2018</t>
        </is>
      </c>
      <c r="AE158" s="169" t="inlineStr">
        <is>
          <t>55131-31P</t>
        </is>
      </c>
      <c r="AF158" s="170" t="inlineStr">
        <is>
          <t>Mickael Cabrol</t>
        </is>
      </c>
      <c r="AG158" s="171" t="inlineStr">
        <is>
          <t>Chief Executive Officer &amp; Co-Founder</t>
        </is>
      </c>
      <c r="AH158" s="172" t="inlineStr">
        <is>
          <t>m.cabrol@easyrecrue.com</t>
        </is>
      </c>
      <c r="AI158" s="173" t="inlineStr">
        <is>
          <t>+33 (0)9 72 46 23 56</t>
        </is>
      </c>
      <c r="AJ158" s="174" t="inlineStr">
        <is>
          <t>Paris, France</t>
        </is>
      </c>
      <c r="AK158" s="175" t="inlineStr">
        <is>
          <t>3bis rue de la Chaussée d'Antin</t>
        </is>
      </c>
      <c r="AL158" s="176" t="inlineStr">
        <is>
          <t/>
        </is>
      </c>
      <c r="AM158" s="177" t="inlineStr">
        <is>
          <t>Paris</t>
        </is>
      </c>
      <c r="AN158" s="178" t="inlineStr">
        <is>
          <t/>
        </is>
      </c>
      <c r="AO158" s="179" t="inlineStr">
        <is>
          <t>75009</t>
        </is>
      </c>
      <c r="AP158" s="180" t="inlineStr">
        <is>
          <t>France</t>
        </is>
      </c>
      <c r="AQ158" s="181" t="inlineStr">
        <is>
          <t>+33 (0)9 72 46 23 56</t>
        </is>
      </c>
      <c r="AR158" s="182" t="inlineStr">
        <is>
          <t/>
        </is>
      </c>
      <c r="AS158" s="183" t="inlineStr">
        <is>
          <t>contact@easyrecrue.com</t>
        </is>
      </c>
      <c r="AT158" s="184" t="inlineStr">
        <is>
          <t>Europe</t>
        </is>
      </c>
      <c r="AU158" s="185" t="inlineStr">
        <is>
          <t>Western Europe</t>
        </is>
      </c>
      <c r="AV158" s="186" t="inlineStr">
        <is>
          <t>The company raised EUR 8 million of venture funding through a combination of debt and equity on May 15, 2017. EUR 6 million of venture funding was led by Entrepreneur Venture with participation from Elaia Partners and Bpifrance. EUR 2 million of loan was provided by an undisclosed lender. The funds will be used to finance the expansion across Europe as well as to recruit from 50 to 80 employees by the end of the year and to improve the product.</t>
        </is>
      </c>
      <c r="AW158" s="187" t="inlineStr">
        <is>
          <t>Bpifrance, Elaia Partners, Entrepreneur Venture</t>
        </is>
      </c>
      <c r="AX158" s="188" t="n">
        <v>3.0</v>
      </c>
      <c r="AY158" s="189" t="inlineStr">
        <is>
          <t/>
        </is>
      </c>
      <c r="AZ158" s="190" t="inlineStr">
        <is>
          <t/>
        </is>
      </c>
      <c r="BA158" s="191" t="inlineStr">
        <is>
          <t/>
        </is>
      </c>
      <c r="BB158" s="192" t="inlineStr">
        <is>
          <t>Bpifrance (www.bpifrance.fr), Elaia Partners (www.elaia.com), Entrepreneur Venture (www.entrepreneurventure.com)</t>
        </is>
      </c>
      <c r="BC158" s="193" t="inlineStr">
        <is>
          <t/>
        </is>
      </c>
      <c r="BD158" s="194" t="inlineStr">
        <is>
          <t/>
        </is>
      </c>
      <c r="BE158" s="195" t="inlineStr">
        <is>
          <t/>
        </is>
      </c>
      <c r="BF158" s="196" t="inlineStr">
        <is>
          <t>Cambon Partners (Advisor)</t>
        </is>
      </c>
      <c r="BG158" s="197" t="n">
        <v>41687.0</v>
      </c>
      <c r="BH158" s="198" t="n">
        <v>0.5</v>
      </c>
      <c r="BI158" s="199" t="inlineStr">
        <is>
          <t>Actual</t>
        </is>
      </c>
      <c r="BJ158" s="200" t="inlineStr">
        <is>
          <t/>
        </is>
      </c>
      <c r="BK158" s="201" t="inlineStr">
        <is>
          <t/>
        </is>
      </c>
      <c r="BL158" s="202" t="inlineStr">
        <is>
          <t>Early Stage VC</t>
        </is>
      </c>
      <c r="BM158" s="203" t="inlineStr">
        <is>
          <t/>
        </is>
      </c>
      <c r="BN158" s="204" t="inlineStr">
        <is>
          <t/>
        </is>
      </c>
      <c r="BO158" s="205" t="inlineStr">
        <is>
          <t>Venture Capital</t>
        </is>
      </c>
      <c r="BP158" s="206" t="inlineStr">
        <is>
          <t/>
        </is>
      </c>
      <c r="BQ158" s="207" t="inlineStr">
        <is>
          <t/>
        </is>
      </c>
      <c r="BR158" s="208" t="inlineStr">
        <is>
          <t/>
        </is>
      </c>
      <c r="BS158" s="209" t="inlineStr">
        <is>
          <t>Completed</t>
        </is>
      </c>
      <c r="BT158" s="210" t="n">
        <v>42870.0</v>
      </c>
      <c r="BU158" s="211" t="n">
        <v>8.0</v>
      </c>
      <c r="BV158" s="212" t="inlineStr">
        <is>
          <t>Actual</t>
        </is>
      </c>
      <c r="BW158" s="213" t="inlineStr">
        <is>
          <t/>
        </is>
      </c>
      <c r="BX158" s="214" t="inlineStr">
        <is>
          <t/>
        </is>
      </c>
      <c r="BY158" s="215" t="inlineStr">
        <is>
          <t>Early Stage VC</t>
        </is>
      </c>
      <c r="BZ158" s="216" t="inlineStr">
        <is>
          <t/>
        </is>
      </c>
      <c r="CA158" s="217" t="inlineStr">
        <is>
          <t/>
        </is>
      </c>
      <c r="CB158" s="218" t="inlineStr">
        <is>
          <t>Venture Capital</t>
        </is>
      </c>
      <c r="CC158" s="219" t="inlineStr">
        <is>
          <t>Loan</t>
        </is>
      </c>
      <c r="CD158" s="220" t="inlineStr">
        <is>
          <t/>
        </is>
      </c>
      <c r="CE158" s="221" t="inlineStr">
        <is>
          <t/>
        </is>
      </c>
      <c r="CF158" s="222" t="inlineStr">
        <is>
          <t>Completed</t>
        </is>
      </c>
      <c r="CG158" s="223" t="inlineStr">
        <is>
          <t>-1,54%</t>
        </is>
      </c>
      <c r="CH158" s="224" t="inlineStr">
        <is>
          <t>4</t>
        </is>
      </c>
      <c r="CI158" s="225" t="inlineStr">
        <is>
          <t>-0,03%</t>
        </is>
      </c>
      <c r="CJ158" s="226" t="inlineStr">
        <is>
          <t>-2,06%</t>
        </is>
      </c>
      <c r="CK158" s="227" t="inlineStr">
        <is>
          <t>-3,40%</t>
        </is>
      </c>
      <c r="CL158" s="228" t="inlineStr">
        <is>
          <t>3</t>
        </is>
      </c>
      <c r="CM158" s="229" t="inlineStr">
        <is>
          <t>0,33%</t>
        </is>
      </c>
      <c r="CN158" s="230" t="inlineStr">
        <is>
          <t>83</t>
        </is>
      </c>
      <c r="CO158" s="231" t="inlineStr">
        <is>
          <t>-7,22%</t>
        </is>
      </c>
      <c r="CP158" s="232" t="inlineStr">
        <is>
          <t>4</t>
        </is>
      </c>
      <c r="CQ158" s="233" t="inlineStr">
        <is>
          <t>0,42%</t>
        </is>
      </c>
      <c r="CR158" s="234" t="inlineStr">
        <is>
          <t>86</t>
        </is>
      </c>
      <c r="CS158" s="235" t="inlineStr">
        <is>
          <t>0,30%</t>
        </is>
      </c>
      <c r="CT158" s="236" t="inlineStr">
        <is>
          <t>79</t>
        </is>
      </c>
      <c r="CU158" s="237" t="inlineStr">
        <is>
          <t>0,37%</t>
        </is>
      </c>
      <c r="CV158" s="238" t="inlineStr">
        <is>
          <t>88</t>
        </is>
      </c>
      <c r="CW158" s="239" t="inlineStr">
        <is>
          <t>4,05x</t>
        </is>
      </c>
      <c r="CX158" s="240" t="inlineStr">
        <is>
          <t>76</t>
        </is>
      </c>
      <c r="CY158" s="241" t="inlineStr">
        <is>
          <t>0,07x</t>
        </is>
      </c>
      <c r="CZ158" s="242" t="inlineStr">
        <is>
          <t>1,78%</t>
        </is>
      </c>
      <c r="DA158" s="243" t="inlineStr">
        <is>
          <t>5,92x</t>
        </is>
      </c>
      <c r="DB158" s="244" t="inlineStr">
        <is>
          <t>82</t>
        </is>
      </c>
      <c r="DC158" s="245" t="inlineStr">
        <is>
          <t>2,18x</t>
        </is>
      </c>
      <c r="DD158" s="246" t="inlineStr">
        <is>
          <t>63</t>
        </is>
      </c>
      <c r="DE158" s="247" t="inlineStr">
        <is>
          <t>5,87x</t>
        </is>
      </c>
      <c r="DF158" s="248" t="inlineStr">
        <is>
          <t>78</t>
        </is>
      </c>
      <c r="DG158" s="249" t="inlineStr">
        <is>
          <t>5,97x</t>
        </is>
      </c>
      <c r="DH158" s="250" t="inlineStr">
        <is>
          <t>81</t>
        </is>
      </c>
      <c r="DI158" s="251" t="inlineStr">
        <is>
          <t>0,70x</t>
        </is>
      </c>
      <c r="DJ158" s="252" t="inlineStr">
        <is>
          <t>44</t>
        </is>
      </c>
      <c r="DK158" s="253" t="inlineStr">
        <is>
          <t>3,67x</t>
        </is>
      </c>
      <c r="DL158" s="254" t="inlineStr">
        <is>
          <t>73</t>
        </is>
      </c>
      <c r="DM158" s="255" t="inlineStr">
        <is>
          <t>3.858</t>
        </is>
      </c>
      <c r="DN158" s="256" t="inlineStr">
        <is>
          <t>-748</t>
        </is>
      </c>
      <c r="DO158" s="257" t="inlineStr">
        <is>
          <t>-16,24%</t>
        </is>
      </c>
      <c r="DP158" s="258" t="inlineStr">
        <is>
          <t>547</t>
        </is>
      </c>
      <c r="DQ158" s="259" t="inlineStr">
        <is>
          <t>6</t>
        </is>
      </c>
      <c r="DR158" s="260" t="inlineStr">
        <is>
          <t>1,11%</t>
        </is>
      </c>
      <c r="DS158" s="261" t="inlineStr">
        <is>
          <t>215</t>
        </is>
      </c>
      <c r="DT158" s="262" t="inlineStr">
        <is>
          <t>0</t>
        </is>
      </c>
      <c r="DU158" s="263" t="inlineStr">
        <is>
          <t>0,00%</t>
        </is>
      </c>
      <c r="DV158" s="264" t="inlineStr">
        <is>
          <t>1.255</t>
        </is>
      </c>
      <c r="DW158" s="265" t="inlineStr">
        <is>
          <t>5</t>
        </is>
      </c>
      <c r="DX158" s="266" t="inlineStr">
        <is>
          <t>0,40%</t>
        </is>
      </c>
      <c r="DY158" s="267" t="inlineStr">
        <is>
          <t>PitchBook Research</t>
        </is>
      </c>
      <c r="DZ158" s="786">
        <f>HYPERLINK("https://my.pitchbook.com?c=109979-11", "View company online")</f>
      </c>
    </row>
    <row r="159">
      <c r="A159" s="9" t="inlineStr">
        <is>
          <t>101207-26</t>
        </is>
      </c>
      <c r="B159" s="10" t="inlineStr">
        <is>
          <t>EatFirst UK</t>
        </is>
      </c>
      <c r="C159" s="11" t="inlineStr">
        <is>
          <t/>
        </is>
      </c>
      <c r="D159" s="12" t="inlineStr">
        <is>
          <t>EatFirst</t>
        </is>
      </c>
      <c r="E159" s="13" t="inlineStr">
        <is>
          <t>101207-26</t>
        </is>
      </c>
      <c r="F159" s="14" t="inlineStr">
        <is>
          <t>Provider of home delivery services designed to offer healthy, high-quality meals for lunch and dinner in United Kingdom. The company's home delivery services cover vegetarian chef-made meals through mobile application in London and Berlin, enabling users to order for lunch, dinner, meals, and cuisines.</t>
        </is>
      </c>
      <c r="G159" s="15" t="inlineStr">
        <is>
          <t>Consumer Products and Services (B2C)</t>
        </is>
      </c>
      <c r="H159" s="16" t="inlineStr">
        <is>
          <t>Consumer Non-Durables</t>
        </is>
      </c>
      <c r="I159" s="17" t="inlineStr">
        <is>
          <t>Food Products</t>
        </is>
      </c>
      <c r="J159" s="18" t="inlineStr">
        <is>
          <t>Food Products*; Internet Retail</t>
        </is>
      </c>
      <c r="K159" s="19" t="inlineStr">
        <is>
          <t>E-Commerce, Mobile</t>
        </is>
      </c>
      <c r="L159" s="20" t="inlineStr">
        <is>
          <t>Venture Capital-Backed</t>
        </is>
      </c>
      <c r="M159" s="21" t="n">
        <v>8.85</v>
      </c>
      <c r="N159" s="22" t="inlineStr">
        <is>
          <t>Generating Revenue</t>
        </is>
      </c>
      <c r="O159" s="23" t="inlineStr">
        <is>
          <t>Privately Held (backing)</t>
        </is>
      </c>
      <c r="P159" s="24" t="inlineStr">
        <is>
          <t>Venture Capital</t>
        </is>
      </c>
      <c r="Q159" s="25" t="inlineStr">
        <is>
          <t>www.eatfirst.com</t>
        </is>
      </c>
      <c r="R159" s="26" t="n">
        <v>14.0</v>
      </c>
      <c r="S159" s="27" t="inlineStr">
        <is>
          <t/>
        </is>
      </c>
      <c r="T159" s="28" t="inlineStr">
        <is>
          <t/>
        </is>
      </c>
      <c r="U159" s="29" t="n">
        <v>2014.0</v>
      </c>
      <c r="V159" s="30" t="inlineStr">
        <is>
          <t/>
        </is>
      </c>
      <c r="W159" s="31" t="inlineStr">
        <is>
          <t/>
        </is>
      </c>
      <c r="X159" s="32" t="inlineStr">
        <is>
          <t/>
        </is>
      </c>
      <c r="Y159" s="33" t="n">
        <v>0.4743</v>
      </c>
      <c r="Z159" s="34" t="n">
        <v>-0.07589</v>
      </c>
      <c r="AA159" s="35" t="n">
        <v>-2.36199</v>
      </c>
      <c r="AB159" s="36" t="inlineStr">
        <is>
          <t/>
        </is>
      </c>
      <c r="AC159" s="37" t="n">
        <v>-2.32405</v>
      </c>
      <c r="AD159" s="38" t="inlineStr">
        <is>
          <t>FY 2016</t>
        </is>
      </c>
      <c r="AE159" s="39" t="inlineStr">
        <is>
          <t>101433-52P</t>
        </is>
      </c>
      <c r="AF159" s="40" t="inlineStr">
        <is>
          <t>Humberto Pereira</t>
        </is>
      </c>
      <c r="AG159" s="41" t="inlineStr">
        <is>
          <t>Co-Founder &amp; Co-Chief Executive Officer</t>
        </is>
      </c>
      <c r="AH159" s="42" t="inlineStr">
        <is>
          <t>humberto@aircourts.com</t>
        </is>
      </c>
      <c r="AI159" s="43" t="inlineStr">
        <is>
          <t/>
        </is>
      </c>
      <c r="AJ159" s="44" t="inlineStr">
        <is>
          <t>London, United Kingdom</t>
        </is>
      </c>
      <c r="AK159" s="45" t="inlineStr">
        <is>
          <t>4th Floor Oxford House</t>
        </is>
      </c>
      <c r="AL159" s="46" t="inlineStr">
        <is>
          <t>76 Oxford Street</t>
        </is>
      </c>
      <c r="AM159" s="47" t="inlineStr">
        <is>
          <t>London</t>
        </is>
      </c>
      <c r="AN159" s="48" t="inlineStr">
        <is>
          <t>England</t>
        </is>
      </c>
      <c r="AO159" s="49" t="inlineStr">
        <is>
          <t>W1D 1BS</t>
        </is>
      </c>
      <c r="AP159" s="50" t="inlineStr">
        <is>
          <t>United Kingdom</t>
        </is>
      </c>
      <c r="AQ159" s="51" t="inlineStr">
        <is>
          <t>+44 (0)20 3308 9339</t>
        </is>
      </c>
      <c r="AR159" s="52" t="inlineStr">
        <is>
          <t>+44 (0)80 0802 1419</t>
        </is>
      </c>
      <c r="AS159" s="53" t="inlineStr">
        <is>
          <t>info@eatfirst.co.uk</t>
        </is>
      </c>
      <c r="AT159" s="54" t="inlineStr">
        <is>
          <t>Europe</t>
        </is>
      </c>
      <c r="AU159" s="55" t="inlineStr">
        <is>
          <t>Western Europe</t>
        </is>
      </c>
      <c r="AV159" s="56" t="inlineStr">
        <is>
          <t>The company raised $8 million of Series A venture funding from Holtzbrinck Ventures, Tengelmann Ventures and other undisclosed investors on November 17, 2015. The company will use funds to build on its growth and expand internationally.</t>
        </is>
      </c>
      <c r="AW159" s="57" t="inlineStr">
        <is>
          <t>Holtzbrinck Ventures, Rocket Internet, Tengelmann Ventures</t>
        </is>
      </c>
      <c r="AX159" s="58" t="n">
        <v>3.0</v>
      </c>
      <c r="AY159" s="59" t="inlineStr">
        <is>
          <t/>
        </is>
      </c>
      <c r="AZ159" s="60" t="inlineStr">
        <is>
          <t/>
        </is>
      </c>
      <c r="BA159" s="61" t="inlineStr">
        <is>
          <t/>
        </is>
      </c>
      <c r="BB159" s="62" t="inlineStr">
        <is>
          <t>Holtzbrinck Ventures (www.holtzbrinck-ventures.com), Rocket Internet (www.rocket-internet.com), Tengelmann Ventures (www.tev.de)</t>
        </is>
      </c>
      <c r="BC159" s="63" t="inlineStr">
        <is>
          <t/>
        </is>
      </c>
      <c r="BD159" s="64" t="inlineStr">
        <is>
          <t/>
        </is>
      </c>
      <c r="BE159" s="65" t="inlineStr">
        <is>
          <t>Mantax Consulting (Auditor)</t>
        </is>
      </c>
      <c r="BF159" s="66" t="inlineStr">
        <is>
          <t/>
        </is>
      </c>
      <c r="BG159" s="67" t="n">
        <v>41879.0</v>
      </c>
      <c r="BH159" s="68" t="inlineStr">
        <is>
          <t/>
        </is>
      </c>
      <c r="BI159" s="69" t="inlineStr">
        <is>
          <t/>
        </is>
      </c>
      <c r="BJ159" s="70" t="inlineStr">
        <is>
          <t/>
        </is>
      </c>
      <c r="BK159" s="71" t="inlineStr">
        <is>
          <t/>
        </is>
      </c>
      <c r="BL159" s="72" t="inlineStr">
        <is>
          <t>Accelerator/Incubator</t>
        </is>
      </c>
      <c r="BM159" s="73" t="inlineStr">
        <is>
          <t/>
        </is>
      </c>
      <c r="BN159" s="74" t="inlineStr">
        <is>
          <t/>
        </is>
      </c>
      <c r="BO159" s="75" t="inlineStr">
        <is>
          <t>Venture Capital</t>
        </is>
      </c>
      <c r="BP159" s="76" t="inlineStr">
        <is>
          <t/>
        </is>
      </c>
      <c r="BQ159" s="77" t="inlineStr">
        <is>
          <t/>
        </is>
      </c>
      <c r="BR159" s="78" t="inlineStr">
        <is>
          <t/>
        </is>
      </c>
      <c r="BS159" s="79" t="inlineStr">
        <is>
          <t>Completed</t>
        </is>
      </c>
      <c r="BT159" s="80" t="n">
        <v>42325.0</v>
      </c>
      <c r="BU159" s="81" t="n">
        <v>7.44</v>
      </c>
      <c r="BV159" s="82" t="inlineStr">
        <is>
          <t>Actual</t>
        </is>
      </c>
      <c r="BW159" s="83" t="inlineStr">
        <is>
          <t/>
        </is>
      </c>
      <c r="BX159" s="84" t="inlineStr">
        <is>
          <t/>
        </is>
      </c>
      <c r="BY159" s="85" t="inlineStr">
        <is>
          <t>Early Stage VC</t>
        </is>
      </c>
      <c r="BZ159" s="86" t="inlineStr">
        <is>
          <t>Series A</t>
        </is>
      </c>
      <c r="CA159" s="87" t="inlineStr">
        <is>
          <t/>
        </is>
      </c>
      <c r="CB159" s="88" t="inlineStr">
        <is>
          <t>Venture Capital</t>
        </is>
      </c>
      <c r="CC159" s="89" t="inlineStr">
        <is>
          <t/>
        </is>
      </c>
      <c r="CD159" s="90" t="inlineStr">
        <is>
          <t/>
        </is>
      </c>
      <c r="CE159" s="91" t="inlineStr">
        <is>
          <t/>
        </is>
      </c>
      <c r="CF159" s="92" t="inlineStr">
        <is>
          <t>Completed</t>
        </is>
      </c>
      <c r="CG159" s="93" t="inlineStr">
        <is>
          <t>-0,95%</t>
        </is>
      </c>
      <c r="CH159" s="94" t="inlineStr">
        <is>
          <t>6</t>
        </is>
      </c>
      <c r="CI159" s="95" t="inlineStr">
        <is>
          <t>0,00%</t>
        </is>
      </c>
      <c r="CJ159" s="96" t="inlineStr">
        <is>
          <t>-0,42%</t>
        </is>
      </c>
      <c r="CK159" s="97" t="inlineStr">
        <is>
          <t>-2,19%</t>
        </is>
      </c>
      <c r="CL159" s="98" t="inlineStr">
        <is>
          <t>5</t>
        </is>
      </c>
      <c r="CM159" s="99" t="inlineStr">
        <is>
          <t>0,28%</t>
        </is>
      </c>
      <c r="CN159" s="100" t="inlineStr">
        <is>
          <t>80</t>
        </is>
      </c>
      <c r="CO159" s="101" t="inlineStr">
        <is>
          <t>-2,19%</t>
        </is>
      </c>
      <c r="CP159" s="102" t="inlineStr">
        <is>
          <t>15</t>
        </is>
      </c>
      <c r="CQ159" s="103" t="inlineStr">
        <is>
          <t/>
        </is>
      </c>
      <c r="CR159" s="104" t="inlineStr">
        <is>
          <t/>
        </is>
      </c>
      <c r="CS159" s="105" t="inlineStr">
        <is>
          <t>0,56%</t>
        </is>
      </c>
      <c r="CT159" s="106" t="inlineStr">
        <is>
          <t>89</t>
        </is>
      </c>
      <c r="CU159" s="107" t="inlineStr">
        <is>
          <t>0,00%</t>
        </is>
      </c>
      <c r="CV159" s="108" t="inlineStr">
        <is>
          <t>20</t>
        </is>
      </c>
      <c r="CW159" s="109" t="inlineStr">
        <is>
          <t>5,06x</t>
        </is>
      </c>
      <c r="CX159" s="110" t="inlineStr">
        <is>
          <t>79</t>
        </is>
      </c>
      <c r="CY159" s="111" t="inlineStr">
        <is>
          <t>0,07x</t>
        </is>
      </c>
      <c r="CZ159" s="112" t="inlineStr">
        <is>
          <t>1,31%</t>
        </is>
      </c>
      <c r="DA159" s="113" t="inlineStr">
        <is>
          <t>5,38x</t>
        </is>
      </c>
      <c r="DB159" s="114" t="inlineStr">
        <is>
          <t>81</t>
        </is>
      </c>
      <c r="DC159" s="115" t="inlineStr">
        <is>
          <t>4,74x</t>
        </is>
      </c>
      <c r="DD159" s="116" t="inlineStr">
        <is>
          <t>75</t>
        </is>
      </c>
      <c r="DE159" s="117" t="inlineStr">
        <is>
          <t>5,38x</t>
        </is>
      </c>
      <c r="DF159" s="118" t="inlineStr">
        <is>
          <t>77</t>
        </is>
      </c>
      <c r="DG159" s="119" t="inlineStr">
        <is>
          <t/>
        </is>
      </c>
      <c r="DH159" s="120" t="inlineStr">
        <is>
          <t/>
        </is>
      </c>
      <c r="DI159" s="121" t="inlineStr">
        <is>
          <t>9,44x</t>
        </is>
      </c>
      <c r="DJ159" s="122" t="inlineStr">
        <is>
          <t>82</t>
        </is>
      </c>
      <c r="DK159" s="123" t="inlineStr">
        <is>
          <t>0,03x</t>
        </is>
      </c>
      <c r="DL159" s="124" t="inlineStr">
        <is>
          <t>7</t>
        </is>
      </c>
      <c r="DM159" s="125" t="inlineStr">
        <is>
          <t>3.487</t>
        </is>
      </c>
      <c r="DN159" s="126" t="inlineStr">
        <is>
          <t>-539</t>
        </is>
      </c>
      <c r="DO159" s="127" t="inlineStr">
        <is>
          <t>-13,39%</t>
        </is>
      </c>
      <c r="DP159" s="128" t="inlineStr">
        <is>
          <t>7.526</t>
        </is>
      </c>
      <c r="DQ159" s="129" t="inlineStr">
        <is>
          <t>49</t>
        </is>
      </c>
      <c r="DR159" s="130" t="inlineStr">
        <is>
          <t>0,66%</t>
        </is>
      </c>
      <c r="DS159" s="131" t="inlineStr">
        <is>
          <t/>
        </is>
      </c>
      <c r="DT159" s="132" t="inlineStr">
        <is>
          <t/>
        </is>
      </c>
      <c r="DU159" s="133" t="inlineStr">
        <is>
          <t/>
        </is>
      </c>
      <c r="DV159" s="134" t="inlineStr">
        <is>
          <t>9</t>
        </is>
      </c>
      <c r="DW159" s="135" t="inlineStr">
        <is>
          <t>0</t>
        </is>
      </c>
      <c r="DX159" s="136" t="inlineStr">
        <is>
          <t>0,00%</t>
        </is>
      </c>
      <c r="DY159" s="137" t="inlineStr">
        <is>
          <t>PitchBook Research</t>
        </is>
      </c>
      <c r="DZ159" s="785">
        <f>HYPERLINK("https://my.pitchbook.com?c=101207-26", "View company online")</f>
      </c>
    </row>
    <row r="160">
      <c r="A160" s="139" t="inlineStr">
        <is>
          <t>168912-64</t>
        </is>
      </c>
      <c r="B160" s="140" t="inlineStr">
        <is>
          <t>Eaton Gate Gaming</t>
        </is>
      </c>
      <c r="C160" s="141" t="inlineStr">
        <is>
          <t/>
        </is>
      </c>
      <c r="D160" s="142" t="inlineStr">
        <is>
          <t/>
        </is>
      </c>
      <c r="E160" s="143" t="inlineStr">
        <is>
          <t>168912-64</t>
        </is>
      </c>
      <c r="F160" s="144" t="inlineStr">
        <is>
          <t>Operator of an online gaming platform in United Kingdom. The company is engages into online sports betting which can also be used in the smartphone with the help of an application which can predict customer behavior.</t>
        </is>
      </c>
      <c r="G160" s="145" t="inlineStr">
        <is>
          <t>Information Technology</t>
        </is>
      </c>
      <c r="H160" s="146" t="inlineStr">
        <is>
          <t>Software</t>
        </is>
      </c>
      <c r="I160" s="147" t="inlineStr">
        <is>
          <t>Application Software</t>
        </is>
      </c>
      <c r="J160" s="148" t="inlineStr">
        <is>
          <t>Application Software*; Entertainment Software; Social/Platform Software</t>
        </is>
      </c>
      <c r="K160" s="149" t="inlineStr">
        <is>
          <t/>
        </is>
      </c>
      <c r="L160" s="150" t="inlineStr">
        <is>
          <t>Venture Capital-Backed</t>
        </is>
      </c>
      <c r="M160" s="151" t="n">
        <v>6.01</v>
      </c>
      <c r="N160" s="152" t="inlineStr">
        <is>
          <t>Product Development</t>
        </is>
      </c>
      <c r="O160" s="153" t="inlineStr">
        <is>
          <t>Privately Held (backing)</t>
        </is>
      </c>
      <c r="P160" s="154" t="inlineStr">
        <is>
          <t>Venture Capital</t>
        </is>
      </c>
      <c r="Q160" s="155" t="inlineStr">
        <is>
          <t>www.eatongategaming.com</t>
        </is>
      </c>
      <c r="R160" s="156" t="inlineStr">
        <is>
          <t/>
        </is>
      </c>
      <c r="S160" s="157" t="inlineStr">
        <is>
          <t/>
        </is>
      </c>
      <c r="T160" s="158" t="inlineStr">
        <is>
          <t/>
        </is>
      </c>
      <c r="U160" s="159" t="n">
        <v>2015.0</v>
      </c>
      <c r="V160" s="160" t="inlineStr">
        <is>
          <t/>
        </is>
      </c>
      <c r="W160" s="161" t="inlineStr">
        <is>
          <t/>
        </is>
      </c>
      <c r="X160" s="162" t="inlineStr">
        <is>
          <t/>
        </is>
      </c>
      <c r="Y160" s="163" t="inlineStr">
        <is>
          <t/>
        </is>
      </c>
      <c r="Z160" s="164" t="inlineStr">
        <is>
          <t/>
        </is>
      </c>
      <c r="AA160" s="165" t="inlineStr">
        <is>
          <t/>
        </is>
      </c>
      <c r="AB160" s="166" t="inlineStr">
        <is>
          <t/>
        </is>
      </c>
      <c r="AC160" s="167" t="inlineStr">
        <is>
          <t/>
        </is>
      </c>
      <c r="AD160" s="168" t="inlineStr">
        <is>
          <t/>
        </is>
      </c>
      <c r="AE160" s="169" t="inlineStr">
        <is>
          <t>152223-85P</t>
        </is>
      </c>
      <c r="AF160" s="170" t="inlineStr">
        <is>
          <t>Karl-Gustav Engström</t>
        </is>
      </c>
      <c r="AG160" s="171" t="inlineStr">
        <is>
          <t>Co-Founder, Board Member &amp; Managing Director</t>
        </is>
      </c>
      <c r="AH160" s="172" t="inlineStr">
        <is>
          <t>karl.engstrom@eatongategaming.com</t>
        </is>
      </c>
      <c r="AI160" s="173" t="inlineStr">
        <is>
          <t/>
        </is>
      </c>
      <c r="AJ160" s="174" t="inlineStr">
        <is>
          <t>London, United Kingdom</t>
        </is>
      </c>
      <c r="AK160" s="175" t="inlineStr">
        <is>
          <t>Michelin House</t>
        </is>
      </c>
      <c r="AL160" s="176" t="inlineStr">
        <is>
          <t>81 Fulham Road, Chelsea</t>
        </is>
      </c>
      <c r="AM160" s="177" t="inlineStr">
        <is>
          <t>London</t>
        </is>
      </c>
      <c r="AN160" s="178" t="inlineStr">
        <is>
          <t>England</t>
        </is>
      </c>
      <c r="AO160" s="179" t="inlineStr">
        <is>
          <t>SW3 6RD</t>
        </is>
      </c>
      <c r="AP160" s="180" t="inlineStr">
        <is>
          <t>United Kingdom</t>
        </is>
      </c>
      <c r="AQ160" s="181" t="inlineStr">
        <is>
          <t/>
        </is>
      </c>
      <c r="AR160" s="182" t="inlineStr">
        <is>
          <t/>
        </is>
      </c>
      <c r="AS160" s="183" t="inlineStr">
        <is>
          <t/>
        </is>
      </c>
      <c r="AT160" s="184" t="inlineStr">
        <is>
          <t>Europe</t>
        </is>
      </c>
      <c r="AU160" s="185" t="inlineStr">
        <is>
          <t>Western Europe</t>
        </is>
      </c>
      <c r="AV160" s="186" t="inlineStr">
        <is>
          <t>The company raised GBP 4.36 million in venture funding from Zenith Venture Capital on an June 30, 2016, putting the pre-money valuation at GBP 7 million.</t>
        </is>
      </c>
      <c r="AW160" s="187" t="inlineStr">
        <is>
          <t>Zenith Venture Capital</t>
        </is>
      </c>
      <c r="AX160" s="188" t="n">
        <v>1.0</v>
      </c>
      <c r="AY160" s="189" t="inlineStr">
        <is>
          <t/>
        </is>
      </c>
      <c r="AZ160" s="190" t="inlineStr">
        <is>
          <t/>
        </is>
      </c>
      <c r="BA160" s="191" t="inlineStr">
        <is>
          <t/>
        </is>
      </c>
      <c r="BB160" s="192" t="inlineStr">
        <is>
          <t>Zenith Venture Capital (www.zenith.vc)</t>
        </is>
      </c>
      <c r="BC160" s="193" t="inlineStr">
        <is>
          <t/>
        </is>
      </c>
      <c r="BD160" s="194" t="inlineStr">
        <is>
          <t/>
        </is>
      </c>
      <c r="BE160" s="195" t="inlineStr">
        <is>
          <t/>
        </is>
      </c>
      <c r="BF160" s="196" t="inlineStr">
        <is>
          <t/>
        </is>
      </c>
      <c r="BG160" s="197" t="inlineStr">
        <is>
          <t/>
        </is>
      </c>
      <c r="BH160" s="198" t="n">
        <v>0.44</v>
      </c>
      <c r="BI160" s="199" t="inlineStr">
        <is>
          <t>Actual</t>
        </is>
      </c>
      <c r="BJ160" s="200" t="n">
        <v>0.64</v>
      </c>
      <c r="BK160" s="201" t="inlineStr">
        <is>
          <t>Actual</t>
        </is>
      </c>
      <c r="BL160" s="202" t="inlineStr">
        <is>
          <t>Angel (individual)</t>
        </is>
      </c>
      <c r="BM160" s="203" t="inlineStr">
        <is>
          <t>Angel</t>
        </is>
      </c>
      <c r="BN160" s="204" t="inlineStr">
        <is>
          <t/>
        </is>
      </c>
      <c r="BO160" s="205" t="inlineStr">
        <is>
          <t>Individual</t>
        </is>
      </c>
      <c r="BP160" s="206" t="inlineStr">
        <is>
          <t/>
        </is>
      </c>
      <c r="BQ160" s="207" t="inlineStr">
        <is>
          <t/>
        </is>
      </c>
      <c r="BR160" s="208" t="inlineStr">
        <is>
          <t/>
        </is>
      </c>
      <c r="BS160" s="209" t="inlineStr">
        <is>
          <t>Completed</t>
        </is>
      </c>
      <c r="BT160" s="210" t="n">
        <v>42551.0</v>
      </c>
      <c r="BU160" s="211" t="n">
        <v>5.52</v>
      </c>
      <c r="BV160" s="212" t="inlineStr">
        <is>
          <t>Actual</t>
        </is>
      </c>
      <c r="BW160" s="213" t="n">
        <v>14.37</v>
      </c>
      <c r="BX160" s="214" t="inlineStr">
        <is>
          <t>Actual</t>
        </is>
      </c>
      <c r="BY160" s="215" t="inlineStr">
        <is>
          <t>Early Stage VC</t>
        </is>
      </c>
      <c r="BZ160" s="216" t="inlineStr">
        <is>
          <t/>
        </is>
      </c>
      <c r="CA160" s="217" t="inlineStr">
        <is>
          <t/>
        </is>
      </c>
      <c r="CB160" s="218" t="inlineStr">
        <is>
          <t>Venture Capital</t>
        </is>
      </c>
      <c r="CC160" s="219" t="inlineStr">
        <is>
          <t/>
        </is>
      </c>
      <c r="CD160" s="220" t="inlineStr">
        <is>
          <t/>
        </is>
      </c>
      <c r="CE160" s="221" t="inlineStr">
        <is>
          <t/>
        </is>
      </c>
      <c r="CF160" s="222" t="inlineStr">
        <is>
          <t>Completed</t>
        </is>
      </c>
      <c r="CG160" s="223" t="inlineStr">
        <is>
          <t>0,00%</t>
        </is>
      </c>
      <c r="CH160" s="224" t="inlineStr">
        <is>
          <t>23</t>
        </is>
      </c>
      <c r="CI160" s="225" t="inlineStr">
        <is>
          <t>0,00%</t>
        </is>
      </c>
      <c r="CJ160" s="226" t="inlineStr">
        <is>
          <t>0,00%</t>
        </is>
      </c>
      <c r="CK160" s="227" t="inlineStr">
        <is>
          <t>0,00%</t>
        </is>
      </c>
      <c r="CL160" s="228" t="inlineStr">
        <is>
          <t>18</t>
        </is>
      </c>
      <c r="CM160" s="229" t="inlineStr">
        <is>
          <t/>
        </is>
      </c>
      <c r="CN160" s="230" t="inlineStr">
        <is>
          <t/>
        </is>
      </c>
      <c r="CO160" s="231" t="inlineStr">
        <is>
          <t>0,00%</t>
        </is>
      </c>
      <c r="CP160" s="232" t="inlineStr">
        <is>
          <t>26</t>
        </is>
      </c>
      <c r="CQ160" s="233" t="inlineStr">
        <is>
          <t/>
        </is>
      </c>
      <c r="CR160" s="234" t="inlineStr">
        <is>
          <t/>
        </is>
      </c>
      <c r="CS160" s="235" t="inlineStr">
        <is>
          <t/>
        </is>
      </c>
      <c r="CT160" s="236" t="inlineStr">
        <is>
          <t/>
        </is>
      </c>
      <c r="CU160" s="237" t="inlineStr">
        <is>
          <t/>
        </is>
      </c>
      <c r="CV160" s="238" t="inlineStr">
        <is>
          <t/>
        </is>
      </c>
      <c r="CW160" s="239" t="inlineStr">
        <is>
          <t>0,51x</t>
        </is>
      </c>
      <c r="CX160" s="240" t="inlineStr">
        <is>
          <t>34</t>
        </is>
      </c>
      <c r="CY160" s="241" t="inlineStr">
        <is>
          <t>0,00x</t>
        </is>
      </c>
      <c r="CZ160" s="242" t="inlineStr">
        <is>
          <t>0,00%</t>
        </is>
      </c>
      <c r="DA160" s="243" t="inlineStr">
        <is>
          <t>0,51x</t>
        </is>
      </c>
      <c r="DB160" s="244" t="inlineStr">
        <is>
          <t>37</t>
        </is>
      </c>
      <c r="DC160" s="245" t="inlineStr">
        <is>
          <t/>
        </is>
      </c>
      <c r="DD160" s="246" t="inlineStr">
        <is>
          <t/>
        </is>
      </c>
      <c r="DE160" s="247" t="inlineStr">
        <is>
          <t>0,51x</t>
        </is>
      </c>
      <c r="DF160" s="248" t="inlineStr">
        <is>
          <t>36</t>
        </is>
      </c>
      <c r="DG160" s="249" t="inlineStr">
        <is>
          <t/>
        </is>
      </c>
      <c r="DH160" s="250" t="inlineStr">
        <is>
          <t/>
        </is>
      </c>
      <c r="DI160" s="251" t="inlineStr">
        <is>
          <t/>
        </is>
      </c>
      <c r="DJ160" s="252" t="inlineStr">
        <is>
          <t/>
        </is>
      </c>
      <c r="DK160" s="253" t="inlineStr">
        <is>
          <t/>
        </is>
      </c>
      <c r="DL160" s="254" t="inlineStr">
        <is>
          <t/>
        </is>
      </c>
      <c r="DM160" s="255" t="inlineStr">
        <is>
          <t>293</t>
        </is>
      </c>
      <c r="DN160" s="256" t="inlineStr">
        <is>
          <t>61</t>
        </is>
      </c>
      <c r="DO160" s="257" t="inlineStr">
        <is>
          <t>26,29%</t>
        </is>
      </c>
      <c r="DP160" s="258" t="inlineStr">
        <is>
          <t/>
        </is>
      </c>
      <c r="DQ160" s="259" t="inlineStr">
        <is>
          <t/>
        </is>
      </c>
      <c r="DR160" s="260" t="inlineStr">
        <is>
          <t/>
        </is>
      </c>
      <c r="DS160" s="261" t="inlineStr">
        <is>
          <t/>
        </is>
      </c>
      <c r="DT160" s="262" t="inlineStr">
        <is>
          <t/>
        </is>
      </c>
      <c r="DU160" s="263" t="inlineStr">
        <is>
          <t/>
        </is>
      </c>
      <c r="DV160" s="264" t="inlineStr">
        <is>
          <t/>
        </is>
      </c>
      <c r="DW160" s="265" t="inlineStr">
        <is>
          <t/>
        </is>
      </c>
      <c r="DX160" s="266" t="inlineStr">
        <is>
          <t/>
        </is>
      </c>
      <c r="DY160" s="267" t="inlineStr">
        <is>
          <t>PitchBook Research</t>
        </is>
      </c>
      <c r="DZ160" s="786">
        <f>HYPERLINK("https://my.pitchbook.com?c=168912-64", "View company online")</f>
      </c>
    </row>
    <row r="161">
      <c r="A161" s="9" t="inlineStr">
        <is>
          <t>120039-67</t>
        </is>
      </c>
      <c r="B161" s="10" t="inlineStr">
        <is>
          <t>embonds</t>
        </is>
      </c>
      <c r="C161" s="11" t="inlineStr">
        <is>
          <t/>
        </is>
      </c>
      <c r="D161" s="12" t="inlineStr">
        <is>
          <t/>
        </is>
      </c>
      <c r="E161" s="13" t="inlineStr">
        <is>
          <t>120039-67</t>
        </is>
      </c>
      <c r="F161" s="14" t="inlineStr">
        <is>
          <t>Operator of an online trading platform for bonds. The company provides electronic trading platform for institutional investors and banks by bringing institutional investors and local banks together as well as allowing institutional investors to trade with each other.</t>
        </is>
      </c>
      <c r="G161" s="15" t="inlineStr">
        <is>
          <t>Information Technology</t>
        </is>
      </c>
      <c r="H161" s="16" t="inlineStr">
        <is>
          <t>Software</t>
        </is>
      </c>
      <c r="I161" s="17" t="inlineStr">
        <is>
          <t>Social/Platform Software</t>
        </is>
      </c>
      <c r="J161" s="18" t="inlineStr">
        <is>
          <t>Social/Platform Software*; Specialized Finance</t>
        </is>
      </c>
      <c r="K161" s="19" t="inlineStr">
        <is>
          <t>FinTech</t>
        </is>
      </c>
      <c r="L161" s="20" t="inlineStr">
        <is>
          <t>Venture Capital-Backed</t>
        </is>
      </c>
      <c r="M161" s="21" t="n">
        <v>7.4</v>
      </c>
      <c r="N161" s="22" t="inlineStr">
        <is>
          <t>Startup</t>
        </is>
      </c>
      <c r="O161" s="23" t="inlineStr">
        <is>
          <t>Privately Held (backing)</t>
        </is>
      </c>
      <c r="P161" s="24" t="inlineStr">
        <is>
          <t>Venture Capital</t>
        </is>
      </c>
      <c r="Q161" s="25" t="inlineStr">
        <is>
          <t>www.embonds.com</t>
        </is>
      </c>
      <c r="R161" s="26" t="n">
        <v>6.0</v>
      </c>
      <c r="S161" s="27" t="inlineStr">
        <is>
          <t/>
        </is>
      </c>
      <c r="T161" s="28" t="inlineStr">
        <is>
          <t/>
        </is>
      </c>
      <c r="U161" s="29" t="n">
        <v>2013.0</v>
      </c>
      <c r="V161" s="30" t="inlineStr">
        <is>
          <t/>
        </is>
      </c>
      <c r="W161" s="31" t="inlineStr">
        <is>
          <t/>
        </is>
      </c>
      <c r="X161" s="32" t="inlineStr">
        <is>
          <t/>
        </is>
      </c>
      <c r="Y161" s="33" t="inlineStr">
        <is>
          <t/>
        </is>
      </c>
      <c r="Z161" s="34" t="inlineStr">
        <is>
          <t/>
        </is>
      </c>
      <c r="AA161" s="35" t="n">
        <v>-0.27305</v>
      </c>
      <c r="AB161" s="36" t="inlineStr">
        <is>
          <t/>
        </is>
      </c>
      <c r="AC161" s="37" t="n">
        <v>-0.33471</v>
      </c>
      <c r="AD161" s="38" t="inlineStr">
        <is>
          <t>FY 2015</t>
        </is>
      </c>
      <c r="AE161" s="39" t="inlineStr">
        <is>
          <t>107955-55P</t>
        </is>
      </c>
      <c r="AF161" s="40" t="inlineStr">
        <is>
          <t>Mehmet Artun</t>
        </is>
      </c>
      <c r="AG161" s="41" t="inlineStr">
        <is>
          <t>Co-Founder, Board Member and Chief Executive Officer</t>
        </is>
      </c>
      <c r="AH161" s="42" t="inlineStr">
        <is>
          <t>mehmet.artun@embonds.com</t>
        </is>
      </c>
      <c r="AI161" s="43" t="inlineStr">
        <is>
          <t>+44 (0)20 3819 0215</t>
        </is>
      </c>
      <c r="AJ161" s="44" t="inlineStr">
        <is>
          <t>London, United Kingdom</t>
        </is>
      </c>
      <c r="AK161" s="45" t="inlineStr">
        <is>
          <t>Level 39 One Canada Square</t>
        </is>
      </c>
      <c r="AL161" s="46" t="inlineStr">
        <is>
          <t/>
        </is>
      </c>
      <c r="AM161" s="47" t="inlineStr">
        <is>
          <t>London</t>
        </is>
      </c>
      <c r="AN161" s="48" t="inlineStr">
        <is>
          <t>England</t>
        </is>
      </c>
      <c r="AO161" s="49" t="inlineStr">
        <is>
          <t>E14 5AB</t>
        </is>
      </c>
      <c r="AP161" s="50" t="inlineStr">
        <is>
          <t>United Kingdom</t>
        </is>
      </c>
      <c r="AQ161" s="51" t="inlineStr">
        <is>
          <t>+44 (0)20 3819 0215</t>
        </is>
      </c>
      <c r="AR161" s="52" t="inlineStr">
        <is>
          <t/>
        </is>
      </c>
      <c r="AS161" s="53" t="inlineStr">
        <is>
          <t>info@embonds.com</t>
        </is>
      </c>
      <c r="AT161" s="54" t="inlineStr">
        <is>
          <t>Europe</t>
        </is>
      </c>
      <c r="AU161" s="55" t="inlineStr">
        <is>
          <t>Western Europe</t>
        </is>
      </c>
      <c r="AV161" s="56" t="inlineStr">
        <is>
          <t>The company raised $8.3 million of venture funding from International Finance Corporation and Earlybird Venture Capital on June 17, 2015. The funding will be used to support company's expansion across the emerging markets universe.</t>
        </is>
      </c>
      <c r="AW161" s="57" t="inlineStr">
        <is>
          <t>Earlybird Venture Capital, International Finance Corporation, Level39</t>
        </is>
      </c>
      <c r="AX161" s="58" t="n">
        <v>3.0</v>
      </c>
      <c r="AY161" s="59" t="inlineStr">
        <is>
          <t/>
        </is>
      </c>
      <c r="AZ161" s="60" t="inlineStr">
        <is>
          <t/>
        </is>
      </c>
      <c r="BA161" s="61" t="inlineStr">
        <is>
          <t/>
        </is>
      </c>
      <c r="BB161" s="62" t="inlineStr">
        <is>
          <t>Earlybird Venture Capital (www.earlybird.com), International Finance Corporation (www.ifc.org), Level39 (www.level39.co)</t>
        </is>
      </c>
      <c r="BC161" s="63" t="inlineStr">
        <is>
          <t/>
        </is>
      </c>
      <c r="BD161" s="64" t="inlineStr">
        <is>
          <t/>
        </is>
      </c>
      <c r="BE161" s="65" t="inlineStr">
        <is>
          <t/>
        </is>
      </c>
      <c r="BF161" s="66" t="inlineStr">
        <is>
          <t/>
        </is>
      </c>
      <c r="BG161" s="67" t="inlineStr">
        <is>
          <t/>
        </is>
      </c>
      <c r="BH161" s="68" t="inlineStr">
        <is>
          <t/>
        </is>
      </c>
      <c r="BI161" s="69" t="inlineStr">
        <is>
          <t/>
        </is>
      </c>
      <c r="BJ161" s="70" t="inlineStr">
        <is>
          <t/>
        </is>
      </c>
      <c r="BK161" s="71" t="inlineStr">
        <is>
          <t/>
        </is>
      </c>
      <c r="BL161" s="72" t="inlineStr">
        <is>
          <t>Accelerator/Incubator</t>
        </is>
      </c>
      <c r="BM161" s="73" t="inlineStr">
        <is>
          <t/>
        </is>
      </c>
      <c r="BN161" s="74" t="inlineStr">
        <is>
          <t/>
        </is>
      </c>
      <c r="BO161" s="75" t="inlineStr">
        <is>
          <t>Other</t>
        </is>
      </c>
      <c r="BP161" s="76" t="inlineStr">
        <is>
          <t/>
        </is>
      </c>
      <c r="BQ161" s="77" t="inlineStr">
        <is>
          <t/>
        </is>
      </c>
      <c r="BR161" s="78" t="inlineStr">
        <is>
          <t/>
        </is>
      </c>
      <c r="BS161" s="79" t="inlineStr">
        <is>
          <t>Completed</t>
        </is>
      </c>
      <c r="BT161" s="80" t="n">
        <v>42172.0</v>
      </c>
      <c r="BU161" s="81" t="n">
        <v>7.4</v>
      </c>
      <c r="BV161" s="82" t="inlineStr">
        <is>
          <t>Actual</t>
        </is>
      </c>
      <c r="BW161" s="83" t="inlineStr">
        <is>
          <t/>
        </is>
      </c>
      <c r="BX161" s="84" t="inlineStr">
        <is>
          <t/>
        </is>
      </c>
      <c r="BY161" s="85" t="inlineStr">
        <is>
          <t>Early Stage VC</t>
        </is>
      </c>
      <c r="BZ161" s="86" t="inlineStr">
        <is>
          <t/>
        </is>
      </c>
      <c r="CA161" s="87" t="inlineStr">
        <is>
          <t/>
        </is>
      </c>
      <c r="CB161" s="88" t="inlineStr">
        <is>
          <t>Venture Capital</t>
        </is>
      </c>
      <c r="CC161" s="89" t="inlineStr">
        <is>
          <t/>
        </is>
      </c>
      <c r="CD161" s="90" t="inlineStr">
        <is>
          <t/>
        </is>
      </c>
      <c r="CE161" s="91" t="inlineStr">
        <is>
          <t/>
        </is>
      </c>
      <c r="CF161" s="92" t="inlineStr">
        <is>
          <t>Completed</t>
        </is>
      </c>
      <c r="CG161" s="93" t="inlineStr">
        <is>
          <t>0,00%</t>
        </is>
      </c>
      <c r="CH161" s="94" t="inlineStr">
        <is>
          <t>23</t>
        </is>
      </c>
      <c r="CI161" s="95" t="inlineStr">
        <is>
          <t>0,00%</t>
        </is>
      </c>
      <c r="CJ161" s="96" t="inlineStr">
        <is>
          <t>0,00%</t>
        </is>
      </c>
      <c r="CK161" s="97" t="inlineStr">
        <is>
          <t>0,00%</t>
        </is>
      </c>
      <c r="CL161" s="98" t="inlineStr">
        <is>
          <t>18</t>
        </is>
      </c>
      <c r="CM161" s="99" t="inlineStr">
        <is>
          <t>0,00%</t>
        </is>
      </c>
      <c r="CN161" s="100" t="inlineStr">
        <is>
          <t>19</t>
        </is>
      </c>
      <c r="CO161" s="101" t="inlineStr">
        <is>
          <t>0,00%</t>
        </is>
      </c>
      <c r="CP161" s="102" t="inlineStr">
        <is>
          <t>26</t>
        </is>
      </c>
      <c r="CQ161" s="103" t="inlineStr">
        <is>
          <t>0,00%</t>
        </is>
      </c>
      <c r="CR161" s="104" t="inlineStr">
        <is>
          <t>13</t>
        </is>
      </c>
      <c r="CS161" s="105" t="inlineStr">
        <is>
          <t>0,00%</t>
        </is>
      </c>
      <c r="CT161" s="106" t="inlineStr">
        <is>
          <t>18</t>
        </is>
      </c>
      <c r="CU161" s="107" t="inlineStr">
        <is>
          <t>0,00%</t>
        </is>
      </c>
      <c r="CV161" s="108" t="inlineStr">
        <is>
          <t>20</t>
        </is>
      </c>
      <c r="CW161" s="109" t="inlineStr">
        <is>
          <t>0,22x</t>
        </is>
      </c>
      <c r="CX161" s="110" t="inlineStr">
        <is>
          <t>18</t>
        </is>
      </c>
      <c r="CY161" s="111" t="inlineStr">
        <is>
          <t>0,01x</t>
        </is>
      </c>
      <c r="CZ161" s="112" t="inlineStr">
        <is>
          <t>2,35%</t>
        </is>
      </c>
      <c r="DA161" s="113" t="inlineStr">
        <is>
          <t>0,38x</t>
        </is>
      </c>
      <c r="DB161" s="114" t="inlineStr">
        <is>
          <t>31</t>
        </is>
      </c>
      <c r="DC161" s="115" t="inlineStr">
        <is>
          <t>0,07x</t>
        </is>
      </c>
      <c r="DD161" s="116" t="inlineStr">
        <is>
          <t>11</t>
        </is>
      </c>
      <c r="DE161" s="117" t="inlineStr">
        <is>
          <t>0,21x</t>
        </is>
      </c>
      <c r="DF161" s="118" t="inlineStr">
        <is>
          <t>20</t>
        </is>
      </c>
      <c r="DG161" s="119" t="inlineStr">
        <is>
          <t>0,56x</t>
        </is>
      </c>
      <c r="DH161" s="120" t="inlineStr">
        <is>
          <t>38</t>
        </is>
      </c>
      <c r="DI161" s="121" t="inlineStr">
        <is>
          <t>0,04x</t>
        </is>
      </c>
      <c r="DJ161" s="122" t="inlineStr">
        <is>
          <t>7</t>
        </is>
      </c>
      <c r="DK161" s="123" t="inlineStr">
        <is>
          <t>0,09x</t>
        </is>
      </c>
      <c r="DL161" s="124" t="inlineStr">
        <is>
          <t>17</t>
        </is>
      </c>
      <c r="DM161" s="125" t="inlineStr">
        <is>
          <t>129</t>
        </is>
      </c>
      <c r="DN161" s="126" t="inlineStr">
        <is>
          <t>-4</t>
        </is>
      </c>
      <c r="DO161" s="127" t="inlineStr">
        <is>
          <t>-3,01%</t>
        </is>
      </c>
      <c r="DP161" s="128" t="inlineStr">
        <is>
          <t>33</t>
        </is>
      </c>
      <c r="DQ161" s="129" t="inlineStr">
        <is>
          <t>0</t>
        </is>
      </c>
      <c r="DR161" s="130" t="inlineStr">
        <is>
          <t>0,00%</t>
        </is>
      </c>
      <c r="DS161" s="131" t="inlineStr">
        <is>
          <t>20</t>
        </is>
      </c>
      <c r="DT161" s="132" t="inlineStr">
        <is>
          <t>0</t>
        </is>
      </c>
      <c r="DU161" s="133" t="inlineStr">
        <is>
          <t>0,00%</t>
        </is>
      </c>
      <c r="DV161" s="134" t="inlineStr">
        <is>
          <t>31</t>
        </is>
      </c>
      <c r="DW161" s="135" t="inlineStr">
        <is>
          <t>0</t>
        </is>
      </c>
      <c r="DX161" s="136" t="inlineStr">
        <is>
          <t>0,00%</t>
        </is>
      </c>
      <c r="DY161" s="137" t="inlineStr">
        <is>
          <t>PitchBook Research</t>
        </is>
      </c>
      <c r="DZ161" s="785">
        <f>HYPERLINK("https://my.pitchbook.com?c=120039-67", "View company online")</f>
      </c>
    </row>
    <row r="162">
      <c r="A162" s="139" t="inlineStr">
        <is>
          <t>108262-63</t>
        </is>
      </c>
      <c r="B162" s="140" t="inlineStr">
        <is>
          <t>Enterprise Therapeutics</t>
        </is>
      </c>
      <c r="C162" s="141" t="inlineStr">
        <is>
          <t/>
        </is>
      </c>
      <c r="D162" s="142" t="inlineStr">
        <is>
          <t/>
        </is>
      </c>
      <c r="E162" s="143" t="inlineStr">
        <is>
          <t>108262-63</t>
        </is>
      </c>
      <c r="F162" s="144" t="inlineStr">
        <is>
          <t>Developer of drugs and novel therapies designed to treat respiratory diseases. The company's drugs and novel therapies targets the underlying mechanisms of mucus congestion, which reduces the frequency of lung infections, enabling patients to begin a more successful treatment and improve their quality of life.</t>
        </is>
      </c>
      <c r="G162" s="145" t="inlineStr">
        <is>
          <t>Healthcare</t>
        </is>
      </c>
      <c r="H162" s="146" t="inlineStr">
        <is>
          <t>Pharmaceuticals and Biotechnology</t>
        </is>
      </c>
      <c r="I162" s="147" t="inlineStr">
        <is>
          <t>Drug Discovery</t>
        </is>
      </c>
      <c r="J162" s="148" t="inlineStr">
        <is>
          <t>Drug Discovery*; Pharmaceuticals</t>
        </is>
      </c>
      <c r="K162" s="149" t="inlineStr">
        <is>
          <t>Life Sciences</t>
        </is>
      </c>
      <c r="L162" s="150" t="inlineStr">
        <is>
          <t>Venture Capital-Backed</t>
        </is>
      </c>
      <c r="M162" s="151" t="n">
        <v>10.69</v>
      </c>
      <c r="N162" s="152" t="inlineStr">
        <is>
          <t>Generating Revenue/Not Profitable</t>
        </is>
      </c>
      <c r="O162" s="153" t="inlineStr">
        <is>
          <t>Privately Held (backing)</t>
        </is>
      </c>
      <c r="P162" s="154" t="inlineStr">
        <is>
          <t>Venture Capital</t>
        </is>
      </c>
      <c r="Q162" s="155" t="inlineStr">
        <is>
          <t>www.enterprisetherapeutics.com</t>
        </is>
      </c>
      <c r="R162" s="156" t="n">
        <v>3.0</v>
      </c>
      <c r="S162" s="157" t="inlineStr">
        <is>
          <t/>
        </is>
      </c>
      <c r="T162" s="158" t="inlineStr">
        <is>
          <t/>
        </is>
      </c>
      <c r="U162" s="159" t="n">
        <v>2014.0</v>
      </c>
      <c r="V162" s="160" t="inlineStr">
        <is>
          <t/>
        </is>
      </c>
      <c r="W162" s="161" t="inlineStr">
        <is>
          <t/>
        </is>
      </c>
      <c r="X162" s="162" t="inlineStr">
        <is>
          <t/>
        </is>
      </c>
      <c r="Y162" s="163" t="inlineStr">
        <is>
          <t/>
        </is>
      </c>
      <c r="Z162" s="164" t="inlineStr">
        <is>
          <t/>
        </is>
      </c>
      <c r="AA162" s="165" t="n">
        <v>-0.36712</v>
      </c>
      <c r="AB162" s="166" t="inlineStr">
        <is>
          <t/>
        </is>
      </c>
      <c r="AC162" s="167" t="n">
        <v>-0.36712</v>
      </c>
      <c r="AD162" s="168" t="inlineStr">
        <is>
          <t>FY 2015</t>
        </is>
      </c>
      <c r="AE162" s="169" t="inlineStr">
        <is>
          <t>93447-01P</t>
        </is>
      </c>
      <c r="AF162" s="170" t="inlineStr">
        <is>
          <t>Martin Gosling</t>
        </is>
      </c>
      <c r="AG162" s="171" t="inlineStr">
        <is>
          <t>Chief Scientific Officer &amp; Board Member</t>
        </is>
      </c>
      <c r="AH162" s="172" t="inlineStr">
        <is>
          <t>martin@enterprisetherapeutics.com</t>
        </is>
      </c>
      <c r="AI162" s="173" t="inlineStr">
        <is>
          <t>+44 (0)12 7323 4667</t>
        </is>
      </c>
      <c r="AJ162" s="174" t="inlineStr">
        <is>
          <t>Brighton, United Kingdom</t>
        </is>
      </c>
      <c r="AK162" s="175" t="inlineStr">
        <is>
          <t>Sussex Innovation Centre</t>
        </is>
      </c>
      <c r="AL162" s="176" t="inlineStr">
        <is>
          <t>University of Sussex, Science Park Square, Falmer</t>
        </is>
      </c>
      <c r="AM162" s="177" t="inlineStr">
        <is>
          <t>Brighton</t>
        </is>
      </c>
      <c r="AN162" s="178" t="inlineStr">
        <is>
          <t>England</t>
        </is>
      </c>
      <c r="AO162" s="179" t="inlineStr">
        <is>
          <t>BN1 9SB</t>
        </is>
      </c>
      <c r="AP162" s="180" t="inlineStr">
        <is>
          <t>United Kingdom</t>
        </is>
      </c>
      <c r="AQ162" s="181" t="inlineStr">
        <is>
          <t>+44 (0)12 7323 4667</t>
        </is>
      </c>
      <c r="AR162" s="182" t="inlineStr">
        <is>
          <t/>
        </is>
      </c>
      <c r="AS162" s="183" t="inlineStr">
        <is>
          <t>info@enterprisetherapeutics.com</t>
        </is>
      </c>
      <c r="AT162" s="184" t="inlineStr">
        <is>
          <t>Europe</t>
        </is>
      </c>
      <c r="AU162" s="185" t="inlineStr">
        <is>
          <t>Western Europe</t>
        </is>
      </c>
      <c r="AV162" s="186" t="inlineStr">
        <is>
          <t>The company received an undisclosed amount of grant funding from Cystic Fibrosis Trust on April 5, 2017. The funding will be used to support pioneering research and leveraging the company's bronchosphere technology platform. Previously, the company raised GBP 4.4 million of venture funding in a deal led by Epidarex Capital and Touchstone Innovations on November 10, 2016, putting the pre-money valuation at GBP 4.75 million. Other undisclosed investors also participated in the round. The company will use the funding to further accelerate it's three drug discovery projects towards drug candidate selection.</t>
        </is>
      </c>
      <c r="AW162" s="187" t="inlineStr">
        <is>
          <t>Epidarex Capital, Touchstone Innovations</t>
        </is>
      </c>
      <c r="AX162" s="188" t="n">
        <v>2.0</v>
      </c>
      <c r="AY162" s="189" t="inlineStr">
        <is>
          <t/>
        </is>
      </c>
      <c r="AZ162" s="190" t="inlineStr">
        <is>
          <t/>
        </is>
      </c>
      <c r="BA162" s="191" t="inlineStr">
        <is>
          <t/>
        </is>
      </c>
      <c r="BB162" s="192" t="inlineStr">
        <is>
          <t>Epidarex Capital (www.epidarex.com), Touchstone Innovations (www.touchstoneinnovations.com)</t>
        </is>
      </c>
      <c r="BC162" s="193" t="inlineStr">
        <is>
          <t/>
        </is>
      </c>
      <c r="BD162" s="194" t="inlineStr">
        <is>
          <t/>
        </is>
      </c>
      <c r="BE162" s="195" t="inlineStr">
        <is>
          <t/>
        </is>
      </c>
      <c r="BF162" s="196" t="inlineStr">
        <is>
          <t>Olswang (Legal Advisor)</t>
        </is>
      </c>
      <c r="BG162" s="197" t="n">
        <v>42144.0</v>
      </c>
      <c r="BH162" s="198" t="n">
        <v>5.53</v>
      </c>
      <c r="BI162" s="199" t="inlineStr">
        <is>
          <t>Actual</t>
        </is>
      </c>
      <c r="BJ162" s="200" t="n">
        <v>6.57</v>
      </c>
      <c r="BK162" s="201" t="inlineStr">
        <is>
          <t>Actual</t>
        </is>
      </c>
      <c r="BL162" s="202" t="inlineStr">
        <is>
          <t>Early Stage VC</t>
        </is>
      </c>
      <c r="BM162" s="203" t="inlineStr">
        <is>
          <t>Series A</t>
        </is>
      </c>
      <c r="BN162" s="204" t="inlineStr">
        <is>
          <t/>
        </is>
      </c>
      <c r="BO162" s="205" t="inlineStr">
        <is>
          <t>Venture Capital</t>
        </is>
      </c>
      <c r="BP162" s="206" t="inlineStr">
        <is>
          <t/>
        </is>
      </c>
      <c r="BQ162" s="207" t="inlineStr">
        <is>
          <t/>
        </is>
      </c>
      <c r="BR162" s="208" t="inlineStr">
        <is>
          <t/>
        </is>
      </c>
      <c r="BS162" s="209" t="inlineStr">
        <is>
          <t>Completed</t>
        </is>
      </c>
      <c r="BT162" s="210" t="n">
        <v>42830.0</v>
      </c>
      <c r="BU162" s="211" t="inlineStr">
        <is>
          <t/>
        </is>
      </c>
      <c r="BV162" s="212" t="inlineStr">
        <is>
          <t/>
        </is>
      </c>
      <c r="BW162" s="213" t="inlineStr">
        <is>
          <t/>
        </is>
      </c>
      <c r="BX162" s="214" t="inlineStr">
        <is>
          <t/>
        </is>
      </c>
      <c r="BY162" s="215" t="inlineStr">
        <is>
          <t>Grant</t>
        </is>
      </c>
      <c r="BZ162" s="216" t="inlineStr">
        <is>
          <t/>
        </is>
      </c>
      <c r="CA162" s="217" t="inlineStr">
        <is>
          <t/>
        </is>
      </c>
      <c r="CB162" s="218" t="inlineStr">
        <is>
          <t>Other</t>
        </is>
      </c>
      <c r="CC162" s="219" t="inlineStr">
        <is>
          <t/>
        </is>
      </c>
      <c r="CD162" s="220" t="inlineStr">
        <is>
          <t/>
        </is>
      </c>
      <c r="CE162" s="221" t="inlineStr">
        <is>
          <t/>
        </is>
      </c>
      <c r="CF162" s="222" t="inlineStr">
        <is>
          <t>Completed</t>
        </is>
      </c>
      <c r="CG162" s="223" t="inlineStr">
        <is>
          <t>0,00%</t>
        </is>
      </c>
      <c r="CH162" s="224" t="inlineStr">
        <is>
          <t>23</t>
        </is>
      </c>
      <c r="CI162" s="225" t="inlineStr">
        <is>
          <t>0,00%</t>
        </is>
      </c>
      <c r="CJ162" s="226" t="inlineStr">
        <is>
          <t>0,00%</t>
        </is>
      </c>
      <c r="CK162" s="227" t="inlineStr">
        <is>
          <t>0,00%</t>
        </is>
      </c>
      <c r="CL162" s="228" t="inlineStr">
        <is>
          <t>18</t>
        </is>
      </c>
      <c r="CM162" s="229" t="inlineStr">
        <is>
          <t/>
        </is>
      </c>
      <c r="CN162" s="230" t="inlineStr">
        <is>
          <t/>
        </is>
      </c>
      <c r="CO162" s="231" t="inlineStr">
        <is>
          <t/>
        </is>
      </c>
      <c r="CP162" s="232" t="inlineStr">
        <is>
          <t/>
        </is>
      </c>
      <c r="CQ162" s="233" t="inlineStr">
        <is>
          <t>0,00%</t>
        </is>
      </c>
      <c r="CR162" s="234" t="inlineStr">
        <is>
          <t>13</t>
        </is>
      </c>
      <c r="CS162" s="235" t="inlineStr">
        <is>
          <t/>
        </is>
      </c>
      <c r="CT162" s="236" t="inlineStr">
        <is>
          <t/>
        </is>
      </c>
      <c r="CU162" s="237" t="inlineStr">
        <is>
          <t/>
        </is>
      </c>
      <c r="CV162" s="238" t="inlineStr">
        <is>
          <t/>
        </is>
      </c>
      <c r="CW162" s="239" t="inlineStr">
        <is>
          <t>0,89x</t>
        </is>
      </c>
      <c r="CX162" s="240" t="inlineStr">
        <is>
          <t>46</t>
        </is>
      </c>
      <c r="CY162" s="241" t="inlineStr">
        <is>
          <t>0,02x</t>
        </is>
      </c>
      <c r="CZ162" s="242" t="inlineStr">
        <is>
          <t>2,78%</t>
        </is>
      </c>
      <c r="DA162" s="243" t="inlineStr">
        <is>
          <t>0,89x</t>
        </is>
      </c>
      <c r="DB162" s="244" t="inlineStr">
        <is>
          <t>49</t>
        </is>
      </c>
      <c r="DC162" s="245" t="inlineStr">
        <is>
          <t/>
        </is>
      </c>
      <c r="DD162" s="246" t="inlineStr">
        <is>
          <t/>
        </is>
      </c>
      <c r="DE162" s="247" t="inlineStr">
        <is>
          <t/>
        </is>
      </c>
      <c r="DF162" s="248" t="inlineStr">
        <is>
          <t/>
        </is>
      </c>
      <c r="DG162" s="249" t="inlineStr">
        <is>
          <t>0,89x</t>
        </is>
      </c>
      <c r="DH162" s="250" t="inlineStr">
        <is>
          <t>48</t>
        </is>
      </c>
      <c r="DI162" s="251" t="inlineStr">
        <is>
          <t/>
        </is>
      </c>
      <c r="DJ162" s="252" t="inlineStr">
        <is>
          <t/>
        </is>
      </c>
      <c r="DK162" s="253" t="inlineStr">
        <is>
          <t/>
        </is>
      </c>
      <c r="DL162" s="254" t="inlineStr">
        <is>
          <t/>
        </is>
      </c>
      <c r="DM162" s="255" t="inlineStr">
        <is>
          <t/>
        </is>
      </c>
      <c r="DN162" s="256" t="inlineStr">
        <is>
          <t/>
        </is>
      </c>
      <c r="DO162" s="257" t="inlineStr">
        <is>
          <t/>
        </is>
      </c>
      <c r="DP162" s="258" t="inlineStr">
        <is>
          <t/>
        </is>
      </c>
      <c r="DQ162" s="259" t="inlineStr">
        <is>
          <t/>
        </is>
      </c>
      <c r="DR162" s="260" t="inlineStr">
        <is>
          <t/>
        </is>
      </c>
      <c r="DS162" s="261" t="inlineStr">
        <is>
          <t>32</t>
        </is>
      </c>
      <c r="DT162" s="262" t="inlineStr">
        <is>
          <t>0</t>
        </is>
      </c>
      <c r="DU162" s="263" t="inlineStr">
        <is>
          <t>0,00%</t>
        </is>
      </c>
      <c r="DV162" s="264" t="inlineStr">
        <is>
          <t/>
        </is>
      </c>
      <c r="DW162" s="265" t="inlineStr">
        <is>
          <t/>
        </is>
      </c>
      <c r="DX162" s="266" t="inlineStr">
        <is>
          <t/>
        </is>
      </c>
      <c r="DY162" s="267" t="inlineStr">
        <is>
          <t>PitchBook Research</t>
        </is>
      </c>
      <c r="DZ162" s="786">
        <f>HYPERLINK("https://my.pitchbook.com?c=108262-63", "View company online")</f>
      </c>
    </row>
    <row r="163">
      <c r="A163" s="9" t="inlineStr">
        <is>
          <t>107236-18</t>
        </is>
      </c>
      <c r="B163" s="10" t="inlineStr">
        <is>
          <t>EnXray</t>
        </is>
      </c>
      <c r="C163" s="11" t="inlineStr">
        <is>
          <t/>
        </is>
      </c>
      <c r="D163" s="12" t="inlineStr">
        <is>
          <t/>
        </is>
      </c>
      <c r="E163" s="13" t="inlineStr">
        <is>
          <t>107236-18</t>
        </is>
      </c>
      <c r="F163" s="14" t="inlineStr">
        <is>
          <t>Developer of radiation sterilization equipment for generation of low energy X-rays. The company's Low Energy X-ray technology has the unique capability of generating lower energy X-rays in the range of 8-30 keV for sterilization of medical devices and life science products, enabling manufacturers of medical devices to sterilize their products on site and on demand to the international regulatory standards - streamlining products, improving quality &amp; efficiency and reducing costs.</t>
        </is>
      </c>
      <c r="G163" s="15" t="inlineStr">
        <is>
          <t>Business Products and Services (B2B)</t>
        </is>
      </c>
      <c r="H163" s="16" t="inlineStr">
        <is>
          <t>Commercial Products</t>
        </is>
      </c>
      <c r="I163" s="17" t="inlineStr">
        <is>
          <t>Electrical Equipment</t>
        </is>
      </c>
      <c r="J163" s="18" t="inlineStr">
        <is>
          <t>Electrical Equipment*; Biotechnology</t>
        </is>
      </c>
      <c r="K163" s="19" t="inlineStr">
        <is>
          <t>Life Sciences, Manufacturing</t>
        </is>
      </c>
      <c r="L163" s="20" t="inlineStr">
        <is>
          <t>Venture Capital-Backed</t>
        </is>
      </c>
      <c r="M163" s="21" t="n">
        <v>7.28</v>
      </c>
      <c r="N163" s="22" t="inlineStr">
        <is>
          <t>Startup</t>
        </is>
      </c>
      <c r="O163" s="23" t="inlineStr">
        <is>
          <t>Privately Held (backing)</t>
        </is>
      </c>
      <c r="P163" s="24" t="inlineStr">
        <is>
          <t>Venture Capital</t>
        </is>
      </c>
      <c r="Q163" s="25" t="inlineStr">
        <is>
          <t>www.enxray.com</t>
        </is>
      </c>
      <c r="R163" s="26" t="n">
        <v>3.0</v>
      </c>
      <c r="S163" s="27" t="inlineStr">
        <is>
          <t/>
        </is>
      </c>
      <c r="T163" s="28" t="inlineStr">
        <is>
          <t/>
        </is>
      </c>
      <c r="U163" s="29" t="n">
        <v>2012.0</v>
      </c>
      <c r="V163" s="30" t="inlineStr">
        <is>
          <t/>
        </is>
      </c>
      <c r="W163" s="31" t="inlineStr">
        <is>
          <t/>
        </is>
      </c>
      <c r="X163" s="32" t="inlineStr">
        <is>
          <t/>
        </is>
      </c>
      <c r="Y163" s="33" t="inlineStr">
        <is>
          <t/>
        </is>
      </c>
      <c r="Z163" s="34" t="inlineStr">
        <is>
          <t/>
        </is>
      </c>
      <c r="AA163" s="35" t="inlineStr">
        <is>
          <t/>
        </is>
      </c>
      <c r="AB163" s="36" t="inlineStr">
        <is>
          <t/>
        </is>
      </c>
      <c r="AC163" s="37" t="inlineStr">
        <is>
          <t/>
        </is>
      </c>
      <c r="AD163" s="38" t="inlineStr">
        <is>
          <t>FY 2015</t>
        </is>
      </c>
      <c r="AE163" s="39" t="inlineStr">
        <is>
          <t>70826-95P</t>
        </is>
      </c>
      <c r="AF163" s="40" t="inlineStr">
        <is>
          <t>Edward Cappabianca</t>
        </is>
      </c>
      <c r="AG163" s="41" t="inlineStr">
        <is>
          <t>Co-Founder, Chief Executive Officer &amp; Board Member</t>
        </is>
      </c>
      <c r="AH163" s="42" t="inlineStr">
        <is>
          <t>ecc@enxray.com</t>
        </is>
      </c>
      <c r="AI163" s="43" t="inlineStr">
        <is>
          <t/>
        </is>
      </c>
      <c r="AJ163" s="44" t="inlineStr">
        <is>
          <t>Liverpool, United Kingdom</t>
        </is>
      </c>
      <c r="AK163" s="45" t="inlineStr">
        <is>
          <t>Liverpool Innovation Park</t>
        </is>
      </c>
      <c r="AL163" s="46" t="inlineStr">
        <is>
          <t>Edge Lane</t>
        </is>
      </c>
      <c r="AM163" s="47" t="inlineStr">
        <is>
          <t>Liverpool</t>
        </is>
      </c>
      <c r="AN163" s="48" t="inlineStr">
        <is>
          <t>England</t>
        </is>
      </c>
      <c r="AO163" s="49" t="inlineStr">
        <is>
          <t>L7 9NJ</t>
        </is>
      </c>
      <c r="AP163" s="50" t="inlineStr">
        <is>
          <t>United Kingdom</t>
        </is>
      </c>
      <c r="AQ163" s="51" t="inlineStr">
        <is>
          <t/>
        </is>
      </c>
      <c r="AR163" s="52" t="inlineStr">
        <is>
          <t/>
        </is>
      </c>
      <c r="AS163" s="53" t="inlineStr">
        <is>
          <t>info@enxray.com</t>
        </is>
      </c>
      <c r="AT163" s="54" t="inlineStr">
        <is>
          <t>Europe</t>
        </is>
      </c>
      <c r="AU163" s="55" t="inlineStr">
        <is>
          <t>Western Europe</t>
        </is>
      </c>
      <c r="AV163" s="56" t="inlineStr">
        <is>
          <t>The company raised GBP 3.127 million of Series B venture funding via Crowdfunding Platform Envestors from lead investors The North West Fund and CBC Holdings on April 10, 2017. The funding includes GBP 2 million of loan provided by Finance Birmingham. The funds will be used for the pre-commercialization activities, manufacturing and launch of its Low Energy X-ray (LEXR) sterilization machine.</t>
        </is>
      </c>
      <c r="AW163" s="57" t="inlineStr">
        <is>
          <t>Advanced Manufacturing Supply Chain Initiative, CBC Holdings, Horizon 2020, SMS Electronics, Spark Impact, The North West Fund</t>
        </is>
      </c>
      <c r="AX163" s="58" t="n">
        <v>6.0</v>
      </c>
      <c r="AY163" s="59" t="inlineStr">
        <is>
          <t/>
        </is>
      </c>
      <c r="AZ163" s="60" t="inlineStr">
        <is>
          <t/>
        </is>
      </c>
      <c r="BA163" s="61" t="inlineStr">
        <is>
          <t/>
        </is>
      </c>
      <c r="BB163" s="62" t="inlineStr">
        <is>
          <t>Spark Impact (www.sparkimpact.co.uk), The North West Fund (www.thenorthwestfund.co.uk)</t>
        </is>
      </c>
      <c r="BC163" s="63" t="inlineStr">
        <is>
          <t/>
        </is>
      </c>
      <c r="BD163" s="64" t="inlineStr">
        <is>
          <t/>
        </is>
      </c>
      <c r="BE163" s="65" t="inlineStr">
        <is>
          <t/>
        </is>
      </c>
      <c r="BF163" s="66" t="inlineStr">
        <is>
          <t>Advanced Manufacturing Supply Chain Initiative, Finance Birmingham, Envestors (Lead Manager or Arranger)</t>
        </is>
      </c>
      <c r="BG163" s="67" t="n">
        <v>41703.0</v>
      </c>
      <c r="BH163" s="68" t="n">
        <v>1.4</v>
      </c>
      <c r="BI163" s="69" t="inlineStr">
        <is>
          <t>Actual</t>
        </is>
      </c>
      <c r="BJ163" s="70" t="n">
        <v>3.43</v>
      </c>
      <c r="BK163" s="71" t="inlineStr">
        <is>
          <t>Actual</t>
        </is>
      </c>
      <c r="BL163" s="72" t="inlineStr">
        <is>
          <t>Early Stage VC</t>
        </is>
      </c>
      <c r="BM163" s="73" t="inlineStr">
        <is>
          <t/>
        </is>
      </c>
      <c r="BN163" s="74" t="inlineStr">
        <is>
          <t/>
        </is>
      </c>
      <c r="BO163" s="75" t="inlineStr">
        <is>
          <t>Venture Capital</t>
        </is>
      </c>
      <c r="BP163" s="76" t="inlineStr">
        <is>
          <t/>
        </is>
      </c>
      <c r="BQ163" s="77" t="inlineStr">
        <is>
          <t/>
        </is>
      </c>
      <c r="BR163" s="78" t="inlineStr">
        <is>
          <t/>
        </is>
      </c>
      <c r="BS163" s="79" t="inlineStr">
        <is>
          <t>Completed</t>
        </is>
      </c>
      <c r="BT163" s="80" t="n">
        <v>42835.0</v>
      </c>
      <c r="BU163" s="81" t="n">
        <v>3.69</v>
      </c>
      <c r="BV163" s="82" t="inlineStr">
        <is>
          <t>Actual</t>
        </is>
      </c>
      <c r="BW163" s="83" t="inlineStr">
        <is>
          <t/>
        </is>
      </c>
      <c r="BX163" s="84" t="inlineStr">
        <is>
          <t/>
        </is>
      </c>
      <c r="BY163" s="85" t="inlineStr">
        <is>
          <t>Early Stage VC</t>
        </is>
      </c>
      <c r="BZ163" s="86" t="inlineStr">
        <is>
          <t>Series B</t>
        </is>
      </c>
      <c r="CA163" s="87" t="inlineStr">
        <is>
          <t/>
        </is>
      </c>
      <c r="CB163" s="88" t="inlineStr">
        <is>
          <t>Venture Capital</t>
        </is>
      </c>
      <c r="CC163" s="89" t="inlineStr">
        <is>
          <t>Loan</t>
        </is>
      </c>
      <c r="CD163" s="90" t="inlineStr">
        <is>
          <t/>
        </is>
      </c>
      <c r="CE163" s="91" t="inlineStr">
        <is>
          <t/>
        </is>
      </c>
      <c r="CF163" s="92" t="inlineStr">
        <is>
          <t>Completed</t>
        </is>
      </c>
      <c r="CG163" s="93" t="inlineStr">
        <is>
          <t>0,00%</t>
        </is>
      </c>
      <c r="CH163" s="94" t="inlineStr">
        <is>
          <t>23</t>
        </is>
      </c>
      <c r="CI163" s="95" t="inlineStr">
        <is>
          <t>0,00%</t>
        </is>
      </c>
      <c r="CJ163" s="96" t="inlineStr">
        <is>
          <t>0,00%</t>
        </is>
      </c>
      <c r="CK163" s="97" t="inlineStr">
        <is>
          <t>0,00%</t>
        </is>
      </c>
      <c r="CL163" s="98" t="inlineStr">
        <is>
          <t>18</t>
        </is>
      </c>
      <c r="CM163" s="99" t="inlineStr">
        <is>
          <t>0,00%</t>
        </is>
      </c>
      <c r="CN163" s="100" t="inlineStr">
        <is>
          <t>19</t>
        </is>
      </c>
      <c r="CO163" s="101" t="inlineStr">
        <is>
          <t>0,00%</t>
        </is>
      </c>
      <c r="CP163" s="102" t="inlineStr">
        <is>
          <t>26</t>
        </is>
      </c>
      <c r="CQ163" s="103" t="inlineStr">
        <is>
          <t>0,00%</t>
        </is>
      </c>
      <c r="CR163" s="104" t="inlineStr">
        <is>
          <t>13</t>
        </is>
      </c>
      <c r="CS163" s="105" t="inlineStr">
        <is>
          <t/>
        </is>
      </c>
      <c r="CT163" s="106" t="inlineStr">
        <is>
          <t/>
        </is>
      </c>
      <c r="CU163" s="107" t="inlineStr">
        <is>
          <t>0,00%</t>
        </is>
      </c>
      <c r="CV163" s="108" t="inlineStr">
        <is>
          <t>20</t>
        </is>
      </c>
      <c r="CW163" s="109" t="inlineStr">
        <is>
          <t>0,11x</t>
        </is>
      </c>
      <c r="CX163" s="110" t="inlineStr">
        <is>
          <t>10</t>
        </is>
      </c>
      <c r="CY163" s="111" t="inlineStr">
        <is>
          <t>0,00x</t>
        </is>
      </c>
      <c r="CZ163" s="112" t="inlineStr">
        <is>
          <t>-3,49%</t>
        </is>
      </c>
      <c r="DA163" s="113" t="inlineStr">
        <is>
          <t>0,20x</t>
        </is>
      </c>
      <c r="DB163" s="114" t="inlineStr">
        <is>
          <t>20</t>
        </is>
      </c>
      <c r="DC163" s="115" t="inlineStr">
        <is>
          <t>0,02x</t>
        </is>
      </c>
      <c r="DD163" s="116" t="inlineStr">
        <is>
          <t>4</t>
        </is>
      </c>
      <c r="DE163" s="117" t="inlineStr">
        <is>
          <t>0,01x</t>
        </is>
      </c>
      <c r="DF163" s="118" t="inlineStr">
        <is>
          <t>3</t>
        </is>
      </c>
      <c r="DG163" s="119" t="inlineStr">
        <is>
          <t>0,39x</t>
        </is>
      </c>
      <c r="DH163" s="120" t="inlineStr">
        <is>
          <t>31</t>
        </is>
      </c>
      <c r="DI163" s="121" t="inlineStr">
        <is>
          <t/>
        </is>
      </c>
      <c r="DJ163" s="122" t="inlineStr">
        <is>
          <t/>
        </is>
      </c>
      <c r="DK163" s="123" t="inlineStr">
        <is>
          <t>0,02x</t>
        </is>
      </c>
      <c r="DL163" s="124" t="inlineStr">
        <is>
          <t>5</t>
        </is>
      </c>
      <c r="DM163" s="125" t="inlineStr">
        <is>
          <t>10</t>
        </is>
      </c>
      <c r="DN163" s="126" t="inlineStr">
        <is>
          <t>-20</t>
        </is>
      </c>
      <c r="DO163" s="127" t="inlineStr">
        <is>
          <t>-66,67%</t>
        </is>
      </c>
      <c r="DP163" s="128" t="inlineStr">
        <is>
          <t/>
        </is>
      </c>
      <c r="DQ163" s="129" t="inlineStr">
        <is>
          <t/>
        </is>
      </c>
      <c r="DR163" s="130" t="inlineStr">
        <is>
          <t/>
        </is>
      </c>
      <c r="DS163" s="131" t="inlineStr">
        <is>
          <t>14</t>
        </is>
      </c>
      <c r="DT163" s="132" t="inlineStr">
        <is>
          <t>-1</t>
        </is>
      </c>
      <c r="DU163" s="133" t="inlineStr">
        <is>
          <t>-6,67%</t>
        </is>
      </c>
      <c r="DV163" s="134" t="inlineStr">
        <is>
          <t>6</t>
        </is>
      </c>
      <c r="DW163" s="135" t="inlineStr">
        <is>
          <t>0</t>
        </is>
      </c>
      <c r="DX163" s="136" t="inlineStr">
        <is>
          <t>0,00%</t>
        </is>
      </c>
      <c r="DY163" s="137" t="inlineStr">
        <is>
          <t>PitchBook Research</t>
        </is>
      </c>
      <c r="DZ163" s="785">
        <f>HYPERLINK("https://my.pitchbook.com?c=107236-18", "View company online")</f>
      </c>
    </row>
    <row r="164">
      <c r="A164" s="139" t="inlineStr">
        <is>
          <t>149476-60</t>
        </is>
      </c>
      <c r="B164" s="140" t="inlineStr">
        <is>
          <t>ENYO Pharma</t>
        </is>
      </c>
      <c r="C164" s="141" t="inlineStr">
        <is>
          <t/>
        </is>
      </c>
      <c r="D164" s="142" t="inlineStr">
        <is>
          <t/>
        </is>
      </c>
      <c r="E164" s="143" t="inlineStr">
        <is>
          <t>149476-60</t>
        </is>
      </c>
      <c r="F164" s="144" t="inlineStr">
        <is>
          <t>Developer of drug discovery platform for the treatments of chronic viral infections. The company develops molecules modulating host functions for the treatment of acute and chronic viral infections and identify new intracellular therapeutic targets and molecules acting against these targets.</t>
        </is>
      </c>
      <c r="G164" s="145" t="inlineStr">
        <is>
          <t>Healthcare</t>
        </is>
      </c>
      <c r="H164" s="146" t="inlineStr">
        <is>
          <t>Pharmaceuticals and Biotechnology</t>
        </is>
      </c>
      <c r="I164" s="147" t="inlineStr">
        <is>
          <t>Drug Discovery</t>
        </is>
      </c>
      <c r="J164" s="148" t="inlineStr">
        <is>
          <t>Drug Discovery*; Pharmaceuticals</t>
        </is>
      </c>
      <c r="K164" s="149" t="inlineStr">
        <is>
          <t>Life Sciences</t>
        </is>
      </c>
      <c r="L164" s="150" t="inlineStr">
        <is>
          <t>Venture Capital-Backed</t>
        </is>
      </c>
      <c r="M164" s="151" t="n">
        <v>22.0</v>
      </c>
      <c r="N164" s="152" t="inlineStr">
        <is>
          <t>Startup</t>
        </is>
      </c>
      <c r="O164" s="153" t="inlineStr">
        <is>
          <t>Privately Held (backing)</t>
        </is>
      </c>
      <c r="P164" s="154" t="inlineStr">
        <is>
          <t>Venture Capital</t>
        </is>
      </c>
      <c r="Q164" s="155" t="inlineStr">
        <is>
          <t>www.enyopharma.com</t>
        </is>
      </c>
      <c r="R164" s="156" t="n">
        <v>11.0</v>
      </c>
      <c r="S164" s="157" t="inlineStr">
        <is>
          <t/>
        </is>
      </c>
      <c r="T164" s="158" t="inlineStr">
        <is>
          <t/>
        </is>
      </c>
      <c r="U164" s="159" t="n">
        <v>2014.0</v>
      </c>
      <c r="V164" s="160" t="inlineStr">
        <is>
          <t/>
        </is>
      </c>
      <c r="W164" s="161" t="inlineStr">
        <is>
          <t/>
        </is>
      </c>
      <c r="X164" s="162" t="inlineStr">
        <is>
          <t/>
        </is>
      </c>
      <c r="Y164" s="163" t="inlineStr">
        <is>
          <t/>
        </is>
      </c>
      <c r="Z164" s="164" t="inlineStr">
        <is>
          <t/>
        </is>
      </c>
      <c r="AA164" s="165" t="n">
        <v>-1.92015</v>
      </c>
      <c r="AB164" s="166" t="inlineStr">
        <is>
          <t/>
        </is>
      </c>
      <c r="AC164" s="167" t="inlineStr">
        <is>
          <t/>
        </is>
      </c>
      <c r="AD164" s="168" t="inlineStr">
        <is>
          <t>FY 2015</t>
        </is>
      </c>
      <c r="AE164" s="169" t="inlineStr">
        <is>
          <t>73806-04P</t>
        </is>
      </c>
      <c r="AF164" s="170" t="inlineStr">
        <is>
          <t>Jacky Vonderscher</t>
        </is>
      </c>
      <c r="AG164" s="171" t="inlineStr">
        <is>
          <t>Co-Founder &amp; Chief Executive Officer &amp; Board Memeber</t>
        </is>
      </c>
      <c r="AH164" s="172" t="inlineStr">
        <is>
          <t>jv@enyopharma.com</t>
        </is>
      </c>
      <c r="AI164" s="173" t="inlineStr">
        <is>
          <t/>
        </is>
      </c>
      <c r="AJ164" s="174" t="inlineStr">
        <is>
          <t>Lyon, France</t>
        </is>
      </c>
      <c r="AK164" s="175" t="inlineStr">
        <is>
          <t>Bâtiment Domilyon</t>
        </is>
      </c>
      <c r="AL164" s="176" t="inlineStr">
        <is>
          <t>321 avenue Jean Jaurès</t>
        </is>
      </c>
      <c r="AM164" s="177" t="inlineStr">
        <is>
          <t>Lyon</t>
        </is>
      </c>
      <c r="AN164" s="178" t="inlineStr">
        <is>
          <t/>
        </is>
      </c>
      <c r="AO164" s="179" t="inlineStr">
        <is>
          <t>69007</t>
        </is>
      </c>
      <c r="AP164" s="180" t="inlineStr">
        <is>
          <t>France</t>
        </is>
      </c>
      <c r="AQ164" s="181" t="inlineStr">
        <is>
          <t/>
        </is>
      </c>
      <c r="AR164" s="182" t="inlineStr">
        <is>
          <t/>
        </is>
      </c>
      <c r="AS164" s="183" t="inlineStr">
        <is>
          <t>contact@enyopharma.com</t>
        </is>
      </c>
      <c r="AT164" s="184" t="inlineStr">
        <is>
          <t>Europe</t>
        </is>
      </c>
      <c r="AU164" s="185" t="inlineStr">
        <is>
          <t>Western Europe</t>
        </is>
      </c>
      <c r="AV164" s="186" t="inlineStr">
        <is>
          <t>The company received EUR 2.5 million of grant funding from European Commission as part of the Horizon2020/SME Instrument Phase 2 Programme on December 6, 2016. In February, the company raised EUR 22 million of Series A venture funding in a deal led by Sofinnova Partners. Morningside Capital, InnoBiologics and Bpifrance also participated in the round.</t>
        </is>
      </c>
      <c r="AW164" s="187" t="inlineStr">
        <is>
          <t>Bpifrance, Horizon 2020, InnoBiologics, Inserm Transfert Initiative, Morningside Capital, Sofinnova Partners</t>
        </is>
      </c>
      <c r="AX164" s="188" t="n">
        <v>6.0</v>
      </c>
      <c r="AY164" s="189" t="inlineStr">
        <is>
          <t/>
        </is>
      </c>
      <c r="AZ164" s="190" t="inlineStr">
        <is>
          <t/>
        </is>
      </c>
      <c r="BA164" s="191" t="inlineStr">
        <is>
          <t/>
        </is>
      </c>
      <c r="BB164" s="192" t="inlineStr">
        <is>
          <t>Bpifrance (www.bpifrance.fr), Inserm Transfert Initiative (www.inserm-transfert-initiative.com), Sofinnova Partners (www.sofinnova.fr)</t>
        </is>
      </c>
      <c r="BC164" s="193" t="inlineStr">
        <is>
          <t/>
        </is>
      </c>
      <c r="BD164" s="194" t="inlineStr">
        <is>
          <t/>
        </is>
      </c>
      <c r="BE164" s="195" t="inlineStr">
        <is>
          <t>NG Finance (Valuation/Appraiser)</t>
        </is>
      </c>
      <c r="BF164" s="196" t="inlineStr">
        <is>
          <t/>
        </is>
      </c>
      <c r="BG164" s="197" t="n">
        <v>42005.0</v>
      </c>
      <c r="BH164" s="198" t="inlineStr">
        <is>
          <t/>
        </is>
      </c>
      <c r="BI164" s="199" t="inlineStr">
        <is>
          <t/>
        </is>
      </c>
      <c r="BJ164" s="200" t="inlineStr">
        <is>
          <t/>
        </is>
      </c>
      <c r="BK164" s="201" t="inlineStr">
        <is>
          <t/>
        </is>
      </c>
      <c r="BL164" s="202" t="inlineStr">
        <is>
          <t>Seed Round</t>
        </is>
      </c>
      <c r="BM164" s="203" t="inlineStr">
        <is>
          <t>Seed</t>
        </is>
      </c>
      <c r="BN164" s="204" t="inlineStr">
        <is>
          <t/>
        </is>
      </c>
      <c r="BO164" s="205" t="inlineStr">
        <is>
          <t>Venture Capital</t>
        </is>
      </c>
      <c r="BP164" s="206" t="inlineStr">
        <is>
          <t/>
        </is>
      </c>
      <c r="BQ164" s="207" t="inlineStr">
        <is>
          <t/>
        </is>
      </c>
      <c r="BR164" s="208" t="inlineStr">
        <is>
          <t/>
        </is>
      </c>
      <c r="BS164" s="209" t="inlineStr">
        <is>
          <t>Completed</t>
        </is>
      </c>
      <c r="BT164" s="210" t="n">
        <v>42710.0</v>
      </c>
      <c r="BU164" s="211" t="n">
        <v>2.5</v>
      </c>
      <c r="BV164" s="212" t="inlineStr">
        <is>
          <t>Actual</t>
        </is>
      </c>
      <c r="BW164" s="213" t="inlineStr">
        <is>
          <t/>
        </is>
      </c>
      <c r="BX164" s="214" t="inlineStr">
        <is>
          <t/>
        </is>
      </c>
      <c r="BY164" s="215" t="inlineStr">
        <is>
          <t>Grant</t>
        </is>
      </c>
      <c r="BZ164" s="216" t="inlineStr">
        <is>
          <t/>
        </is>
      </c>
      <c r="CA164" s="217" t="inlineStr">
        <is>
          <t/>
        </is>
      </c>
      <c r="CB164" s="218" t="inlineStr">
        <is>
          <t>Other</t>
        </is>
      </c>
      <c r="CC164" s="219" t="inlineStr">
        <is>
          <t/>
        </is>
      </c>
      <c r="CD164" s="220" t="inlineStr">
        <is>
          <t/>
        </is>
      </c>
      <c r="CE164" s="221" t="inlineStr">
        <is>
          <t/>
        </is>
      </c>
      <c r="CF164" s="222" t="inlineStr">
        <is>
          <t>Completed</t>
        </is>
      </c>
      <c r="CG164" s="223" t="inlineStr">
        <is>
          <t>0,00%</t>
        </is>
      </c>
      <c r="CH164" s="224" t="inlineStr">
        <is>
          <t>23</t>
        </is>
      </c>
      <c r="CI164" s="225" t="inlineStr">
        <is>
          <t>0,00%</t>
        </is>
      </c>
      <c r="CJ164" s="226" t="inlineStr">
        <is>
          <t>0,00%</t>
        </is>
      </c>
      <c r="CK164" s="227" t="inlineStr">
        <is>
          <t>0,00%</t>
        </is>
      </c>
      <c r="CL164" s="228" t="inlineStr">
        <is>
          <t>18</t>
        </is>
      </c>
      <c r="CM164" s="229" t="inlineStr">
        <is>
          <t>0,00%</t>
        </is>
      </c>
      <c r="CN164" s="230" t="inlineStr">
        <is>
          <t>19</t>
        </is>
      </c>
      <c r="CO164" s="231" t="inlineStr">
        <is>
          <t>0,00%</t>
        </is>
      </c>
      <c r="CP164" s="232" t="inlineStr">
        <is>
          <t>26</t>
        </is>
      </c>
      <c r="CQ164" s="233" t="inlineStr">
        <is>
          <t>0,00%</t>
        </is>
      </c>
      <c r="CR164" s="234" t="inlineStr">
        <is>
          <t>13</t>
        </is>
      </c>
      <c r="CS164" s="235" t="inlineStr">
        <is>
          <t/>
        </is>
      </c>
      <c r="CT164" s="236" t="inlineStr">
        <is>
          <t/>
        </is>
      </c>
      <c r="CU164" s="237" t="inlineStr">
        <is>
          <t>0,00%</t>
        </is>
      </c>
      <c r="CV164" s="238" t="inlineStr">
        <is>
          <t>20</t>
        </is>
      </c>
      <c r="CW164" s="239" t="inlineStr">
        <is>
          <t>0,47x</t>
        </is>
      </c>
      <c r="CX164" s="240" t="inlineStr">
        <is>
          <t>32</t>
        </is>
      </c>
      <c r="CY164" s="241" t="inlineStr">
        <is>
          <t>0,01x</t>
        </is>
      </c>
      <c r="CZ164" s="242" t="inlineStr">
        <is>
          <t>2,24%</t>
        </is>
      </c>
      <c r="DA164" s="243" t="inlineStr">
        <is>
          <t>0,77x</t>
        </is>
      </c>
      <c r="DB164" s="244" t="inlineStr">
        <is>
          <t>46</t>
        </is>
      </c>
      <c r="DC164" s="245" t="inlineStr">
        <is>
          <t>0,17x</t>
        </is>
      </c>
      <c r="DD164" s="246" t="inlineStr">
        <is>
          <t>20</t>
        </is>
      </c>
      <c r="DE164" s="247" t="inlineStr">
        <is>
          <t>0,27x</t>
        </is>
      </c>
      <c r="DF164" s="248" t="inlineStr">
        <is>
          <t>24</t>
        </is>
      </c>
      <c r="DG164" s="249" t="inlineStr">
        <is>
          <t>1,28x</t>
        </is>
      </c>
      <c r="DH164" s="250" t="inlineStr">
        <is>
          <t>55</t>
        </is>
      </c>
      <c r="DI164" s="251" t="inlineStr">
        <is>
          <t/>
        </is>
      </c>
      <c r="DJ164" s="252" t="inlineStr">
        <is>
          <t/>
        </is>
      </c>
      <c r="DK164" s="253" t="inlineStr">
        <is>
          <t>0,17x</t>
        </is>
      </c>
      <c r="DL164" s="254" t="inlineStr">
        <is>
          <t>24</t>
        </is>
      </c>
      <c r="DM164" s="255" t="inlineStr">
        <is>
          <t>163</t>
        </is>
      </c>
      <c r="DN164" s="256" t="inlineStr">
        <is>
          <t>6</t>
        </is>
      </c>
      <c r="DO164" s="257" t="inlineStr">
        <is>
          <t>3,82%</t>
        </is>
      </c>
      <c r="DP164" s="258" t="inlineStr">
        <is>
          <t/>
        </is>
      </c>
      <c r="DQ164" s="259" t="inlineStr">
        <is>
          <t/>
        </is>
      </c>
      <c r="DR164" s="260" t="inlineStr">
        <is>
          <t/>
        </is>
      </c>
      <c r="DS164" s="261" t="inlineStr">
        <is>
          <t>46</t>
        </is>
      </c>
      <c r="DT164" s="262" t="inlineStr">
        <is>
          <t>0</t>
        </is>
      </c>
      <c r="DU164" s="263" t="inlineStr">
        <is>
          <t>0,00%</t>
        </is>
      </c>
      <c r="DV164" s="264" t="inlineStr">
        <is>
          <t>59</t>
        </is>
      </c>
      <c r="DW164" s="265" t="inlineStr">
        <is>
          <t>1</t>
        </is>
      </c>
      <c r="DX164" s="266" t="inlineStr">
        <is>
          <t>1,72%</t>
        </is>
      </c>
      <c r="DY164" s="267" t="inlineStr">
        <is>
          <t>PitchBook Research</t>
        </is>
      </c>
      <c r="DZ164" s="786">
        <f>HYPERLINK("https://my.pitchbook.com?c=149476-60", "View company online")</f>
      </c>
    </row>
    <row r="165">
      <c r="A165" s="9" t="inlineStr">
        <is>
          <t>118667-80</t>
        </is>
      </c>
      <c r="B165" s="10" t="inlineStr">
        <is>
          <t>Eterno Plant</t>
        </is>
      </c>
      <c r="C165" s="11" t="inlineStr">
        <is>
          <t/>
        </is>
      </c>
      <c r="D165" s="12" t="inlineStr">
        <is>
          <t/>
        </is>
      </c>
      <c r="E165" s="13" t="inlineStr">
        <is>
          <t>118667-80</t>
        </is>
      </c>
      <c r="F165" s="14" t="inlineStr">
        <is>
          <t>Producer of pipe connectors designed to meet global quality standards. The company's pipe connectors include the production of pipe bends, pipe seal fittings and pipe adapters in Russia, providing enterprises with a competitive production cost and minimum delivery time.</t>
        </is>
      </c>
      <c r="G165" s="15" t="inlineStr">
        <is>
          <t>Business Products and Services (B2B)</t>
        </is>
      </c>
      <c r="H165" s="16" t="inlineStr">
        <is>
          <t>Commercial Products</t>
        </is>
      </c>
      <c r="I165" s="17" t="inlineStr">
        <is>
          <t>Industrial Supplies and Parts</t>
        </is>
      </c>
      <c r="J165" s="18" t="inlineStr">
        <is>
          <t>Industrial Supplies and Parts*; Other Commercial Products</t>
        </is>
      </c>
      <c r="K165" s="19" t="inlineStr">
        <is>
          <t>Manufacturing</t>
        </is>
      </c>
      <c r="L165" s="20" t="inlineStr">
        <is>
          <t>Venture Capital-Backed</t>
        </is>
      </c>
      <c r="M165" s="21" t="n">
        <v>383.42</v>
      </c>
      <c r="N165" s="22" t="inlineStr">
        <is>
          <t>Generating Revenue</t>
        </is>
      </c>
      <c r="O165" s="23" t="inlineStr">
        <is>
          <t>Privately Held (backing)</t>
        </is>
      </c>
      <c r="P165" s="24" t="inlineStr">
        <is>
          <t>Venture Capital</t>
        </is>
      </c>
      <c r="Q165" s="25" t="inlineStr">
        <is>
          <t/>
        </is>
      </c>
      <c r="R165" s="26" t="n">
        <v>300.0</v>
      </c>
      <c r="S165" s="27" t="inlineStr">
        <is>
          <t/>
        </is>
      </c>
      <c r="T165" s="28" t="inlineStr">
        <is>
          <t/>
        </is>
      </c>
      <c r="U165" s="29" t="n">
        <v>2013.0</v>
      </c>
      <c r="V165" s="30" t="inlineStr">
        <is>
          <t/>
        </is>
      </c>
      <c r="W165" s="31" t="inlineStr">
        <is>
          <t/>
        </is>
      </c>
      <c r="X165" s="32" t="inlineStr">
        <is>
          <t/>
        </is>
      </c>
      <c r="Y165" s="33" t="inlineStr">
        <is>
          <t/>
        </is>
      </c>
      <c r="Z165" s="34" t="inlineStr">
        <is>
          <t/>
        </is>
      </c>
      <c r="AA165" s="35" t="inlineStr">
        <is>
          <t/>
        </is>
      </c>
      <c r="AB165" s="36" t="inlineStr">
        <is>
          <t/>
        </is>
      </c>
      <c r="AC165" s="37" t="inlineStr">
        <is>
          <t/>
        </is>
      </c>
      <c r="AD165" s="38" t="inlineStr">
        <is>
          <t/>
        </is>
      </c>
      <c r="AE165" s="39" t="inlineStr">
        <is>
          <t/>
        </is>
      </c>
      <c r="AF165" s="40" t="inlineStr">
        <is>
          <t/>
        </is>
      </c>
      <c r="AG165" s="41" t="inlineStr">
        <is>
          <t/>
        </is>
      </c>
      <c r="AH165" s="42" t="inlineStr">
        <is>
          <t/>
        </is>
      </c>
      <c r="AI165" s="43" t="inlineStr">
        <is>
          <t/>
        </is>
      </c>
      <c r="AJ165" s="44" t="inlineStr">
        <is>
          <t>Chelyabinsk, Russia</t>
        </is>
      </c>
      <c r="AK165" s="45" t="inlineStr">
        <is>
          <t>4454129 Russian Federation, Chelyabinsk oblast</t>
        </is>
      </c>
      <c r="AL165" s="46" t="inlineStr">
        <is>
          <t>Mashinostroiteley street, 21</t>
        </is>
      </c>
      <c r="AM165" s="47" t="inlineStr">
        <is>
          <t>Chelyabinsk</t>
        </is>
      </c>
      <c r="AN165" s="48" t="inlineStr">
        <is>
          <t/>
        </is>
      </c>
      <c r="AO165" s="49" t="inlineStr">
        <is>
          <t/>
        </is>
      </c>
      <c r="AP165" s="50" t="inlineStr">
        <is>
          <t>Russia</t>
        </is>
      </c>
      <c r="AQ165" s="51" t="inlineStr">
        <is>
          <t/>
        </is>
      </c>
      <c r="AR165" s="52" t="inlineStr">
        <is>
          <t/>
        </is>
      </c>
      <c r="AS165" s="53" t="inlineStr">
        <is>
          <t/>
        </is>
      </c>
      <c r="AT165" s="54" t="inlineStr">
        <is>
          <t>Europe</t>
        </is>
      </c>
      <c r="AU165" s="55" t="inlineStr">
        <is>
          <t>Eastern Europe</t>
        </is>
      </c>
      <c r="AV165" s="56" t="inlineStr">
        <is>
          <t>Rusnano is in talks to sell a 49.89% stake in the company to an undisclosed investor for a minimum price of RUB 4.72 billion as on June 21, 2017. The company was formed as a joint venture between Chelpipe and Rusnano in 2013. The company is being actively tracked by PitchBook.</t>
        </is>
      </c>
      <c r="AW165" s="57" t="inlineStr">
        <is>
          <t>ChelPipe, Rusnano</t>
        </is>
      </c>
      <c r="AX165" s="58" t="n">
        <v>2.0</v>
      </c>
      <c r="AY165" s="59" t="inlineStr">
        <is>
          <t/>
        </is>
      </c>
      <c r="AZ165" s="60" t="inlineStr">
        <is>
          <t/>
        </is>
      </c>
      <c r="BA165" s="61" t="inlineStr">
        <is>
          <t/>
        </is>
      </c>
      <c r="BB165" s="62" t="inlineStr">
        <is>
          <t>Rusnano (www.rusnano.com)</t>
        </is>
      </c>
      <c r="BC165" s="63" t="inlineStr">
        <is>
          <t/>
        </is>
      </c>
      <c r="BD165" s="64" t="inlineStr">
        <is>
          <t/>
        </is>
      </c>
      <c r="BE165" s="65" t="inlineStr">
        <is>
          <t/>
        </is>
      </c>
      <c r="BF165" s="66" t="inlineStr">
        <is>
          <t/>
        </is>
      </c>
      <c r="BG165" s="67" t="n">
        <v>41275.0</v>
      </c>
      <c r="BH165" s="68" t="n">
        <v>383.42</v>
      </c>
      <c r="BI165" s="69" t="inlineStr">
        <is>
          <t>Actual</t>
        </is>
      </c>
      <c r="BJ165" s="70" t="n">
        <v>383.42</v>
      </c>
      <c r="BK165" s="71" t="inlineStr">
        <is>
          <t>Actual</t>
        </is>
      </c>
      <c r="BL165" s="72" t="inlineStr">
        <is>
          <t>Joint Venture</t>
        </is>
      </c>
      <c r="BM165" s="73" t="inlineStr">
        <is>
          <t/>
        </is>
      </c>
      <c r="BN165" s="74" t="inlineStr">
        <is>
          <t/>
        </is>
      </c>
      <c r="BO165" s="75" t="inlineStr">
        <is>
          <t>Other</t>
        </is>
      </c>
      <c r="BP165" s="76" t="inlineStr">
        <is>
          <t/>
        </is>
      </c>
      <c r="BQ165" s="77" t="inlineStr">
        <is>
          <t/>
        </is>
      </c>
      <c r="BR165" s="78" t="inlineStr">
        <is>
          <t/>
        </is>
      </c>
      <c r="BS165" s="79" t="inlineStr">
        <is>
          <t>Completed</t>
        </is>
      </c>
      <c r="BT165" s="80" t="inlineStr">
        <is>
          <t/>
        </is>
      </c>
      <c r="BU165" s="81" t="n">
        <v>67.15</v>
      </c>
      <c r="BV165" s="82" t="inlineStr">
        <is>
          <t>Estimated</t>
        </is>
      </c>
      <c r="BW165" s="83" t="n">
        <v>134.6</v>
      </c>
      <c r="BX165" s="84" t="inlineStr">
        <is>
          <t>Estimated</t>
        </is>
      </c>
      <c r="BY165" s="85" t="inlineStr">
        <is>
          <t>Secondary Transaction - Private</t>
        </is>
      </c>
      <c r="BZ165" s="86" t="inlineStr">
        <is>
          <t/>
        </is>
      </c>
      <c r="CA165" s="87" t="inlineStr">
        <is>
          <t/>
        </is>
      </c>
      <c r="CB165" s="88" t="inlineStr">
        <is>
          <t>Other</t>
        </is>
      </c>
      <c r="CC165" s="89" t="inlineStr">
        <is>
          <t/>
        </is>
      </c>
      <c r="CD165" s="90" t="inlineStr">
        <is>
          <t/>
        </is>
      </c>
      <c r="CE165" s="91" t="inlineStr">
        <is>
          <t/>
        </is>
      </c>
      <c r="CF165" s="92" t="inlineStr">
        <is>
          <t>Upcoming</t>
        </is>
      </c>
      <c r="CG165" s="93" t="inlineStr">
        <is>
          <t/>
        </is>
      </c>
      <c r="CH165" s="94" t="inlineStr">
        <is>
          <t/>
        </is>
      </c>
      <c r="CI165" s="95" t="inlineStr">
        <is>
          <t/>
        </is>
      </c>
      <c r="CJ165" s="96" t="inlineStr">
        <is>
          <t/>
        </is>
      </c>
      <c r="CK165" s="97" t="inlineStr">
        <is>
          <t/>
        </is>
      </c>
      <c r="CL165" s="98" t="inlineStr">
        <is>
          <t/>
        </is>
      </c>
      <c r="CM165" s="99" t="inlineStr">
        <is>
          <t/>
        </is>
      </c>
      <c r="CN165" s="100" t="inlineStr">
        <is>
          <t/>
        </is>
      </c>
      <c r="CO165" s="101" t="inlineStr">
        <is>
          <t/>
        </is>
      </c>
      <c r="CP165" s="102" t="inlineStr">
        <is>
          <t/>
        </is>
      </c>
      <c r="CQ165" s="103" t="inlineStr">
        <is>
          <t/>
        </is>
      </c>
      <c r="CR165" s="104" t="inlineStr">
        <is>
          <t/>
        </is>
      </c>
      <c r="CS165" s="105" t="inlineStr">
        <is>
          <t/>
        </is>
      </c>
      <c r="CT165" s="106" t="inlineStr">
        <is>
          <t/>
        </is>
      </c>
      <c r="CU165" s="107" t="inlineStr">
        <is>
          <t/>
        </is>
      </c>
      <c r="CV165" s="108" t="inlineStr">
        <is>
          <t/>
        </is>
      </c>
      <c r="CW165" s="109" t="inlineStr">
        <is>
          <t/>
        </is>
      </c>
      <c r="CX165" s="110" t="inlineStr">
        <is>
          <t/>
        </is>
      </c>
      <c r="CY165" s="111" t="inlineStr">
        <is>
          <t/>
        </is>
      </c>
      <c r="CZ165" s="112" t="inlineStr">
        <is>
          <t/>
        </is>
      </c>
      <c r="DA165" s="113" t="inlineStr">
        <is>
          <t/>
        </is>
      </c>
      <c r="DB165" s="114" t="inlineStr">
        <is>
          <t/>
        </is>
      </c>
      <c r="DC165" s="115" t="inlineStr">
        <is>
          <t/>
        </is>
      </c>
      <c r="DD165" s="116" t="inlineStr">
        <is>
          <t/>
        </is>
      </c>
      <c r="DE165" s="117" t="inlineStr">
        <is>
          <t/>
        </is>
      </c>
      <c r="DF165" s="118" t="inlineStr">
        <is>
          <t/>
        </is>
      </c>
      <c r="DG165" s="119" t="inlineStr">
        <is>
          <t/>
        </is>
      </c>
      <c r="DH165" s="120" t="inlineStr">
        <is>
          <t/>
        </is>
      </c>
      <c r="DI165" s="121" t="inlineStr">
        <is>
          <t/>
        </is>
      </c>
      <c r="DJ165" s="122" t="inlineStr">
        <is>
          <t/>
        </is>
      </c>
      <c r="DK165" s="123" t="inlineStr">
        <is>
          <t/>
        </is>
      </c>
      <c r="DL165" s="124" t="inlineStr">
        <is>
          <t/>
        </is>
      </c>
      <c r="DM165" s="125" t="inlineStr">
        <is>
          <t/>
        </is>
      </c>
      <c r="DN165" s="126" t="inlineStr">
        <is>
          <t/>
        </is>
      </c>
      <c r="DO165" s="127" t="inlineStr">
        <is>
          <t/>
        </is>
      </c>
      <c r="DP165" s="128" t="inlineStr">
        <is>
          <t/>
        </is>
      </c>
      <c r="DQ165" s="129" t="inlineStr">
        <is>
          <t/>
        </is>
      </c>
      <c r="DR165" s="130" t="inlineStr">
        <is>
          <t/>
        </is>
      </c>
      <c r="DS165" s="131" t="inlineStr">
        <is>
          <t/>
        </is>
      </c>
      <c r="DT165" s="132" t="inlineStr">
        <is>
          <t/>
        </is>
      </c>
      <c r="DU165" s="133" t="inlineStr">
        <is>
          <t/>
        </is>
      </c>
      <c r="DV165" s="134" t="inlineStr">
        <is>
          <t/>
        </is>
      </c>
      <c r="DW165" s="135" t="inlineStr">
        <is>
          <t/>
        </is>
      </c>
      <c r="DX165" s="136" t="inlineStr">
        <is>
          <t/>
        </is>
      </c>
      <c r="DY165" s="137" t="inlineStr">
        <is>
          <t>PitchBook Research</t>
        </is>
      </c>
      <c r="DZ165" s="785">
        <f>HYPERLINK("https://my.pitchbook.com?c=118667-80", "View company online")</f>
      </c>
    </row>
    <row r="166">
      <c r="A166" s="139" t="inlineStr">
        <is>
          <t>99320-23</t>
        </is>
      </c>
      <c r="B166" s="140" t="inlineStr">
        <is>
          <t>Eternygen</t>
        </is>
      </c>
      <c r="C166" s="141" t="inlineStr">
        <is>
          <t/>
        </is>
      </c>
      <c r="D166" s="142" t="inlineStr">
        <is>
          <t/>
        </is>
      </c>
      <c r="E166" s="143" t="inlineStr">
        <is>
          <t>99320-23</t>
        </is>
      </c>
      <c r="F166" s="144" t="inlineStr">
        <is>
          <t>Developer of a therapy for the treatment metabolic diseases. The company provides a therapy of small molecule inhibitors for dietary-related metabolic diseases by addressing sodium coupled citrate transporter NaCT which is a key regulator of lipid metabolism involved in the pathogenesis of fatty liver, diabetes and obesity.</t>
        </is>
      </c>
      <c r="G166" s="145" t="inlineStr">
        <is>
          <t>Healthcare</t>
        </is>
      </c>
      <c r="H166" s="146" t="inlineStr">
        <is>
          <t>Pharmaceuticals and Biotechnology</t>
        </is>
      </c>
      <c r="I166" s="147" t="inlineStr">
        <is>
          <t>Drug Discovery</t>
        </is>
      </c>
      <c r="J166" s="148" t="inlineStr">
        <is>
          <t>Drug Discovery*; Biotechnology</t>
        </is>
      </c>
      <c r="K166" s="149" t="inlineStr">
        <is>
          <t/>
        </is>
      </c>
      <c r="L166" s="150" t="inlineStr">
        <is>
          <t>Venture Capital-Backed</t>
        </is>
      </c>
      <c r="M166" s="151" t="n">
        <v>8.0</v>
      </c>
      <c r="N166" s="152" t="inlineStr">
        <is>
          <t>Startup</t>
        </is>
      </c>
      <c r="O166" s="153" t="inlineStr">
        <is>
          <t>Privately Held (backing)</t>
        </is>
      </c>
      <c r="P166" s="154" t="inlineStr">
        <is>
          <t>Venture Capital</t>
        </is>
      </c>
      <c r="Q166" s="155" t="inlineStr">
        <is>
          <t>www.eternygen.de</t>
        </is>
      </c>
      <c r="R166" s="156" t="n">
        <v>4.0</v>
      </c>
      <c r="S166" s="157" t="inlineStr">
        <is>
          <t/>
        </is>
      </c>
      <c r="T166" s="158" t="inlineStr">
        <is>
          <t/>
        </is>
      </c>
      <c r="U166" s="159" t="n">
        <v>2012.0</v>
      </c>
      <c r="V166" s="160" t="inlineStr">
        <is>
          <t/>
        </is>
      </c>
      <c r="W166" s="161" t="inlineStr">
        <is>
          <t/>
        </is>
      </c>
      <c r="X166" s="162" t="inlineStr">
        <is>
          <t/>
        </is>
      </c>
      <c r="Y166" s="163" t="inlineStr">
        <is>
          <t/>
        </is>
      </c>
      <c r="Z166" s="164" t="inlineStr">
        <is>
          <t/>
        </is>
      </c>
      <c r="AA166" s="165" t="inlineStr">
        <is>
          <t/>
        </is>
      </c>
      <c r="AB166" s="166" t="inlineStr">
        <is>
          <t/>
        </is>
      </c>
      <c r="AC166" s="167" t="inlineStr">
        <is>
          <t/>
        </is>
      </c>
      <c r="AD166" s="168" t="inlineStr">
        <is>
          <t/>
        </is>
      </c>
      <c r="AE166" s="169" t="inlineStr">
        <is>
          <t>100786-87P</t>
        </is>
      </c>
      <c r="AF166" s="170" t="inlineStr">
        <is>
          <t>Marco Janezic</t>
        </is>
      </c>
      <c r="AG166" s="171" t="inlineStr">
        <is>
          <t>Chief Executive Officer &amp; Co-Founder</t>
        </is>
      </c>
      <c r="AH166" s="172" t="inlineStr">
        <is>
          <t>m.janezic@eternygen.com</t>
        </is>
      </c>
      <c r="AI166" s="173" t="inlineStr">
        <is>
          <t>+49 (0)30 1207 6983 0</t>
        </is>
      </c>
      <c r="AJ166" s="174" t="inlineStr">
        <is>
          <t>Berlin, Germany</t>
        </is>
      </c>
      <c r="AK166" s="175" t="inlineStr">
        <is>
          <t>C/o Bayer CoLaborator (Gebäude S141)</t>
        </is>
      </c>
      <c r="AL166" s="176" t="inlineStr">
        <is>
          <t>Müllerstr. 178</t>
        </is>
      </c>
      <c r="AM166" s="177" t="inlineStr">
        <is>
          <t>Berlin</t>
        </is>
      </c>
      <c r="AN166" s="178" t="inlineStr">
        <is>
          <t/>
        </is>
      </c>
      <c r="AO166" s="179" t="inlineStr">
        <is>
          <t>13353</t>
        </is>
      </c>
      <c r="AP166" s="180" t="inlineStr">
        <is>
          <t>Germany</t>
        </is>
      </c>
      <c r="AQ166" s="181" t="inlineStr">
        <is>
          <t>+49 (0)30 1207 6983 0</t>
        </is>
      </c>
      <c r="AR166" s="182" t="inlineStr">
        <is>
          <t>+49 (0)30 1207 6983 3</t>
        </is>
      </c>
      <c r="AS166" s="183" t="inlineStr">
        <is>
          <t>m.janezic@eternygen.com</t>
        </is>
      </c>
      <c r="AT166" s="184" t="inlineStr">
        <is>
          <t>Europe</t>
        </is>
      </c>
      <c r="AU166" s="185" t="inlineStr">
        <is>
          <t>Western Europe</t>
        </is>
      </c>
      <c r="AV166" s="186" t="inlineStr">
        <is>
          <t>The company raised EUR 8 million of Series A venture funding in a deal led by Epidarex Capital on January 9, 2017. Evotec (Frankfurt Stock Exchange: EVT, TecDAX, ISIN: DE0005664809), IBB Beteiligungsgesellschaft and undisclosed family offices also participated in the round. The company intends to use the to accelerate its small molecule NaCT inhibitors towards the selection of a pre-clinical lead candidate.</t>
        </is>
      </c>
      <c r="AW166" s="187" t="inlineStr">
        <is>
          <t>Epidarex Capital, Evotec, IBB Beteiligungsgesellschaft</t>
        </is>
      </c>
      <c r="AX166" s="188" t="n">
        <v>3.0</v>
      </c>
      <c r="AY166" s="189" t="inlineStr">
        <is>
          <t/>
        </is>
      </c>
      <c r="AZ166" s="190" t="inlineStr">
        <is>
          <t/>
        </is>
      </c>
      <c r="BA166" s="191" t="inlineStr">
        <is>
          <t/>
        </is>
      </c>
      <c r="BB166" s="192" t="inlineStr">
        <is>
          <t>Epidarex Capital (www.epidarex.com), Evotec (www.evotec.com), IBB Beteiligungsgesellschaft (www.ibb-bet.de)</t>
        </is>
      </c>
      <c r="BC166" s="193" t="inlineStr">
        <is>
          <t/>
        </is>
      </c>
      <c r="BD166" s="194" t="inlineStr">
        <is>
          <t/>
        </is>
      </c>
      <c r="BE166" s="195" t="inlineStr">
        <is>
          <t/>
        </is>
      </c>
      <c r="BF166" s="196" t="inlineStr">
        <is>
          <t/>
        </is>
      </c>
      <c r="BG166" s="197" t="n">
        <v>41183.0</v>
      </c>
      <c r="BH166" s="198" t="inlineStr">
        <is>
          <t/>
        </is>
      </c>
      <c r="BI166" s="199" t="inlineStr">
        <is>
          <t/>
        </is>
      </c>
      <c r="BJ166" s="200" t="inlineStr">
        <is>
          <t/>
        </is>
      </c>
      <c r="BK166" s="201" t="inlineStr">
        <is>
          <t/>
        </is>
      </c>
      <c r="BL166" s="202" t="inlineStr">
        <is>
          <t>Seed Round</t>
        </is>
      </c>
      <c r="BM166" s="203" t="inlineStr">
        <is>
          <t>Seed</t>
        </is>
      </c>
      <c r="BN166" s="204" t="inlineStr">
        <is>
          <t/>
        </is>
      </c>
      <c r="BO166" s="205" t="inlineStr">
        <is>
          <t>Venture Capital</t>
        </is>
      </c>
      <c r="BP166" s="206" t="inlineStr">
        <is>
          <t/>
        </is>
      </c>
      <c r="BQ166" s="207" t="inlineStr">
        <is>
          <t/>
        </is>
      </c>
      <c r="BR166" s="208" t="inlineStr">
        <is>
          <t/>
        </is>
      </c>
      <c r="BS166" s="209" t="inlineStr">
        <is>
          <t>Completed</t>
        </is>
      </c>
      <c r="BT166" s="210" t="n">
        <v>42744.0</v>
      </c>
      <c r="BU166" s="211" t="n">
        <v>8.0</v>
      </c>
      <c r="BV166" s="212" t="inlineStr">
        <is>
          <t>Actual</t>
        </is>
      </c>
      <c r="BW166" s="213" t="inlineStr">
        <is>
          <t/>
        </is>
      </c>
      <c r="BX166" s="214" t="inlineStr">
        <is>
          <t/>
        </is>
      </c>
      <c r="BY166" s="215" t="inlineStr">
        <is>
          <t>Early Stage VC</t>
        </is>
      </c>
      <c r="BZ166" s="216" t="inlineStr">
        <is>
          <t>Series A</t>
        </is>
      </c>
      <c r="CA166" s="217" t="inlineStr">
        <is>
          <t/>
        </is>
      </c>
      <c r="CB166" s="218" t="inlineStr">
        <is>
          <t>Venture Capital</t>
        </is>
      </c>
      <c r="CC166" s="219" t="inlineStr">
        <is>
          <t/>
        </is>
      </c>
      <c r="CD166" s="220" t="inlineStr">
        <is>
          <t/>
        </is>
      </c>
      <c r="CE166" s="221" t="inlineStr">
        <is>
          <t/>
        </is>
      </c>
      <c r="CF166" s="222" t="inlineStr">
        <is>
          <t>Completed</t>
        </is>
      </c>
      <c r="CG166" s="223" t="inlineStr">
        <is>
          <t/>
        </is>
      </c>
      <c r="CH166" s="224" t="inlineStr">
        <is>
          <t/>
        </is>
      </c>
      <c r="CI166" s="225" t="inlineStr">
        <is>
          <t/>
        </is>
      </c>
      <c r="CJ166" s="226" t="inlineStr">
        <is>
          <t/>
        </is>
      </c>
      <c r="CK166" s="227" t="inlineStr">
        <is>
          <t/>
        </is>
      </c>
      <c r="CL166" s="228" t="inlineStr">
        <is>
          <t/>
        </is>
      </c>
      <c r="CM166" s="229" t="inlineStr">
        <is>
          <t/>
        </is>
      </c>
      <c r="CN166" s="230" t="inlineStr">
        <is>
          <t/>
        </is>
      </c>
      <c r="CO166" s="231" t="inlineStr">
        <is>
          <t/>
        </is>
      </c>
      <c r="CP166" s="232" t="inlineStr">
        <is>
          <t/>
        </is>
      </c>
      <c r="CQ166" s="233" t="inlineStr">
        <is>
          <t/>
        </is>
      </c>
      <c r="CR166" s="234" t="inlineStr">
        <is>
          <t/>
        </is>
      </c>
      <c r="CS166" s="235" t="inlineStr">
        <is>
          <t/>
        </is>
      </c>
      <c r="CT166" s="236" t="inlineStr">
        <is>
          <t/>
        </is>
      </c>
      <c r="CU166" s="237" t="inlineStr">
        <is>
          <t/>
        </is>
      </c>
      <c r="CV166" s="238" t="inlineStr">
        <is>
          <t/>
        </is>
      </c>
      <c r="CW166" s="239" t="inlineStr">
        <is>
          <t/>
        </is>
      </c>
      <c r="CX166" s="240" t="inlineStr">
        <is>
          <t/>
        </is>
      </c>
      <c r="CY166" s="241" t="inlineStr">
        <is>
          <t/>
        </is>
      </c>
      <c r="CZ166" s="242" t="inlineStr">
        <is>
          <t/>
        </is>
      </c>
      <c r="DA166" s="243" t="inlineStr">
        <is>
          <t/>
        </is>
      </c>
      <c r="DB166" s="244" t="inlineStr">
        <is>
          <t/>
        </is>
      </c>
      <c r="DC166" s="245" t="inlineStr">
        <is>
          <t/>
        </is>
      </c>
      <c r="DD166" s="246" t="inlineStr">
        <is>
          <t/>
        </is>
      </c>
      <c r="DE166" s="247" t="inlineStr">
        <is>
          <t/>
        </is>
      </c>
      <c r="DF166" s="248" t="inlineStr">
        <is>
          <t/>
        </is>
      </c>
      <c r="DG166" s="249" t="inlineStr">
        <is>
          <t/>
        </is>
      </c>
      <c r="DH166" s="250" t="inlineStr">
        <is>
          <t/>
        </is>
      </c>
      <c r="DI166" s="251" t="inlineStr">
        <is>
          <t/>
        </is>
      </c>
      <c r="DJ166" s="252" t="inlineStr">
        <is>
          <t/>
        </is>
      </c>
      <c r="DK166" s="253" t="inlineStr">
        <is>
          <t/>
        </is>
      </c>
      <c r="DL166" s="254" t="inlineStr">
        <is>
          <t/>
        </is>
      </c>
      <c r="DM166" s="255" t="inlineStr">
        <is>
          <t/>
        </is>
      </c>
      <c r="DN166" s="256" t="inlineStr">
        <is>
          <t/>
        </is>
      </c>
      <c r="DO166" s="257" t="inlineStr">
        <is>
          <t/>
        </is>
      </c>
      <c r="DP166" s="258" t="inlineStr">
        <is>
          <t/>
        </is>
      </c>
      <c r="DQ166" s="259" t="inlineStr">
        <is>
          <t/>
        </is>
      </c>
      <c r="DR166" s="260" t="inlineStr">
        <is>
          <t/>
        </is>
      </c>
      <c r="DS166" s="261" t="inlineStr">
        <is>
          <t/>
        </is>
      </c>
      <c r="DT166" s="262" t="inlineStr">
        <is>
          <t/>
        </is>
      </c>
      <c r="DU166" s="263" t="inlineStr">
        <is>
          <t/>
        </is>
      </c>
      <c r="DV166" s="264" t="inlineStr">
        <is>
          <t/>
        </is>
      </c>
      <c r="DW166" s="265" t="inlineStr">
        <is>
          <t/>
        </is>
      </c>
      <c r="DX166" s="266" t="inlineStr">
        <is>
          <t/>
        </is>
      </c>
      <c r="DY166" s="267" t="inlineStr">
        <is>
          <t>PitchBook Research</t>
        </is>
      </c>
      <c r="DZ166" s="786">
        <f>HYPERLINK("https://my.pitchbook.com?c=99320-23", "View company online")</f>
      </c>
    </row>
    <row r="167">
      <c r="A167" s="9" t="inlineStr">
        <is>
          <t>97662-70</t>
        </is>
      </c>
      <c r="B167" s="10" t="inlineStr">
        <is>
          <t>Ethereum</t>
        </is>
      </c>
      <c r="C167" s="11" t="inlineStr">
        <is>
          <t/>
        </is>
      </c>
      <c r="D167" s="12" t="inlineStr">
        <is>
          <t/>
        </is>
      </c>
      <c r="E167" s="13" t="inlineStr">
        <is>
          <t>97662-70</t>
        </is>
      </c>
      <c r="F167" s="14" t="inlineStr">
        <is>
          <t>Developer and provider of a programming language platform. The company makes it possible for developers to build and publish next-generation decentralized applications.</t>
        </is>
      </c>
      <c r="G167" s="15" t="inlineStr">
        <is>
          <t>Information Technology</t>
        </is>
      </c>
      <c r="H167" s="16" t="inlineStr">
        <is>
          <t>Software</t>
        </is>
      </c>
      <c r="I167" s="17" t="inlineStr">
        <is>
          <t>Database Software</t>
        </is>
      </c>
      <c r="J167" s="18" t="inlineStr">
        <is>
          <t>Database Software*; Social/Platform Software</t>
        </is>
      </c>
      <c r="K167" s="19" t="inlineStr">
        <is>
          <t/>
        </is>
      </c>
      <c r="L167" s="20" t="inlineStr">
        <is>
          <t>Venture Capital-Backed</t>
        </is>
      </c>
      <c r="M167" s="21" t="n">
        <v>11.62</v>
      </c>
      <c r="N167" s="22" t="inlineStr">
        <is>
          <t>Startup</t>
        </is>
      </c>
      <c r="O167" s="23" t="inlineStr">
        <is>
          <t>Privately Held (backing)</t>
        </is>
      </c>
      <c r="P167" s="24" t="inlineStr">
        <is>
          <t>Venture Capital</t>
        </is>
      </c>
      <c r="Q167" s="25" t="inlineStr">
        <is>
          <t>www.ethereum.org</t>
        </is>
      </c>
      <c r="R167" s="26" t="n">
        <v>57.0</v>
      </c>
      <c r="S167" s="27" t="inlineStr">
        <is>
          <t/>
        </is>
      </c>
      <c r="T167" s="28" t="inlineStr">
        <is>
          <t/>
        </is>
      </c>
      <c r="U167" s="29" t="n">
        <v>2014.0</v>
      </c>
      <c r="V167" s="30" t="inlineStr">
        <is>
          <t/>
        </is>
      </c>
      <c r="W167" s="31" t="inlineStr">
        <is>
          <t/>
        </is>
      </c>
      <c r="X167" s="32" t="inlineStr">
        <is>
          <t/>
        </is>
      </c>
      <c r="Y167" s="33" t="inlineStr">
        <is>
          <t/>
        </is>
      </c>
      <c r="Z167" s="34" t="inlineStr">
        <is>
          <t/>
        </is>
      </c>
      <c r="AA167" s="35" t="inlineStr">
        <is>
          <t/>
        </is>
      </c>
      <c r="AB167" s="36" t="inlineStr">
        <is>
          <t/>
        </is>
      </c>
      <c r="AC167" s="37" t="inlineStr">
        <is>
          <t/>
        </is>
      </c>
      <c r="AD167" s="38" t="inlineStr">
        <is>
          <t/>
        </is>
      </c>
      <c r="AE167" s="39" t="inlineStr">
        <is>
          <t>96131-08P</t>
        </is>
      </c>
      <c r="AF167" s="40" t="inlineStr">
        <is>
          <t>Joseph Lubin</t>
        </is>
      </c>
      <c r="AG167" s="41" t="inlineStr">
        <is>
          <t>Co-Founder</t>
        </is>
      </c>
      <c r="AH167" s="42" t="inlineStr">
        <is>
          <t/>
        </is>
      </c>
      <c r="AI167" s="43" t="inlineStr">
        <is>
          <t/>
        </is>
      </c>
      <c r="AJ167" s="44" t="inlineStr">
        <is>
          <t>Baar, Switzerland</t>
        </is>
      </c>
      <c r="AK167" s="45" t="inlineStr">
        <is>
          <t>Grienbachstrasse 55</t>
        </is>
      </c>
      <c r="AL167" s="46" t="inlineStr">
        <is>
          <t>Zug</t>
        </is>
      </c>
      <c r="AM167" s="47" t="inlineStr">
        <is>
          <t>Baar</t>
        </is>
      </c>
      <c r="AN167" s="48" t="inlineStr">
        <is>
          <t/>
        </is>
      </c>
      <c r="AO167" s="49" t="inlineStr">
        <is>
          <t>6340</t>
        </is>
      </c>
      <c r="AP167" s="50" t="inlineStr">
        <is>
          <t>Switzerland</t>
        </is>
      </c>
      <c r="AQ167" s="51" t="inlineStr">
        <is>
          <t/>
        </is>
      </c>
      <c r="AR167" s="52" t="inlineStr">
        <is>
          <t/>
        </is>
      </c>
      <c r="AS167" s="53" t="inlineStr">
        <is>
          <t>info@ethereum.org</t>
        </is>
      </c>
      <c r="AT167" s="54" t="inlineStr">
        <is>
          <t>Europe</t>
        </is>
      </c>
      <c r="AU167" s="55" t="inlineStr">
        <is>
          <t>Western Europe</t>
        </is>
      </c>
      <c r="AV167" s="56" t="inlineStr">
        <is>
          <t>The company raised $15 million of venture funding via undisclosed crowdfunding platform on September 10, 2014. Yushan Ventures and other undisclosed investors participated in the round.</t>
        </is>
      </c>
      <c r="AW167" s="57" t="inlineStr">
        <is>
          <t>Yushan Ventures</t>
        </is>
      </c>
      <c r="AX167" s="58" t="n">
        <v>1.0</v>
      </c>
      <c r="AY167" s="59" t="inlineStr">
        <is>
          <t/>
        </is>
      </c>
      <c r="AZ167" s="60" t="inlineStr">
        <is>
          <t/>
        </is>
      </c>
      <c r="BA167" s="61" t="inlineStr">
        <is>
          <t/>
        </is>
      </c>
      <c r="BB167" s="62" t="inlineStr">
        <is>
          <t>Yushan Ventures (www.yushanventures.com)</t>
        </is>
      </c>
      <c r="BC167" s="63" t="inlineStr">
        <is>
          <t/>
        </is>
      </c>
      <c r="BD167" s="64" t="inlineStr">
        <is>
          <t/>
        </is>
      </c>
      <c r="BE167" s="65" t="inlineStr">
        <is>
          <t/>
        </is>
      </c>
      <c r="BF167" s="66" t="inlineStr">
        <is>
          <t/>
        </is>
      </c>
      <c r="BG167" s="67" t="n">
        <v>41892.0</v>
      </c>
      <c r="BH167" s="68" t="n">
        <v>11.62</v>
      </c>
      <c r="BI167" s="69" t="inlineStr">
        <is>
          <t>Actual</t>
        </is>
      </c>
      <c r="BJ167" s="70" t="inlineStr">
        <is>
          <t/>
        </is>
      </c>
      <c r="BK167" s="71" t="inlineStr">
        <is>
          <t/>
        </is>
      </c>
      <c r="BL167" s="72" t="inlineStr">
        <is>
          <t>Early Stage VC</t>
        </is>
      </c>
      <c r="BM167" s="73" t="inlineStr">
        <is>
          <t/>
        </is>
      </c>
      <c r="BN167" s="74" t="inlineStr">
        <is>
          <t/>
        </is>
      </c>
      <c r="BO167" s="75" t="inlineStr">
        <is>
          <t>Venture Capital</t>
        </is>
      </c>
      <c r="BP167" s="76" t="inlineStr">
        <is>
          <t/>
        </is>
      </c>
      <c r="BQ167" s="77" t="inlineStr">
        <is>
          <t/>
        </is>
      </c>
      <c r="BR167" s="78" t="inlineStr">
        <is>
          <t/>
        </is>
      </c>
      <c r="BS167" s="79" t="inlineStr">
        <is>
          <t>Completed</t>
        </is>
      </c>
      <c r="BT167" s="80" t="n">
        <v>41892.0</v>
      </c>
      <c r="BU167" s="81" t="n">
        <v>11.62</v>
      </c>
      <c r="BV167" s="82" t="inlineStr">
        <is>
          <t>Actual</t>
        </is>
      </c>
      <c r="BW167" s="83" t="inlineStr">
        <is>
          <t/>
        </is>
      </c>
      <c r="BX167" s="84" t="inlineStr">
        <is>
          <t/>
        </is>
      </c>
      <c r="BY167" s="85" t="inlineStr">
        <is>
          <t>Early Stage VC</t>
        </is>
      </c>
      <c r="BZ167" s="86" t="inlineStr">
        <is>
          <t/>
        </is>
      </c>
      <c r="CA167" s="87" t="inlineStr">
        <is>
          <t/>
        </is>
      </c>
      <c r="CB167" s="88" t="inlineStr">
        <is>
          <t>Venture Capital</t>
        </is>
      </c>
      <c r="CC167" s="89" t="inlineStr">
        <is>
          <t/>
        </is>
      </c>
      <c r="CD167" s="90" t="inlineStr">
        <is>
          <t/>
        </is>
      </c>
      <c r="CE167" s="91" t="inlineStr">
        <is>
          <t/>
        </is>
      </c>
      <c r="CF167" s="92" t="inlineStr">
        <is>
          <t>Completed</t>
        </is>
      </c>
      <c r="CG167" s="93" t="inlineStr">
        <is>
          <t>0,17%</t>
        </is>
      </c>
      <c r="CH167" s="94" t="inlineStr">
        <is>
          <t>77</t>
        </is>
      </c>
      <c r="CI167" s="95" t="inlineStr">
        <is>
          <t>0,00%</t>
        </is>
      </c>
      <c r="CJ167" s="96" t="inlineStr">
        <is>
          <t>1,76%</t>
        </is>
      </c>
      <c r="CK167" s="97" t="inlineStr">
        <is>
          <t>-2,66%</t>
        </is>
      </c>
      <c r="CL167" s="98" t="inlineStr">
        <is>
          <t>4</t>
        </is>
      </c>
      <c r="CM167" s="99" t="inlineStr">
        <is>
          <t>3,01%</t>
        </is>
      </c>
      <c r="CN167" s="100" t="inlineStr">
        <is>
          <t>99</t>
        </is>
      </c>
      <c r="CO167" s="101" t="inlineStr">
        <is>
          <t>-7,19%</t>
        </is>
      </c>
      <c r="CP167" s="102" t="inlineStr">
        <is>
          <t>4</t>
        </is>
      </c>
      <c r="CQ167" s="103" t="inlineStr">
        <is>
          <t>1,86%</t>
        </is>
      </c>
      <c r="CR167" s="104" t="inlineStr">
        <is>
          <t>91</t>
        </is>
      </c>
      <c r="CS167" s="105" t="inlineStr">
        <is>
          <t>2,53%</t>
        </is>
      </c>
      <c r="CT167" s="106" t="inlineStr">
        <is>
          <t>99</t>
        </is>
      </c>
      <c r="CU167" s="107" t="inlineStr">
        <is>
          <t>3,49%</t>
        </is>
      </c>
      <c r="CV167" s="108" t="inlineStr">
        <is>
          <t>100</t>
        </is>
      </c>
      <c r="CW167" s="109" t="inlineStr">
        <is>
          <t>527,75x</t>
        </is>
      </c>
      <c r="CX167" s="110" t="inlineStr">
        <is>
          <t>100</t>
        </is>
      </c>
      <c r="CY167" s="111" t="inlineStr">
        <is>
          <t>8,14x</t>
        </is>
      </c>
      <c r="CZ167" s="112" t="inlineStr">
        <is>
          <t>1,57%</t>
        </is>
      </c>
      <c r="DA167" s="113" t="inlineStr">
        <is>
          <t>788,86x</t>
        </is>
      </c>
      <c r="DB167" s="114" t="inlineStr">
        <is>
          <t>100</t>
        </is>
      </c>
      <c r="DC167" s="115" t="inlineStr">
        <is>
          <t>266,65x</t>
        </is>
      </c>
      <c r="DD167" s="116" t="inlineStr">
        <is>
          <t>99</t>
        </is>
      </c>
      <c r="DE167" s="117" t="inlineStr">
        <is>
          <t>1.394,08x</t>
        </is>
      </c>
      <c r="DF167" s="118" t="inlineStr">
        <is>
          <t>100</t>
        </is>
      </c>
      <c r="DG167" s="119" t="inlineStr">
        <is>
          <t>183,64x</t>
        </is>
      </c>
      <c r="DH167" s="120" t="inlineStr">
        <is>
          <t>100</t>
        </is>
      </c>
      <c r="DI167" s="121" t="inlineStr">
        <is>
          <t>97,12x</t>
        </is>
      </c>
      <c r="DJ167" s="122" t="inlineStr">
        <is>
          <t>95</t>
        </is>
      </c>
      <c r="DK167" s="123" t="inlineStr">
        <is>
          <t>436,18x</t>
        </is>
      </c>
      <c r="DL167" s="124" t="inlineStr">
        <is>
          <t>100</t>
        </is>
      </c>
      <c r="DM167" s="125" t="inlineStr">
        <is>
          <t>869.338</t>
        </is>
      </c>
      <c r="DN167" s="126" t="inlineStr">
        <is>
          <t>-35.940</t>
        </is>
      </c>
      <c r="DO167" s="127" t="inlineStr">
        <is>
          <t>-3,97%</t>
        </is>
      </c>
      <c r="DP167" s="128" t="inlineStr">
        <is>
          <t>76.914</t>
        </is>
      </c>
      <c r="DQ167" s="129" t="inlineStr">
        <is>
          <t>2.164</t>
        </is>
      </c>
      <c r="DR167" s="130" t="inlineStr">
        <is>
          <t>2,89%</t>
        </is>
      </c>
      <c r="DS167" s="131" t="inlineStr">
        <is>
          <t>6.573</t>
        </is>
      </c>
      <c r="DT167" s="132" t="inlineStr">
        <is>
          <t>97</t>
        </is>
      </c>
      <c r="DU167" s="133" t="inlineStr">
        <is>
          <t>1,50%</t>
        </is>
      </c>
      <c r="DV167" s="134" t="inlineStr">
        <is>
          <t>147.903</t>
        </is>
      </c>
      <c r="DW167" s="135" t="inlineStr">
        <is>
          <t>5.569</t>
        </is>
      </c>
      <c r="DX167" s="136" t="inlineStr">
        <is>
          <t>3,91%</t>
        </is>
      </c>
      <c r="DY167" s="137" t="inlineStr">
        <is>
          <t>PitchBook Research</t>
        </is>
      </c>
      <c r="DZ167" s="785">
        <f>HYPERLINK("https://my.pitchbook.com?c=97662-70", "View company online")</f>
      </c>
    </row>
    <row r="168">
      <c r="A168" s="139" t="inlineStr">
        <is>
          <t>156211-30</t>
        </is>
      </c>
      <c r="B168" s="140" t="inlineStr">
        <is>
          <t>eTheRNA</t>
        </is>
      </c>
      <c r="C168" s="141" t="inlineStr">
        <is>
          <t/>
        </is>
      </c>
      <c r="D168" s="142" t="inlineStr">
        <is>
          <t/>
        </is>
      </c>
      <c r="E168" s="143" t="inlineStr">
        <is>
          <t>156211-30</t>
        </is>
      </c>
      <c r="F168" s="144" t="inlineStr">
        <is>
          <t>Developer of immunotherapies for human immune system. The company provides messenger ribonucleic acid (mRNA) based therapies to help patients fight cancer and infectious diseases.</t>
        </is>
      </c>
      <c r="G168" s="145" t="inlineStr">
        <is>
          <t>Healthcare</t>
        </is>
      </c>
      <c r="H168" s="146" t="inlineStr">
        <is>
          <t>Pharmaceuticals and Biotechnology</t>
        </is>
      </c>
      <c r="I168" s="147" t="inlineStr">
        <is>
          <t>Biotechnology</t>
        </is>
      </c>
      <c r="J168" s="148" t="inlineStr">
        <is>
          <t>Biotechnology*</t>
        </is>
      </c>
      <c r="K168" s="149" t="inlineStr">
        <is>
          <t>Life Sciences, Oncology</t>
        </is>
      </c>
      <c r="L168" s="150" t="inlineStr">
        <is>
          <t>Venture Capital-Backed</t>
        </is>
      </c>
      <c r="M168" s="151" t="n">
        <v>24.0</v>
      </c>
      <c r="N168" s="152" t="inlineStr">
        <is>
          <t>Startup</t>
        </is>
      </c>
      <c r="O168" s="153" t="inlineStr">
        <is>
          <t>Privately Held (backing)</t>
        </is>
      </c>
      <c r="P168" s="154" t="inlineStr">
        <is>
          <t>Venture Capital</t>
        </is>
      </c>
      <c r="Q168" s="155" t="inlineStr">
        <is>
          <t>www.etherna.be</t>
        </is>
      </c>
      <c r="R168" s="156" t="n">
        <v>7.0</v>
      </c>
      <c r="S168" s="157" t="inlineStr">
        <is>
          <t/>
        </is>
      </c>
      <c r="T168" s="158" t="inlineStr">
        <is>
          <t/>
        </is>
      </c>
      <c r="U168" s="159" t="n">
        <v>2013.0</v>
      </c>
      <c r="V168" s="160" t="inlineStr">
        <is>
          <t/>
        </is>
      </c>
      <c r="W168" s="161" t="inlineStr">
        <is>
          <t/>
        </is>
      </c>
      <c r="X168" s="162" t="inlineStr">
        <is>
          <t/>
        </is>
      </c>
      <c r="Y168" s="163" t="inlineStr">
        <is>
          <t/>
        </is>
      </c>
      <c r="Z168" s="164" t="inlineStr">
        <is>
          <t/>
        </is>
      </c>
      <c r="AA168" s="165" t="inlineStr">
        <is>
          <t/>
        </is>
      </c>
      <c r="AB168" s="166" t="inlineStr">
        <is>
          <t/>
        </is>
      </c>
      <c r="AC168" s="167" t="inlineStr">
        <is>
          <t/>
        </is>
      </c>
      <c r="AD168" s="168" t="inlineStr">
        <is>
          <t/>
        </is>
      </c>
      <c r="AE168" s="169" t="inlineStr">
        <is>
          <t>39103-21P</t>
        </is>
      </c>
      <c r="AF168" s="170" t="inlineStr">
        <is>
          <t>Dirk Reyn</t>
        </is>
      </c>
      <c r="AG168" s="171" t="inlineStr">
        <is>
          <t>Chief Executive Officer &amp; Board Member</t>
        </is>
      </c>
      <c r="AH168" s="172" t="inlineStr">
        <is>
          <t>dirk.reyn@etherna.be</t>
        </is>
      </c>
      <c r="AI168" s="173" t="inlineStr">
        <is>
          <t>+32 (0)1 639 60 60</t>
        </is>
      </c>
      <c r="AJ168" s="174" t="inlineStr">
        <is>
          <t>Kortenberg, Belgium</t>
        </is>
      </c>
      <c r="AK168" s="175" t="inlineStr">
        <is>
          <t>Arthur de Coninckstraat 11</t>
        </is>
      </c>
      <c r="AL168" s="176" t="inlineStr">
        <is>
          <t/>
        </is>
      </c>
      <c r="AM168" s="177" t="inlineStr">
        <is>
          <t>Kortenberg</t>
        </is>
      </c>
      <c r="AN168" s="178" t="inlineStr">
        <is>
          <t/>
        </is>
      </c>
      <c r="AO168" s="179" t="inlineStr">
        <is>
          <t>3070</t>
        </is>
      </c>
      <c r="AP168" s="180" t="inlineStr">
        <is>
          <t>Belgium</t>
        </is>
      </c>
      <c r="AQ168" s="181" t="inlineStr">
        <is>
          <t>+32 (0)3 369 17 40</t>
        </is>
      </c>
      <c r="AR168" s="182" t="inlineStr">
        <is>
          <t/>
        </is>
      </c>
      <c r="AS168" s="183" t="inlineStr">
        <is>
          <t>info@etherna.be</t>
        </is>
      </c>
      <c r="AT168" s="184" t="inlineStr">
        <is>
          <t>Europe</t>
        </is>
      </c>
      <c r="AU168" s="185" t="inlineStr">
        <is>
          <t>Western Europe</t>
        </is>
      </c>
      <c r="AV168" s="186" t="inlineStr">
        <is>
          <t>The company raised EUR 24 million of Series A venture funding in a deal led by Life Sciences Partners and Participatiemaatschappij Vlaanderen (PMW)on March 14, 2016. Boehringer Ingelheim Venture Fund, Omega Funds and Fund+ also participated in the round. The company intends to use the funds for its clinical studies based on mRNA-products.</t>
        </is>
      </c>
      <c r="AW168" s="187" t="inlineStr">
        <is>
          <t>Boehringer Ingelheim Venture Fund, Fund+, Life Sciences Partners, Omega Funds, ParticipatieMaatschappij Vlaanderen</t>
        </is>
      </c>
      <c r="AX168" s="188" t="n">
        <v>5.0</v>
      </c>
      <c r="AY168" s="189" t="inlineStr">
        <is>
          <t/>
        </is>
      </c>
      <c r="AZ168" s="190" t="inlineStr">
        <is>
          <t/>
        </is>
      </c>
      <c r="BA168" s="191" t="inlineStr">
        <is>
          <t/>
        </is>
      </c>
      <c r="BB168" s="192" t="inlineStr">
        <is>
          <t>Boehringer Ingelheim Venture Fund (www.boehringer-ingelheim-venture.com), Fund+ (www.fundplus.be), Life Sciences Partners (www.lspvc.com), Omega Funds (www.omegafunds.net), ParticipatieMaatschappij Vlaanderen (www.pmv.eu)</t>
        </is>
      </c>
      <c r="BC168" s="193" t="inlineStr">
        <is>
          <t/>
        </is>
      </c>
      <c r="BD168" s="194" t="inlineStr">
        <is>
          <t/>
        </is>
      </c>
      <c r="BE168" s="195" t="inlineStr">
        <is>
          <t/>
        </is>
      </c>
      <c r="BF168" s="196" t="inlineStr">
        <is>
          <t/>
        </is>
      </c>
      <c r="BG168" s="197" t="n">
        <v>42443.0</v>
      </c>
      <c r="BH168" s="198" t="n">
        <v>24.0</v>
      </c>
      <c r="BI168" s="199" t="inlineStr">
        <is>
          <t>Actual</t>
        </is>
      </c>
      <c r="BJ168" s="200" t="inlineStr">
        <is>
          <t/>
        </is>
      </c>
      <c r="BK168" s="201" t="inlineStr">
        <is>
          <t/>
        </is>
      </c>
      <c r="BL168" s="202" t="inlineStr">
        <is>
          <t>Early Stage VC</t>
        </is>
      </c>
      <c r="BM168" s="203" t="inlineStr">
        <is>
          <t>Series A</t>
        </is>
      </c>
      <c r="BN168" s="204" t="inlineStr">
        <is>
          <t/>
        </is>
      </c>
      <c r="BO168" s="205" t="inlineStr">
        <is>
          <t>Venture Capital</t>
        </is>
      </c>
      <c r="BP168" s="206" t="inlineStr">
        <is>
          <t/>
        </is>
      </c>
      <c r="BQ168" s="207" t="inlineStr">
        <is>
          <t/>
        </is>
      </c>
      <c r="BR168" s="208" t="inlineStr">
        <is>
          <t/>
        </is>
      </c>
      <c r="BS168" s="209" t="inlineStr">
        <is>
          <t>Completed</t>
        </is>
      </c>
      <c r="BT168" s="210" t="n">
        <v>42443.0</v>
      </c>
      <c r="BU168" s="211" t="n">
        <v>24.0</v>
      </c>
      <c r="BV168" s="212" t="inlineStr">
        <is>
          <t>Actual</t>
        </is>
      </c>
      <c r="BW168" s="213" t="inlineStr">
        <is>
          <t/>
        </is>
      </c>
      <c r="BX168" s="214" t="inlineStr">
        <is>
          <t/>
        </is>
      </c>
      <c r="BY168" s="215" t="inlineStr">
        <is>
          <t>Early Stage VC</t>
        </is>
      </c>
      <c r="BZ168" s="216" t="inlineStr">
        <is>
          <t>Series A</t>
        </is>
      </c>
      <c r="CA168" s="217" t="inlineStr">
        <is>
          <t/>
        </is>
      </c>
      <c r="CB168" s="218" t="inlineStr">
        <is>
          <t>Venture Capital</t>
        </is>
      </c>
      <c r="CC168" s="219" t="inlineStr">
        <is>
          <t/>
        </is>
      </c>
      <c r="CD168" s="220" t="inlineStr">
        <is>
          <t/>
        </is>
      </c>
      <c r="CE168" s="221" t="inlineStr">
        <is>
          <t/>
        </is>
      </c>
      <c r="CF168" s="222" t="inlineStr">
        <is>
          <t>Completed</t>
        </is>
      </c>
      <c r="CG168" s="223" t="inlineStr">
        <is>
          <t>0,00%</t>
        </is>
      </c>
      <c r="CH168" s="224" t="inlineStr">
        <is>
          <t>23</t>
        </is>
      </c>
      <c r="CI168" s="225" t="inlineStr">
        <is>
          <t>0,00%</t>
        </is>
      </c>
      <c r="CJ168" s="226" t="inlineStr">
        <is>
          <t>0,00%</t>
        </is>
      </c>
      <c r="CK168" s="227" t="inlineStr">
        <is>
          <t>0,00%</t>
        </is>
      </c>
      <c r="CL168" s="228" t="inlineStr">
        <is>
          <t>18</t>
        </is>
      </c>
      <c r="CM168" s="229" t="inlineStr">
        <is>
          <t/>
        </is>
      </c>
      <c r="CN168" s="230" t="inlineStr">
        <is>
          <t/>
        </is>
      </c>
      <c r="CO168" s="231" t="inlineStr">
        <is>
          <t>0,00%</t>
        </is>
      </c>
      <c r="CP168" s="232" t="inlineStr">
        <is>
          <t>26</t>
        </is>
      </c>
      <c r="CQ168" s="233" t="inlineStr">
        <is>
          <t>0,00%</t>
        </is>
      </c>
      <c r="CR168" s="234" t="inlineStr">
        <is>
          <t>13</t>
        </is>
      </c>
      <c r="CS168" s="235" t="inlineStr">
        <is>
          <t/>
        </is>
      </c>
      <c r="CT168" s="236" t="inlineStr">
        <is>
          <t/>
        </is>
      </c>
      <c r="CU168" s="237" t="inlineStr">
        <is>
          <t/>
        </is>
      </c>
      <c r="CV168" s="238" t="inlineStr">
        <is>
          <t/>
        </is>
      </c>
      <c r="CW168" s="239" t="inlineStr">
        <is>
          <t>1,23x</t>
        </is>
      </c>
      <c r="CX168" s="240" t="inlineStr">
        <is>
          <t>54</t>
        </is>
      </c>
      <c r="CY168" s="241" t="inlineStr">
        <is>
          <t>0,01x</t>
        </is>
      </c>
      <c r="CZ168" s="242" t="inlineStr">
        <is>
          <t>0,46%</t>
        </is>
      </c>
      <c r="DA168" s="243" t="inlineStr">
        <is>
          <t>1,23x</t>
        </is>
      </c>
      <c r="DB168" s="244" t="inlineStr">
        <is>
          <t>56</t>
        </is>
      </c>
      <c r="DC168" s="245" t="inlineStr">
        <is>
          <t/>
        </is>
      </c>
      <c r="DD168" s="246" t="inlineStr">
        <is>
          <t/>
        </is>
      </c>
      <c r="DE168" s="247" t="inlineStr">
        <is>
          <t>1,05x</t>
        </is>
      </c>
      <c r="DF168" s="248" t="inlineStr">
        <is>
          <t>52</t>
        </is>
      </c>
      <c r="DG168" s="249" t="inlineStr">
        <is>
          <t>1,42x</t>
        </is>
      </c>
      <c r="DH168" s="250" t="inlineStr">
        <is>
          <t>57</t>
        </is>
      </c>
      <c r="DI168" s="251" t="inlineStr">
        <is>
          <t/>
        </is>
      </c>
      <c r="DJ168" s="252" t="inlineStr">
        <is>
          <t/>
        </is>
      </c>
      <c r="DK168" s="253" t="inlineStr">
        <is>
          <t/>
        </is>
      </c>
      <c r="DL168" s="254" t="inlineStr">
        <is>
          <t/>
        </is>
      </c>
      <c r="DM168" s="255" t="inlineStr">
        <is>
          <t>639</t>
        </is>
      </c>
      <c r="DN168" s="256" t="inlineStr">
        <is>
          <t>16</t>
        </is>
      </c>
      <c r="DO168" s="257" t="inlineStr">
        <is>
          <t>2,57%</t>
        </is>
      </c>
      <c r="DP168" s="258" t="inlineStr">
        <is>
          <t/>
        </is>
      </c>
      <c r="DQ168" s="259" t="inlineStr">
        <is>
          <t/>
        </is>
      </c>
      <c r="DR168" s="260" t="inlineStr">
        <is>
          <t/>
        </is>
      </c>
      <c r="DS168" s="261" t="inlineStr">
        <is>
          <t>51</t>
        </is>
      </c>
      <c r="DT168" s="262" t="inlineStr">
        <is>
          <t>-1</t>
        </is>
      </c>
      <c r="DU168" s="263" t="inlineStr">
        <is>
          <t>-1,92%</t>
        </is>
      </c>
      <c r="DV168" s="264" t="inlineStr">
        <is>
          <t>79</t>
        </is>
      </c>
      <c r="DW168" s="265" t="inlineStr">
        <is>
          <t>2</t>
        </is>
      </c>
      <c r="DX168" s="266" t="inlineStr">
        <is>
          <t>2,60%</t>
        </is>
      </c>
      <c r="DY168" s="267" t="inlineStr">
        <is>
          <t>PitchBook Research</t>
        </is>
      </c>
      <c r="DZ168" s="786">
        <f>HYPERLINK("https://my.pitchbook.com?c=156211-30", "View company online")</f>
      </c>
    </row>
    <row r="169">
      <c r="A169" s="9" t="inlineStr">
        <is>
          <t>101688-85</t>
        </is>
      </c>
      <c r="B169" s="10" t="inlineStr">
        <is>
          <t>Eversports</t>
        </is>
      </c>
      <c r="C169" s="11" t="inlineStr">
        <is>
          <t>Eversport</t>
        </is>
      </c>
      <c r="D169" s="12" t="inlineStr">
        <is>
          <t/>
        </is>
      </c>
      <c r="E169" s="13" t="inlineStr">
        <is>
          <t>101688-85</t>
        </is>
      </c>
      <c r="F169" s="14" t="inlineStr">
        <is>
          <t>Provider of a sports facility booking platform intended to discover favorite sports. The company's sports facility booking platform is offered for athletes to search for and book sports facilities in their area, such as football pitches, tennis courts and bowling alleys, enabling users to find, book and pay for sporting offers.</t>
        </is>
      </c>
      <c r="G169" s="15" t="inlineStr">
        <is>
          <t>Consumer Products and Services (B2C)</t>
        </is>
      </c>
      <c r="H169" s="16" t="inlineStr">
        <is>
          <t>Media</t>
        </is>
      </c>
      <c r="I169" s="17" t="inlineStr">
        <is>
          <t>Information Services (B2C)</t>
        </is>
      </c>
      <c r="J169" s="18" t="inlineStr">
        <is>
          <t>Information Services (B2C)*; Social/Platform Software</t>
        </is>
      </c>
      <c r="K169" s="19" t="inlineStr">
        <is>
          <t>Mobile</t>
        </is>
      </c>
      <c r="L169" s="20" t="inlineStr">
        <is>
          <t>Venture Capital-Backed</t>
        </is>
      </c>
      <c r="M169" s="21" t="n">
        <v>7.84</v>
      </c>
      <c r="N169" s="22" t="inlineStr">
        <is>
          <t>Generating Revenue</t>
        </is>
      </c>
      <c r="O169" s="23" t="inlineStr">
        <is>
          <t>Privately Held (backing)</t>
        </is>
      </c>
      <c r="P169" s="24" t="inlineStr">
        <is>
          <t>Venture Capital</t>
        </is>
      </c>
      <c r="Q169" s="25" t="inlineStr">
        <is>
          <t>www.eversports.at</t>
        </is>
      </c>
      <c r="R169" s="26" t="n">
        <v>27.0</v>
      </c>
      <c r="S169" s="27" t="inlineStr">
        <is>
          <t/>
        </is>
      </c>
      <c r="T169" s="28" t="inlineStr">
        <is>
          <t/>
        </is>
      </c>
      <c r="U169" s="29" t="n">
        <v>2013.0</v>
      </c>
      <c r="V169" s="30" t="inlineStr">
        <is>
          <t/>
        </is>
      </c>
      <c r="W169" s="31" t="inlineStr">
        <is>
          <t/>
        </is>
      </c>
      <c r="X169" s="32" t="inlineStr">
        <is>
          <t/>
        </is>
      </c>
      <c r="Y169" s="33" t="inlineStr">
        <is>
          <t/>
        </is>
      </c>
      <c r="Z169" s="34" t="inlineStr">
        <is>
          <t/>
        </is>
      </c>
      <c r="AA169" s="35" t="inlineStr">
        <is>
          <t/>
        </is>
      </c>
      <c r="AB169" s="36" t="inlineStr">
        <is>
          <t/>
        </is>
      </c>
      <c r="AC169" s="37" t="inlineStr">
        <is>
          <t/>
        </is>
      </c>
      <c r="AD169" s="38" t="inlineStr">
        <is>
          <t/>
        </is>
      </c>
      <c r="AE169" s="39" t="inlineStr">
        <is>
          <t>168640-21P</t>
        </is>
      </c>
      <c r="AF169" s="40" t="inlineStr">
        <is>
          <t>Philipp Braunsberger</t>
        </is>
      </c>
      <c r="AG169" s="41" t="inlineStr">
        <is>
          <t>Chief Financial Officer</t>
        </is>
      </c>
      <c r="AH169" s="42" t="inlineStr">
        <is>
          <t>philipp@eversports.com</t>
        </is>
      </c>
      <c r="AI169" s="43" t="inlineStr">
        <is>
          <t>+43 (0)6 607 0050 41</t>
        </is>
      </c>
      <c r="AJ169" s="44" t="inlineStr">
        <is>
          <t>Vienna, Austria</t>
        </is>
      </c>
      <c r="AK169" s="45" t="inlineStr">
        <is>
          <t>Kauerhof 1-4</t>
        </is>
      </c>
      <c r="AL169" s="46" t="inlineStr">
        <is>
          <t>Top 4</t>
        </is>
      </c>
      <c r="AM169" s="47" t="inlineStr">
        <is>
          <t>Vienna</t>
        </is>
      </c>
      <c r="AN169" s="48" t="inlineStr">
        <is>
          <t/>
        </is>
      </c>
      <c r="AO169" s="49" t="inlineStr">
        <is>
          <t>1150</t>
        </is>
      </c>
      <c r="AP169" s="50" t="inlineStr">
        <is>
          <t>Austria</t>
        </is>
      </c>
      <c r="AQ169" s="51" t="inlineStr">
        <is>
          <t>+43 (0)6 607 0050 41</t>
        </is>
      </c>
      <c r="AR169" s="52" t="inlineStr">
        <is>
          <t/>
        </is>
      </c>
      <c r="AS169" s="53" t="inlineStr">
        <is>
          <t/>
        </is>
      </c>
      <c r="AT169" s="54" t="inlineStr">
        <is>
          <t>Europe</t>
        </is>
      </c>
      <c r="AU169" s="55" t="inlineStr">
        <is>
          <t>Western Europe</t>
        </is>
      </c>
      <c r="AV169" s="56" t="inlineStr">
        <is>
          <t>The company closed on EUR 2.2 million of convertible debt financing from Point Nine Capital, Gerbig Ventures, RTAVentures on August 9, 2017. Rheingau Founders, Marcin Kurek, Kai Hansen, Louis Pfitzner and Jörg Gerbig also participated in this round. Out of EUR 2.2 million the company received debt financing of EUR 1.2 million from Austria Wirtschaftsservice. Earlier, the company raised EUR 800,000 of venture funding from RTAventures VC, Point Nine Capital and Marcel Beemsterboer on May 31, 2016. The company is being actively tracked by PitchBook.</t>
        </is>
      </c>
      <c r="AW169" s="57" t="inlineStr">
        <is>
          <t>Christian Reber, Gerbig Ventures, INiTS Gründerservice, Jörg Gerbig, Kai Hansen, Louis Pfitzner, Marcel Beemsterboer, Marcin Kurek, Martin Egger, Philipp Kinsky, Point Nine Capital, Rheingau Founders, RTAventures, Techstars, Third Wave Ventures, Trend Consulting</t>
        </is>
      </c>
      <c r="AX169" s="58" t="n">
        <v>16.0</v>
      </c>
      <c r="AY169" s="59" t="inlineStr">
        <is>
          <t/>
        </is>
      </c>
      <c r="AZ169" s="60" t="inlineStr">
        <is>
          <t/>
        </is>
      </c>
      <c r="BA169" s="61" t="inlineStr">
        <is>
          <t/>
        </is>
      </c>
      <c r="BB169" s="62" t="inlineStr">
        <is>
          <t>INiTS Gründerservice (www.inits.at), Point Nine Capital (www.pointninecap.com), Rheingau Founders (www.rheingau-founders.com), RTAventures (www.rtaventures.com), Techstars (www.techstars.com), Third Wave Ventures (www.thirdwaveventures.com), Trend Consulting (www.trend-consulting.com)</t>
        </is>
      </c>
      <c r="BC169" s="63" t="inlineStr">
        <is>
          <t/>
        </is>
      </c>
      <c r="BD169" s="64" t="inlineStr">
        <is>
          <t/>
        </is>
      </c>
      <c r="BE169" s="65" t="inlineStr">
        <is>
          <t/>
        </is>
      </c>
      <c r="BF169" s="66" t="inlineStr">
        <is>
          <t>Austria Wirtschaftsservice</t>
        </is>
      </c>
      <c r="BG169" s="67" t="n">
        <v>41897.0</v>
      </c>
      <c r="BH169" s="68" t="n">
        <v>0.06</v>
      </c>
      <c r="BI169" s="69" t="inlineStr">
        <is>
          <t>Actual</t>
        </is>
      </c>
      <c r="BJ169" s="70" t="inlineStr">
        <is>
          <t/>
        </is>
      </c>
      <c r="BK169" s="71" t="inlineStr">
        <is>
          <t/>
        </is>
      </c>
      <c r="BL169" s="72" t="inlineStr">
        <is>
          <t>Seed Round</t>
        </is>
      </c>
      <c r="BM169" s="73" t="inlineStr">
        <is>
          <t>Seed</t>
        </is>
      </c>
      <c r="BN169" s="74" t="inlineStr">
        <is>
          <t/>
        </is>
      </c>
      <c r="BO169" s="75" t="inlineStr">
        <is>
          <t>Venture Capital</t>
        </is>
      </c>
      <c r="BP169" s="76" t="inlineStr">
        <is>
          <t/>
        </is>
      </c>
      <c r="BQ169" s="77" t="inlineStr">
        <is>
          <t/>
        </is>
      </c>
      <c r="BR169" s="78" t="inlineStr">
        <is>
          <t/>
        </is>
      </c>
      <c r="BS169" s="79" t="inlineStr">
        <is>
          <t>Completed</t>
        </is>
      </c>
      <c r="BT169" s="80" t="n">
        <v>42956.0</v>
      </c>
      <c r="BU169" s="81" t="n">
        <v>2.2</v>
      </c>
      <c r="BV169" s="82" t="inlineStr">
        <is>
          <t>Actual</t>
        </is>
      </c>
      <c r="BW169" s="83" t="inlineStr">
        <is>
          <t/>
        </is>
      </c>
      <c r="BX169" s="84" t="inlineStr">
        <is>
          <t/>
        </is>
      </c>
      <c r="BY169" s="85" t="inlineStr">
        <is>
          <t>Early Stage VC</t>
        </is>
      </c>
      <c r="BZ169" s="86" t="inlineStr">
        <is>
          <t/>
        </is>
      </c>
      <c r="CA169" s="87" t="inlineStr">
        <is>
          <t/>
        </is>
      </c>
      <c r="CB169" s="88" t="inlineStr">
        <is>
          <t>Venture Capital</t>
        </is>
      </c>
      <c r="CC169" s="89" t="inlineStr">
        <is>
          <t>Other Debt</t>
        </is>
      </c>
      <c r="CD169" s="90" t="inlineStr">
        <is>
          <t/>
        </is>
      </c>
      <c r="CE169" s="91" t="inlineStr">
        <is>
          <t/>
        </is>
      </c>
      <c r="CF169" s="92" t="inlineStr">
        <is>
          <t>Announced/In Progress</t>
        </is>
      </c>
      <c r="CG169" s="93" t="inlineStr">
        <is>
          <t>1,04%</t>
        </is>
      </c>
      <c r="CH169" s="94" t="inlineStr">
        <is>
          <t>89</t>
        </is>
      </c>
      <c r="CI169" s="95" t="inlineStr">
        <is>
          <t>0,00%</t>
        </is>
      </c>
      <c r="CJ169" s="96" t="inlineStr">
        <is>
          <t>0,26%</t>
        </is>
      </c>
      <c r="CK169" s="97" t="inlineStr">
        <is>
          <t>2,06%</t>
        </is>
      </c>
      <c r="CL169" s="98" t="inlineStr">
        <is>
          <t>91</t>
        </is>
      </c>
      <c r="CM169" s="99" t="inlineStr">
        <is>
          <t>0,01%</t>
        </is>
      </c>
      <c r="CN169" s="100" t="inlineStr">
        <is>
          <t>44</t>
        </is>
      </c>
      <c r="CO169" s="101" t="inlineStr">
        <is>
          <t>2,06%</t>
        </is>
      </c>
      <c r="CP169" s="102" t="inlineStr">
        <is>
          <t>89</t>
        </is>
      </c>
      <c r="CQ169" s="103" t="inlineStr">
        <is>
          <t/>
        </is>
      </c>
      <c r="CR169" s="104" t="inlineStr">
        <is>
          <t/>
        </is>
      </c>
      <c r="CS169" s="105" t="inlineStr">
        <is>
          <t>0,02%</t>
        </is>
      </c>
      <c r="CT169" s="106" t="inlineStr">
        <is>
          <t>43</t>
        </is>
      </c>
      <c r="CU169" s="107" t="inlineStr">
        <is>
          <t>0,00%</t>
        </is>
      </c>
      <c r="CV169" s="108" t="inlineStr">
        <is>
          <t>20</t>
        </is>
      </c>
      <c r="CW169" s="109" t="inlineStr">
        <is>
          <t>14,20x</t>
        </is>
      </c>
      <c r="CX169" s="110" t="inlineStr">
        <is>
          <t>89</t>
        </is>
      </c>
      <c r="CY169" s="111" t="inlineStr">
        <is>
          <t>0,03x</t>
        </is>
      </c>
      <c r="CZ169" s="112" t="inlineStr">
        <is>
          <t>0,22%</t>
        </is>
      </c>
      <c r="DA169" s="113" t="inlineStr">
        <is>
          <t>25,43x</t>
        </is>
      </c>
      <c r="DB169" s="114" t="inlineStr">
        <is>
          <t>94</t>
        </is>
      </c>
      <c r="DC169" s="115" t="inlineStr">
        <is>
          <t>2,96x</t>
        </is>
      </c>
      <c r="DD169" s="116" t="inlineStr">
        <is>
          <t>68</t>
        </is>
      </c>
      <c r="DE169" s="117" t="inlineStr">
        <is>
          <t>25,43x</t>
        </is>
      </c>
      <c r="DF169" s="118" t="inlineStr">
        <is>
          <t>90</t>
        </is>
      </c>
      <c r="DG169" s="119" t="inlineStr">
        <is>
          <t/>
        </is>
      </c>
      <c r="DH169" s="120" t="inlineStr">
        <is>
          <t/>
        </is>
      </c>
      <c r="DI169" s="121" t="inlineStr">
        <is>
          <t>5,86x</t>
        </is>
      </c>
      <c r="DJ169" s="122" t="inlineStr">
        <is>
          <t>77</t>
        </is>
      </c>
      <c r="DK169" s="123" t="inlineStr">
        <is>
          <t>0,07x</t>
        </is>
      </c>
      <c r="DL169" s="124" t="inlineStr">
        <is>
          <t>14</t>
        </is>
      </c>
      <c r="DM169" s="125" t="inlineStr">
        <is>
          <t>16.067</t>
        </is>
      </c>
      <c r="DN169" s="126" t="inlineStr">
        <is>
          <t>-1.286</t>
        </is>
      </c>
      <c r="DO169" s="127" t="inlineStr">
        <is>
          <t>-7,41%</t>
        </is>
      </c>
      <c r="DP169" s="128" t="inlineStr">
        <is>
          <t>4.681</t>
        </is>
      </c>
      <c r="DQ169" s="129" t="inlineStr">
        <is>
          <t>1</t>
        </is>
      </c>
      <c r="DR169" s="130" t="inlineStr">
        <is>
          <t>0,02%</t>
        </is>
      </c>
      <c r="DS169" s="131" t="inlineStr">
        <is>
          <t/>
        </is>
      </c>
      <c r="DT169" s="132" t="inlineStr">
        <is>
          <t/>
        </is>
      </c>
      <c r="DU169" s="133" t="inlineStr">
        <is>
          <t/>
        </is>
      </c>
      <c r="DV169" s="134" t="inlineStr">
        <is>
          <t>24</t>
        </is>
      </c>
      <c r="DW169" s="135" t="inlineStr">
        <is>
          <t>0</t>
        </is>
      </c>
      <c r="DX169" s="136" t="inlineStr">
        <is>
          <t>0,00%</t>
        </is>
      </c>
      <c r="DY169" s="137" t="inlineStr">
        <is>
          <t>PitchBook Research</t>
        </is>
      </c>
      <c r="DZ169" s="785">
        <f>HYPERLINK("https://my.pitchbook.com?c=101688-85", "View company online")</f>
      </c>
    </row>
    <row r="170">
      <c r="A170" s="139" t="inlineStr">
        <is>
          <t>159094-63</t>
        </is>
      </c>
      <c r="B170" s="140" t="inlineStr">
        <is>
          <t>EvOx Therapeutics</t>
        </is>
      </c>
      <c r="C170" s="141" t="inlineStr">
        <is>
          <t/>
        </is>
      </c>
      <c r="D170" s="142" t="inlineStr">
        <is>
          <t/>
        </is>
      </c>
      <c r="E170" s="143" t="inlineStr">
        <is>
          <t>159094-63</t>
        </is>
      </c>
      <c r="F170" s="144" t="inlineStr">
        <is>
          <t>Developer and provider of exosome-based therapeutics. The company develops therapeutics based on key aspects of EV-based nucleic acid and protein delivery technology by leveraging proprietary targeting technology, manufacturing processes and purification methods.</t>
        </is>
      </c>
      <c r="G170" s="145" t="inlineStr">
        <is>
          <t>Healthcare</t>
        </is>
      </c>
      <c r="H170" s="146" t="inlineStr">
        <is>
          <t>Pharmaceuticals and Biotechnology</t>
        </is>
      </c>
      <c r="I170" s="147" t="inlineStr">
        <is>
          <t>Biotechnology</t>
        </is>
      </c>
      <c r="J170" s="148" t="inlineStr">
        <is>
          <t>Biotechnology*</t>
        </is>
      </c>
      <c r="K170" s="149" t="inlineStr">
        <is>
          <t>Life Sciences, Nanotechnology</t>
        </is>
      </c>
      <c r="L170" s="150" t="inlineStr">
        <is>
          <t>Venture Capital-Backed</t>
        </is>
      </c>
      <c r="M170" s="151" t="n">
        <v>12.97</v>
      </c>
      <c r="N170" s="152" t="inlineStr">
        <is>
          <t>Pre-Clinical Trials</t>
        </is>
      </c>
      <c r="O170" s="153" t="inlineStr">
        <is>
          <t>Privately Held (backing)</t>
        </is>
      </c>
      <c r="P170" s="154" t="inlineStr">
        <is>
          <t>Venture Capital</t>
        </is>
      </c>
      <c r="Q170" s="155" t="inlineStr">
        <is>
          <t>www.evoxtherapeutics.com</t>
        </is>
      </c>
      <c r="R170" s="156" t="n">
        <v>4.0</v>
      </c>
      <c r="S170" s="157" t="inlineStr">
        <is>
          <t/>
        </is>
      </c>
      <c r="T170" s="158" t="inlineStr">
        <is>
          <t/>
        </is>
      </c>
      <c r="U170" s="159" t="n">
        <v>2016.0</v>
      </c>
      <c r="V170" s="160" t="inlineStr">
        <is>
          <t/>
        </is>
      </c>
      <c r="W170" s="161" t="inlineStr">
        <is>
          <t/>
        </is>
      </c>
      <c r="X170" s="162" t="inlineStr">
        <is>
          <t/>
        </is>
      </c>
      <c r="Y170" s="163" t="inlineStr">
        <is>
          <t/>
        </is>
      </c>
      <c r="Z170" s="164" t="inlineStr">
        <is>
          <t/>
        </is>
      </c>
      <c r="AA170" s="165" t="inlineStr">
        <is>
          <t/>
        </is>
      </c>
      <c r="AB170" s="166" t="inlineStr">
        <is>
          <t/>
        </is>
      </c>
      <c r="AC170" s="167" t="inlineStr">
        <is>
          <t/>
        </is>
      </c>
      <c r="AD170" s="168" t="inlineStr">
        <is>
          <t/>
        </is>
      </c>
      <c r="AE170" s="169" t="inlineStr">
        <is>
          <t>135383-95P</t>
        </is>
      </c>
      <c r="AF170" s="170" t="inlineStr">
        <is>
          <t>Per Lundin</t>
        </is>
      </c>
      <c r="AG170" s="171" t="inlineStr">
        <is>
          <t>Co-Founder, Board Member &amp; Chief Operating Officer</t>
        </is>
      </c>
      <c r="AH170" s="172" t="inlineStr">
        <is>
          <t>per.lundin@evoxtherapeutics.com</t>
        </is>
      </c>
      <c r="AI170" s="173" t="inlineStr">
        <is>
          <t>+44 (0)08 6527 2169</t>
        </is>
      </c>
      <c r="AJ170" s="174" t="inlineStr">
        <is>
          <t>Oxford, United Kingdom</t>
        </is>
      </c>
      <c r="AK170" s="175" t="inlineStr">
        <is>
          <t>Weston Library</t>
        </is>
      </c>
      <c r="AL170" s="176" t="inlineStr">
        <is>
          <t>Broad Street Oxford</t>
        </is>
      </c>
      <c r="AM170" s="177" t="inlineStr">
        <is>
          <t>Oxford</t>
        </is>
      </c>
      <c r="AN170" s="178" t="inlineStr">
        <is>
          <t>England</t>
        </is>
      </c>
      <c r="AO170" s="179" t="inlineStr">
        <is>
          <t>OX1 3BG</t>
        </is>
      </c>
      <c r="AP170" s="180" t="inlineStr">
        <is>
          <t>United Kingdom</t>
        </is>
      </c>
      <c r="AQ170" s="181" t="inlineStr">
        <is>
          <t>+44 (0)08 6527 2169</t>
        </is>
      </c>
      <c r="AR170" s="182" t="inlineStr">
        <is>
          <t/>
        </is>
      </c>
      <c r="AS170" s="183" t="inlineStr">
        <is>
          <t>enquiries@evoxtherapeutics.com</t>
        </is>
      </c>
      <c r="AT170" s="184" t="inlineStr">
        <is>
          <t>Europe</t>
        </is>
      </c>
      <c r="AU170" s="185" t="inlineStr">
        <is>
          <t>Western Europe</t>
        </is>
      </c>
      <c r="AV170" s="186" t="inlineStr">
        <is>
          <t>The company raised GBP 10 million of seed funding from Oxford Spin-out Equity Management and Oxford Sciences Innovation on May 10, 2016, putting the pre-money valuation at GBP 4.5 million.</t>
        </is>
      </c>
      <c r="AW170" s="187" t="inlineStr">
        <is>
          <t>Oxford Sciences Innovation, Oxford Spin-out Equity Management</t>
        </is>
      </c>
      <c r="AX170" s="188" t="n">
        <v>2.0</v>
      </c>
      <c r="AY170" s="189" t="inlineStr">
        <is>
          <t/>
        </is>
      </c>
      <c r="AZ170" s="190" t="inlineStr">
        <is>
          <t/>
        </is>
      </c>
      <c r="BA170" s="191" t="inlineStr">
        <is>
          <t/>
        </is>
      </c>
      <c r="BB170" s="192" t="inlineStr">
        <is>
          <t>Oxford Sciences Innovation (www.oxfordsciencesinnovation.com), Oxford Spin-out Equity Management (www.osem.ox.ac.uk)</t>
        </is>
      </c>
      <c r="BC170" s="193" t="inlineStr">
        <is>
          <t/>
        </is>
      </c>
      <c r="BD170" s="194" t="inlineStr">
        <is>
          <t/>
        </is>
      </c>
      <c r="BE170" s="195" t="inlineStr">
        <is>
          <t/>
        </is>
      </c>
      <c r="BF170" s="196" t="inlineStr">
        <is>
          <t/>
        </is>
      </c>
      <c r="BG170" s="197" t="n">
        <v>42500.0</v>
      </c>
      <c r="BH170" s="198" t="n">
        <v>12.97</v>
      </c>
      <c r="BI170" s="199" t="inlineStr">
        <is>
          <t>Actual</t>
        </is>
      </c>
      <c r="BJ170" s="200" t="n">
        <v>18.75</v>
      </c>
      <c r="BK170" s="201" t="inlineStr">
        <is>
          <t>Actual</t>
        </is>
      </c>
      <c r="BL170" s="202" t="inlineStr">
        <is>
          <t>Seed Round</t>
        </is>
      </c>
      <c r="BM170" s="203" t="inlineStr">
        <is>
          <t>Seed</t>
        </is>
      </c>
      <c r="BN170" s="204" t="inlineStr">
        <is>
          <t/>
        </is>
      </c>
      <c r="BO170" s="205" t="inlineStr">
        <is>
          <t>Venture Capital</t>
        </is>
      </c>
      <c r="BP170" s="206" t="inlineStr">
        <is>
          <t/>
        </is>
      </c>
      <c r="BQ170" s="207" t="inlineStr">
        <is>
          <t/>
        </is>
      </c>
      <c r="BR170" s="208" t="inlineStr">
        <is>
          <t/>
        </is>
      </c>
      <c r="BS170" s="209" t="inlineStr">
        <is>
          <t>Completed</t>
        </is>
      </c>
      <c r="BT170" s="210" t="n">
        <v>42500.0</v>
      </c>
      <c r="BU170" s="211" t="n">
        <v>12.97</v>
      </c>
      <c r="BV170" s="212" t="inlineStr">
        <is>
          <t>Actual</t>
        </is>
      </c>
      <c r="BW170" s="213" t="n">
        <v>18.75</v>
      </c>
      <c r="BX170" s="214" t="inlineStr">
        <is>
          <t>Actual</t>
        </is>
      </c>
      <c r="BY170" s="215" t="inlineStr">
        <is>
          <t>Seed Round</t>
        </is>
      </c>
      <c r="BZ170" s="216" t="inlineStr">
        <is>
          <t>Seed</t>
        </is>
      </c>
      <c r="CA170" s="217" t="inlineStr">
        <is>
          <t/>
        </is>
      </c>
      <c r="CB170" s="218" t="inlineStr">
        <is>
          <t>Venture Capital</t>
        </is>
      </c>
      <c r="CC170" s="219" t="inlineStr">
        <is>
          <t/>
        </is>
      </c>
      <c r="CD170" s="220" t="inlineStr">
        <is>
          <t/>
        </is>
      </c>
      <c r="CE170" s="221" t="inlineStr">
        <is>
          <t/>
        </is>
      </c>
      <c r="CF170" s="222" t="inlineStr">
        <is>
          <t>Completed</t>
        </is>
      </c>
      <c r="CG170" s="223" t="inlineStr">
        <is>
          <t>0,00%</t>
        </is>
      </c>
      <c r="CH170" s="224" t="inlineStr">
        <is>
          <t>23</t>
        </is>
      </c>
      <c r="CI170" s="225" t="inlineStr">
        <is>
          <t>0,00%</t>
        </is>
      </c>
      <c r="CJ170" s="226" t="inlineStr">
        <is>
          <t>0,00%</t>
        </is>
      </c>
      <c r="CK170" s="227" t="inlineStr">
        <is>
          <t>0,00%</t>
        </is>
      </c>
      <c r="CL170" s="228" t="inlineStr">
        <is>
          <t>18</t>
        </is>
      </c>
      <c r="CM170" s="229" t="inlineStr">
        <is>
          <t/>
        </is>
      </c>
      <c r="CN170" s="230" t="inlineStr">
        <is>
          <t/>
        </is>
      </c>
      <c r="CO170" s="231" t="inlineStr">
        <is>
          <t>0,00%</t>
        </is>
      </c>
      <c r="CP170" s="232" t="inlineStr">
        <is>
          <t>26</t>
        </is>
      </c>
      <c r="CQ170" s="233" t="inlineStr">
        <is>
          <t/>
        </is>
      </c>
      <c r="CR170" s="234" t="inlineStr">
        <is>
          <t/>
        </is>
      </c>
      <c r="CS170" s="235" t="inlineStr">
        <is>
          <t/>
        </is>
      </c>
      <c r="CT170" s="236" t="inlineStr">
        <is>
          <t/>
        </is>
      </c>
      <c r="CU170" s="237" t="inlineStr">
        <is>
          <t/>
        </is>
      </c>
      <c r="CV170" s="238" t="inlineStr">
        <is>
          <t/>
        </is>
      </c>
      <c r="CW170" s="239" t="inlineStr">
        <is>
          <t>0,20x</t>
        </is>
      </c>
      <c r="CX170" s="240" t="inlineStr">
        <is>
          <t>18</t>
        </is>
      </c>
      <c r="CY170" s="241" t="inlineStr">
        <is>
          <t>0,00x</t>
        </is>
      </c>
      <c r="CZ170" s="242" t="inlineStr">
        <is>
          <t>0,00%</t>
        </is>
      </c>
      <c r="DA170" s="243" t="inlineStr">
        <is>
          <t>0,20x</t>
        </is>
      </c>
      <c r="DB170" s="244" t="inlineStr">
        <is>
          <t>20</t>
        </is>
      </c>
      <c r="DC170" s="245" t="inlineStr">
        <is>
          <t/>
        </is>
      </c>
      <c r="DD170" s="246" t="inlineStr">
        <is>
          <t/>
        </is>
      </c>
      <c r="DE170" s="247" t="inlineStr">
        <is>
          <t>0,20x</t>
        </is>
      </c>
      <c r="DF170" s="248" t="inlineStr">
        <is>
          <t>19</t>
        </is>
      </c>
      <c r="DG170" s="249" t="inlineStr">
        <is>
          <t/>
        </is>
      </c>
      <c r="DH170" s="250" t="inlineStr">
        <is>
          <t/>
        </is>
      </c>
      <c r="DI170" s="251" t="inlineStr">
        <is>
          <t/>
        </is>
      </c>
      <c r="DJ170" s="252" t="inlineStr">
        <is>
          <t/>
        </is>
      </c>
      <c r="DK170" s="253" t="inlineStr">
        <is>
          <t/>
        </is>
      </c>
      <c r="DL170" s="254" t="inlineStr">
        <is>
          <t/>
        </is>
      </c>
      <c r="DM170" s="255" t="inlineStr">
        <is>
          <t>142</t>
        </is>
      </c>
      <c r="DN170" s="256" t="inlineStr">
        <is>
          <t>-49</t>
        </is>
      </c>
      <c r="DO170" s="257" t="inlineStr">
        <is>
          <t>-25,65%</t>
        </is>
      </c>
      <c r="DP170" s="258" t="inlineStr">
        <is>
          <t/>
        </is>
      </c>
      <c r="DQ170" s="259" t="inlineStr">
        <is>
          <t/>
        </is>
      </c>
      <c r="DR170" s="260" t="inlineStr">
        <is>
          <t/>
        </is>
      </c>
      <c r="DS170" s="261" t="inlineStr">
        <is>
          <t/>
        </is>
      </c>
      <c r="DT170" s="262" t="inlineStr">
        <is>
          <t/>
        </is>
      </c>
      <c r="DU170" s="263" t="inlineStr">
        <is>
          <t/>
        </is>
      </c>
      <c r="DV170" s="264" t="inlineStr">
        <is>
          <t/>
        </is>
      </c>
      <c r="DW170" s="265" t="inlineStr">
        <is>
          <t/>
        </is>
      </c>
      <c r="DX170" s="266" t="inlineStr">
        <is>
          <t/>
        </is>
      </c>
      <c r="DY170" s="267" t="inlineStr">
        <is>
          <t>PitchBook Research</t>
        </is>
      </c>
      <c r="DZ170" s="786">
        <f>HYPERLINK("https://my.pitchbook.com?c=159094-63", "View company online")</f>
      </c>
    </row>
    <row r="171">
      <c r="A171" s="9" t="inlineStr">
        <is>
          <t>62353-81</t>
        </is>
      </c>
      <c r="B171" s="10" t="inlineStr">
        <is>
          <t>Exergyn</t>
        </is>
      </c>
      <c r="C171" s="11" t="inlineStr">
        <is>
          <t/>
        </is>
      </c>
      <c r="D171" s="12" t="inlineStr">
        <is>
          <t/>
        </is>
      </c>
      <c r="E171" s="13" t="inlineStr">
        <is>
          <t>62353-81</t>
        </is>
      </c>
      <c r="F171" s="14" t="inlineStr">
        <is>
          <t>Developer of reciprocating technology designed to convert waste heat to electrical power. The company's reciprocating technology uses the waste hot water that is created during the cooling process of manufacturing to generate electricity and can be used to power engines, enabling customers to avail sustainable energy at a cheaper rate.</t>
        </is>
      </c>
      <c r="G171" s="15" t="inlineStr">
        <is>
          <t>Energy</t>
        </is>
      </c>
      <c r="H171" s="16" t="inlineStr">
        <is>
          <t>Exploration, Production and Refining</t>
        </is>
      </c>
      <c r="I171" s="17" t="inlineStr">
        <is>
          <t>Energy Production</t>
        </is>
      </c>
      <c r="J171" s="18" t="inlineStr">
        <is>
          <t>Energy Production*; Alternative Energy Equipment; Other Energy Services</t>
        </is>
      </c>
      <c r="K171" s="19" t="inlineStr">
        <is>
          <t>CleanTech, Manufacturing</t>
        </is>
      </c>
      <c r="L171" s="20" t="inlineStr">
        <is>
          <t>Venture Capital-Backed</t>
        </is>
      </c>
      <c r="M171" s="21" t="n">
        <v>7.25</v>
      </c>
      <c r="N171" s="22" t="inlineStr">
        <is>
          <t>Startup</t>
        </is>
      </c>
      <c r="O171" s="23" t="inlineStr">
        <is>
          <t>Privately Held (backing)</t>
        </is>
      </c>
      <c r="P171" s="24" t="inlineStr">
        <is>
          <t>Venture Capital</t>
        </is>
      </c>
      <c r="Q171" s="25" t="inlineStr">
        <is>
          <t>www.exergyn.com</t>
        </is>
      </c>
      <c r="R171" s="26" t="n">
        <v>13.0</v>
      </c>
      <c r="S171" s="27" t="inlineStr">
        <is>
          <t/>
        </is>
      </c>
      <c r="T171" s="28" t="inlineStr">
        <is>
          <t/>
        </is>
      </c>
      <c r="U171" s="29" t="n">
        <v>2012.0</v>
      </c>
      <c r="V171" s="30" t="inlineStr">
        <is>
          <t/>
        </is>
      </c>
      <c r="W171" s="31" t="inlineStr">
        <is>
          <t/>
        </is>
      </c>
      <c r="X171" s="32" t="inlineStr">
        <is>
          <t/>
        </is>
      </c>
      <c r="Y171" s="33" t="inlineStr">
        <is>
          <t/>
        </is>
      </c>
      <c r="Z171" s="34" t="inlineStr">
        <is>
          <t/>
        </is>
      </c>
      <c r="AA171" s="35" t="inlineStr">
        <is>
          <t/>
        </is>
      </c>
      <c r="AB171" s="36" t="inlineStr">
        <is>
          <t/>
        </is>
      </c>
      <c r="AC171" s="37" t="inlineStr">
        <is>
          <t/>
        </is>
      </c>
      <c r="AD171" s="38" t="inlineStr">
        <is>
          <t/>
        </is>
      </c>
      <c r="AE171" s="39" t="inlineStr">
        <is>
          <t>69144-13P</t>
        </is>
      </c>
      <c r="AF171" s="40" t="inlineStr">
        <is>
          <t>Alan Healy</t>
        </is>
      </c>
      <c r="AG171" s="41" t="inlineStr">
        <is>
          <t>Co-Founder &amp; Chief Executive Officer</t>
        </is>
      </c>
      <c r="AH171" s="42" t="inlineStr">
        <is>
          <t>alan.healy@exergyn.com</t>
        </is>
      </c>
      <c r="AI171" s="43" t="inlineStr">
        <is>
          <t>+353 (0)1 907 2770</t>
        </is>
      </c>
      <c r="AJ171" s="44" t="inlineStr">
        <is>
          <t>Dublin, Ireland</t>
        </is>
      </c>
      <c r="AK171" s="45" t="inlineStr">
        <is>
          <t>DCU Innovation Campus</t>
        </is>
      </c>
      <c r="AL171" s="46" t="inlineStr">
        <is>
          <t>Old Finglas Road, Glasnevin</t>
        </is>
      </c>
      <c r="AM171" s="47" t="inlineStr">
        <is>
          <t>Dublin</t>
        </is>
      </c>
      <c r="AN171" s="48" t="inlineStr">
        <is>
          <t/>
        </is>
      </c>
      <c r="AO171" s="49" t="inlineStr">
        <is>
          <t>11</t>
        </is>
      </c>
      <c r="AP171" s="50" t="inlineStr">
        <is>
          <t>Ireland</t>
        </is>
      </c>
      <c r="AQ171" s="51" t="inlineStr">
        <is>
          <t>+353 (0)1 907 2770</t>
        </is>
      </c>
      <c r="AR171" s="52" t="inlineStr">
        <is>
          <t/>
        </is>
      </c>
      <c r="AS171" s="53" t="inlineStr">
        <is>
          <t>info@exergyn.com</t>
        </is>
      </c>
      <c r="AT171" s="54" t="inlineStr">
        <is>
          <t>Europe</t>
        </is>
      </c>
      <c r="AU171" s="55" t="inlineStr">
        <is>
          <t>Western Europe</t>
        </is>
      </c>
      <c r="AV171" s="56" t="inlineStr">
        <is>
          <t>The company raised EUR 5.8 million of venture funding from undisclosed investors on May 10, 2015. Previously, the company received EUR 2.48 million of grant funding from Horizon 2020 on May 5, 2015. The fund will be used to commercialize its Exergyn Drive engine, which turns waste hot water into electricity.</t>
        </is>
      </c>
      <c r="AW171" s="57" t="inlineStr">
        <is>
          <t>Enterprise Ireland, Horizon 2020, Keiretsu Forum, NDRC</t>
        </is>
      </c>
      <c r="AX171" s="58" t="n">
        <v>4.0</v>
      </c>
      <c r="AY171" s="59" t="inlineStr">
        <is>
          <t/>
        </is>
      </c>
      <c r="AZ171" s="60" t="inlineStr">
        <is>
          <t/>
        </is>
      </c>
      <c r="BA171" s="61" t="inlineStr">
        <is>
          <t/>
        </is>
      </c>
      <c r="BB171" s="62" t="inlineStr">
        <is>
          <t>Enterprise Ireland (www.enterprise-ireland.com), Keiretsu Forum (www.keiretsuforum.com), NDRC (www.ndrc.ie)</t>
        </is>
      </c>
      <c r="BC171" s="63" t="inlineStr">
        <is>
          <t/>
        </is>
      </c>
      <c r="BD171" s="64" t="inlineStr">
        <is>
          <t/>
        </is>
      </c>
      <c r="BE171" s="65" t="inlineStr">
        <is>
          <t/>
        </is>
      </c>
      <c r="BF171" s="66" t="inlineStr">
        <is>
          <t/>
        </is>
      </c>
      <c r="BG171" s="67" t="n">
        <v>41709.0</v>
      </c>
      <c r="BH171" s="68" t="inlineStr">
        <is>
          <t/>
        </is>
      </c>
      <c r="BI171" s="69" t="inlineStr">
        <is>
          <t/>
        </is>
      </c>
      <c r="BJ171" s="70" t="inlineStr">
        <is>
          <t/>
        </is>
      </c>
      <c r="BK171" s="71" t="inlineStr">
        <is>
          <t/>
        </is>
      </c>
      <c r="BL171" s="72" t="inlineStr">
        <is>
          <t>Seed Round</t>
        </is>
      </c>
      <c r="BM171" s="73" t="inlineStr">
        <is>
          <t>Seed</t>
        </is>
      </c>
      <c r="BN171" s="74" t="inlineStr">
        <is>
          <t/>
        </is>
      </c>
      <c r="BO171" s="75" t="inlineStr">
        <is>
          <t>Venture Capital</t>
        </is>
      </c>
      <c r="BP171" s="76" t="inlineStr">
        <is>
          <t/>
        </is>
      </c>
      <c r="BQ171" s="77" t="inlineStr">
        <is>
          <t/>
        </is>
      </c>
      <c r="BR171" s="78" t="inlineStr">
        <is>
          <t/>
        </is>
      </c>
      <c r="BS171" s="79" t="inlineStr">
        <is>
          <t>Completed</t>
        </is>
      </c>
      <c r="BT171" s="80" t="n">
        <v>42134.0</v>
      </c>
      <c r="BU171" s="81" t="n">
        <v>5.85</v>
      </c>
      <c r="BV171" s="82" t="inlineStr">
        <is>
          <t>Actual</t>
        </is>
      </c>
      <c r="BW171" s="83" t="inlineStr">
        <is>
          <t/>
        </is>
      </c>
      <c r="BX171" s="84" t="inlineStr">
        <is>
          <t/>
        </is>
      </c>
      <c r="BY171" s="85" t="inlineStr">
        <is>
          <t>Early Stage VC</t>
        </is>
      </c>
      <c r="BZ171" s="86" t="inlineStr">
        <is>
          <t/>
        </is>
      </c>
      <c r="CA171" s="87" t="inlineStr">
        <is>
          <t/>
        </is>
      </c>
      <c r="CB171" s="88" t="inlineStr">
        <is>
          <t>Venture Capital</t>
        </is>
      </c>
      <c r="CC171" s="89" t="inlineStr">
        <is>
          <t/>
        </is>
      </c>
      <c r="CD171" s="90" t="inlineStr">
        <is>
          <t/>
        </is>
      </c>
      <c r="CE171" s="91" t="inlineStr">
        <is>
          <t/>
        </is>
      </c>
      <c r="CF171" s="92" t="inlineStr">
        <is>
          <t>Completed</t>
        </is>
      </c>
      <c r="CG171" s="93" t="inlineStr">
        <is>
          <t>0,00%</t>
        </is>
      </c>
      <c r="CH171" s="94" t="inlineStr">
        <is>
          <t>23</t>
        </is>
      </c>
      <c r="CI171" s="95" t="inlineStr">
        <is>
          <t>0,00%</t>
        </is>
      </c>
      <c r="CJ171" s="96" t="inlineStr">
        <is>
          <t>0,00%</t>
        </is>
      </c>
      <c r="CK171" s="97" t="inlineStr">
        <is>
          <t>0,00%</t>
        </is>
      </c>
      <c r="CL171" s="98" t="inlineStr">
        <is>
          <t>18</t>
        </is>
      </c>
      <c r="CM171" s="99" t="inlineStr">
        <is>
          <t>0,00%</t>
        </is>
      </c>
      <c r="CN171" s="100" t="inlineStr">
        <is>
          <t>19</t>
        </is>
      </c>
      <c r="CO171" s="101" t="inlineStr">
        <is>
          <t>0,00%</t>
        </is>
      </c>
      <c r="CP171" s="102" t="inlineStr">
        <is>
          <t>26</t>
        </is>
      </c>
      <c r="CQ171" s="103" t="inlineStr">
        <is>
          <t>0,00%</t>
        </is>
      </c>
      <c r="CR171" s="104" t="inlineStr">
        <is>
          <t>13</t>
        </is>
      </c>
      <c r="CS171" s="105" t="inlineStr">
        <is>
          <t/>
        </is>
      </c>
      <c r="CT171" s="106" t="inlineStr">
        <is>
          <t/>
        </is>
      </c>
      <c r="CU171" s="107" t="inlineStr">
        <is>
          <t>0,00%</t>
        </is>
      </c>
      <c r="CV171" s="108" t="inlineStr">
        <is>
          <t>20</t>
        </is>
      </c>
      <c r="CW171" s="109" t="inlineStr">
        <is>
          <t>0,33x</t>
        </is>
      </c>
      <c r="CX171" s="110" t="inlineStr">
        <is>
          <t>25</t>
        </is>
      </c>
      <c r="CY171" s="111" t="inlineStr">
        <is>
          <t>0,00x</t>
        </is>
      </c>
      <c r="CZ171" s="112" t="inlineStr">
        <is>
          <t>0,51%</t>
        </is>
      </c>
      <c r="DA171" s="113" t="inlineStr">
        <is>
          <t>0,44x</t>
        </is>
      </c>
      <c r="DB171" s="114" t="inlineStr">
        <is>
          <t>33</t>
        </is>
      </c>
      <c r="DC171" s="115" t="inlineStr">
        <is>
          <t>0,21x</t>
        </is>
      </c>
      <c r="DD171" s="116" t="inlineStr">
        <is>
          <t>22</t>
        </is>
      </c>
      <c r="DE171" s="117" t="inlineStr">
        <is>
          <t>0,17x</t>
        </is>
      </c>
      <c r="DF171" s="118" t="inlineStr">
        <is>
          <t>17</t>
        </is>
      </c>
      <c r="DG171" s="119" t="inlineStr">
        <is>
          <t>0,72x</t>
        </is>
      </c>
      <c r="DH171" s="120" t="inlineStr">
        <is>
          <t>43</t>
        </is>
      </c>
      <c r="DI171" s="121" t="inlineStr">
        <is>
          <t/>
        </is>
      </c>
      <c r="DJ171" s="122" t="inlineStr">
        <is>
          <t/>
        </is>
      </c>
      <c r="DK171" s="123" t="inlineStr">
        <is>
          <t>0,21x</t>
        </is>
      </c>
      <c r="DL171" s="124" t="inlineStr">
        <is>
          <t>26</t>
        </is>
      </c>
      <c r="DM171" s="125" t="inlineStr">
        <is>
          <t>100</t>
        </is>
      </c>
      <c r="DN171" s="126" t="inlineStr">
        <is>
          <t>8</t>
        </is>
      </c>
      <c r="DO171" s="127" t="inlineStr">
        <is>
          <t>8,70%</t>
        </is>
      </c>
      <c r="DP171" s="128" t="inlineStr">
        <is>
          <t/>
        </is>
      </c>
      <c r="DQ171" s="129" t="inlineStr">
        <is>
          <t/>
        </is>
      </c>
      <c r="DR171" s="130" t="inlineStr">
        <is>
          <t/>
        </is>
      </c>
      <c r="DS171" s="131" t="inlineStr">
        <is>
          <t>26</t>
        </is>
      </c>
      <c r="DT171" s="132" t="inlineStr">
        <is>
          <t>-1</t>
        </is>
      </c>
      <c r="DU171" s="133" t="inlineStr">
        <is>
          <t>-3,70%</t>
        </is>
      </c>
      <c r="DV171" s="134" t="inlineStr">
        <is>
          <t>71</t>
        </is>
      </c>
      <c r="DW171" s="135" t="inlineStr">
        <is>
          <t>-1</t>
        </is>
      </c>
      <c r="DX171" s="136" t="inlineStr">
        <is>
          <t>-1,39%</t>
        </is>
      </c>
      <c r="DY171" s="137" t="inlineStr">
        <is>
          <t>PitchBook Research</t>
        </is>
      </c>
      <c r="DZ171" s="785">
        <f>HYPERLINK("https://my.pitchbook.com?c=62353-81", "View company online")</f>
      </c>
    </row>
    <row r="172">
      <c r="A172" s="139" t="inlineStr">
        <is>
          <t>101271-34</t>
        </is>
      </c>
      <c r="B172" s="140" t="inlineStr">
        <is>
          <t>Exporo</t>
        </is>
      </c>
      <c r="C172" s="141" t="inlineStr">
        <is>
          <t/>
        </is>
      </c>
      <c r="D172" s="142" t="inlineStr">
        <is>
          <t/>
        </is>
      </c>
      <c r="E172" s="143" t="inlineStr">
        <is>
          <t>101271-34</t>
        </is>
      </c>
      <c r="F172" s="144" t="inlineStr">
        <is>
          <t>Operator of a real-estate crowdfunding platform designed to offer real estate project financing. The company's Exporo platform allows small private investors to invest in real estate projects, enabling them to receive return on investments.</t>
        </is>
      </c>
      <c r="G172" s="145" t="inlineStr">
        <is>
          <t>Information Technology</t>
        </is>
      </c>
      <c r="H172" s="146" t="inlineStr">
        <is>
          <t>Software</t>
        </is>
      </c>
      <c r="I172" s="147" t="inlineStr">
        <is>
          <t>Social/Platform Software</t>
        </is>
      </c>
      <c r="J172" s="148" t="inlineStr">
        <is>
          <t>Social/Platform Software*; Other Financial Services</t>
        </is>
      </c>
      <c r="K172" s="149" t="inlineStr">
        <is>
          <t>FinTech</t>
        </is>
      </c>
      <c r="L172" s="150" t="inlineStr">
        <is>
          <t>Venture Capital-Backed</t>
        </is>
      </c>
      <c r="M172" s="151" t="n">
        <v>16.2</v>
      </c>
      <c r="N172" s="152" t="inlineStr">
        <is>
          <t>Generating Revenue</t>
        </is>
      </c>
      <c r="O172" s="153" t="inlineStr">
        <is>
          <t>Privately Held (backing)</t>
        </is>
      </c>
      <c r="P172" s="154" t="inlineStr">
        <is>
          <t>Venture Capital</t>
        </is>
      </c>
      <c r="Q172" s="155" t="inlineStr">
        <is>
          <t>www.exporo.de</t>
        </is>
      </c>
      <c r="R172" s="156" t="n">
        <v>60.0</v>
      </c>
      <c r="S172" s="157" t="inlineStr">
        <is>
          <t/>
        </is>
      </c>
      <c r="T172" s="158" t="inlineStr">
        <is>
          <t/>
        </is>
      </c>
      <c r="U172" s="159" t="n">
        <v>2014.0</v>
      </c>
      <c r="V172" s="160" t="inlineStr">
        <is>
          <t/>
        </is>
      </c>
      <c r="W172" s="161" t="inlineStr">
        <is>
          <t/>
        </is>
      </c>
      <c r="X172" s="162" t="inlineStr">
        <is>
          <t/>
        </is>
      </c>
      <c r="Y172" s="163" t="inlineStr">
        <is>
          <t/>
        </is>
      </c>
      <c r="Z172" s="164" t="inlineStr">
        <is>
          <t/>
        </is>
      </c>
      <c r="AA172" s="165" t="inlineStr">
        <is>
          <t/>
        </is>
      </c>
      <c r="AB172" s="166" t="inlineStr">
        <is>
          <t/>
        </is>
      </c>
      <c r="AC172" s="167" t="inlineStr">
        <is>
          <t/>
        </is>
      </c>
      <c r="AD172" s="168" t="inlineStr">
        <is>
          <t/>
        </is>
      </c>
      <c r="AE172" s="169" t="inlineStr">
        <is>
          <t>140146-39P</t>
        </is>
      </c>
      <c r="AF172" s="170" t="inlineStr">
        <is>
          <t>Bjoern Maronde</t>
        </is>
      </c>
      <c r="AG172" s="171" t="inlineStr">
        <is>
          <t>Co-Founder &amp; Chief Marketing Officer</t>
        </is>
      </c>
      <c r="AH172" s="172" t="inlineStr">
        <is>
          <t>b.maronde@exporo.com</t>
        </is>
      </c>
      <c r="AI172" s="173" t="inlineStr">
        <is>
          <t>+49 (0)40 2109 1730</t>
        </is>
      </c>
      <c r="AJ172" s="174" t="inlineStr">
        <is>
          <t>Hamburg, Germany</t>
        </is>
      </c>
      <c r="AK172" s="175" t="inlineStr">
        <is>
          <t>Am Sandtorkai 70</t>
        </is>
      </c>
      <c r="AL172" s="176" t="inlineStr">
        <is>
          <t/>
        </is>
      </c>
      <c r="AM172" s="177" t="inlineStr">
        <is>
          <t>Hamburg</t>
        </is>
      </c>
      <c r="AN172" s="178" t="inlineStr">
        <is>
          <t/>
        </is>
      </c>
      <c r="AO172" s="179" t="inlineStr">
        <is>
          <t>20457</t>
        </is>
      </c>
      <c r="AP172" s="180" t="inlineStr">
        <is>
          <t>Germany</t>
        </is>
      </c>
      <c r="AQ172" s="181" t="inlineStr">
        <is>
          <t>+49 (0)40 2109 1730</t>
        </is>
      </c>
      <c r="AR172" s="182" t="inlineStr">
        <is>
          <t>+49 (0)40 2109 1739 9</t>
        </is>
      </c>
      <c r="AS172" s="183" t="inlineStr">
        <is>
          <t>info@exporo.de</t>
        </is>
      </c>
      <c r="AT172" s="184" t="inlineStr">
        <is>
          <t>Europe</t>
        </is>
      </c>
      <c r="AU172" s="185" t="inlineStr">
        <is>
          <t>Western Europe</t>
        </is>
      </c>
      <c r="AV172" s="186" t="inlineStr">
        <is>
          <t>The company raised EUR 8 million of venture funding from e.Ventures, Holtzbrinck Ventures and Sunstone Capital on May 29, 2017. BPO Capital also participated in this round. The new funding will allow Exporo to grow and develop new products. Earlier, the company raised EUR 8.2 million of series A venture funding from e.ventures, Sunstone Capital and BPO Capital on July 12, 2016.</t>
        </is>
      </c>
      <c r="AW172" s="187" t="inlineStr">
        <is>
          <t>BPO Capital GmbH &amp; Co. KG, e.ventures, Holtzbrinck Ventures, Sunstone Capital</t>
        </is>
      </c>
      <c r="AX172" s="188" t="n">
        <v>4.0</v>
      </c>
      <c r="AY172" s="189" t="inlineStr">
        <is>
          <t/>
        </is>
      </c>
      <c r="AZ172" s="190" t="inlineStr">
        <is>
          <t/>
        </is>
      </c>
      <c r="BA172" s="191" t="inlineStr">
        <is>
          <t/>
        </is>
      </c>
      <c r="BB172" s="192" t="inlineStr">
        <is>
          <t>e.ventures (www.eventures.vc), Holtzbrinck Ventures (www.holtzbrinck-ventures.com), Sunstone Capital (www.sunstone.eu)</t>
        </is>
      </c>
      <c r="BC172" s="193" t="inlineStr">
        <is>
          <t/>
        </is>
      </c>
      <c r="BD172" s="194" t="inlineStr">
        <is>
          <t/>
        </is>
      </c>
      <c r="BE172" s="195" t="inlineStr">
        <is>
          <t/>
        </is>
      </c>
      <c r="BF172" s="196" t="inlineStr">
        <is>
          <t/>
        </is>
      </c>
      <c r="BG172" s="197" t="n">
        <v>42563.0</v>
      </c>
      <c r="BH172" s="198" t="n">
        <v>8.2</v>
      </c>
      <c r="BI172" s="199" t="inlineStr">
        <is>
          <t>Actual</t>
        </is>
      </c>
      <c r="BJ172" s="200" t="inlineStr">
        <is>
          <t/>
        </is>
      </c>
      <c r="BK172" s="201" t="inlineStr">
        <is>
          <t/>
        </is>
      </c>
      <c r="BL172" s="202" t="inlineStr">
        <is>
          <t>Early Stage VC</t>
        </is>
      </c>
      <c r="BM172" s="203" t="inlineStr">
        <is>
          <t>Series A</t>
        </is>
      </c>
      <c r="BN172" s="204" t="inlineStr">
        <is>
          <t/>
        </is>
      </c>
      <c r="BO172" s="205" t="inlineStr">
        <is>
          <t>Venture Capital</t>
        </is>
      </c>
      <c r="BP172" s="206" t="inlineStr">
        <is>
          <t/>
        </is>
      </c>
      <c r="BQ172" s="207" t="inlineStr">
        <is>
          <t/>
        </is>
      </c>
      <c r="BR172" s="208" t="inlineStr">
        <is>
          <t/>
        </is>
      </c>
      <c r="BS172" s="209" t="inlineStr">
        <is>
          <t>Completed</t>
        </is>
      </c>
      <c r="BT172" s="210" t="n">
        <v>42884.0</v>
      </c>
      <c r="BU172" s="211" t="n">
        <v>8.0</v>
      </c>
      <c r="BV172" s="212" t="inlineStr">
        <is>
          <t>Actual</t>
        </is>
      </c>
      <c r="BW172" s="213" t="inlineStr">
        <is>
          <t/>
        </is>
      </c>
      <c r="BX172" s="214" t="inlineStr">
        <is>
          <t/>
        </is>
      </c>
      <c r="BY172" s="215" t="inlineStr">
        <is>
          <t>Early Stage VC</t>
        </is>
      </c>
      <c r="BZ172" s="216" t="inlineStr">
        <is>
          <t/>
        </is>
      </c>
      <c r="CA172" s="217" t="inlineStr">
        <is>
          <t/>
        </is>
      </c>
      <c r="CB172" s="218" t="inlineStr">
        <is>
          <t>Venture Capital</t>
        </is>
      </c>
      <c r="CC172" s="219" t="inlineStr">
        <is>
          <t/>
        </is>
      </c>
      <c r="CD172" s="220" t="inlineStr">
        <is>
          <t/>
        </is>
      </c>
      <c r="CE172" s="221" t="inlineStr">
        <is>
          <t/>
        </is>
      </c>
      <c r="CF172" s="222" t="inlineStr">
        <is>
          <t>Completed</t>
        </is>
      </c>
      <c r="CG172" s="223" t="inlineStr">
        <is>
          <t>0,22%</t>
        </is>
      </c>
      <c r="CH172" s="224" t="inlineStr">
        <is>
          <t>79</t>
        </is>
      </c>
      <c r="CI172" s="225" t="inlineStr">
        <is>
          <t>0,01%</t>
        </is>
      </c>
      <c r="CJ172" s="226" t="inlineStr">
        <is>
          <t>3,25%</t>
        </is>
      </c>
      <c r="CK172" s="227" t="inlineStr">
        <is>
          <t>-0,36%</t>
        </is>
      </c>
      <c r="CL172" s="228" t="inlineStr">
        <is>
          <t>13</t>
        </is>
      </c>
      <c r="CM172" s="229" t="inlineStr">
        <is>
          <t>0,80%</t>
        </is>
      </c>
      <c r="CN172" s="230" t="inlineStr">
        <is>
          <t>94</t>
        </is>
      </c>
      <c r="CO172" s="231" t="inlineStr">
        <is>
          <t>-0,72%</t>
        </is>
      </c>
      <c r="CP172" s="232" t="inlineStr">
        <is>
          <t>21</t>
        </is>
      </c>
      <c r="CQ172" s="233" t="inlineStr">
        <is>
          <t>0,00%</t>
        </is>
      </c>
      <c r="CR172" s="234" t="inlineStr">
        <is>
          <t>13</t>
        </is>
      </c>
      <c r="CS172" s="235" t="inlineStr">
        <is>
          <t>0,33%</t>
        </is>
      </c>
      <c r="CT172" s="236" t="inlineStr">
        <is>
          <t>80</t>
        </is>
      </c>
      <c r="CU172" s="237" t="inlineStr">
        <is>
          <t>1,26%</t>
        </is>
      </c>
      <c r="CV172" s="238" t="inlineStr">
        <is>
          <t>98</t>
        </is>
      </c>
      <c r="CW172" s="239" t="inlineStr">
        <is>
          <t>14,74x</t>
        </is>
      </c>
      <c r="CX172" s="240" t="inlineStr">
        <is>
          <t>90</t>
        </is>
      </c>
      <c r="CY172" s="241" t="inlineStr">
        <is>
          <t>0,03x</t>
        </is>
      </c>
      <c r="CZ172" s="242" t="inlineStr">
        <is>
          <t>0,23%</t>
        </is>
      </c>
      <c r="DA172" s="243" t="inlineStr">
        <is>
          <t>26,81x</t>
        </is>
      </c>
      <c r="DB172" s="244" t="inlineStr">
        <is>
          <t>94</t>
        </is>
      </c>
      <c r="DC172" s="245" t="inlineStr">
        <is>
          <t>2,67x</t>
        </is>
      </c>
      <c r="DD172" s="246" t="inlineStr">
        <is>
          <t>66</t>
        </is>
      </c>
      <c r="DE172" s="247" t="inlineStr">
        <is>
          <t>51,17x</t>
        </is>
      </c>
      <c r="DF172" s="248" t="inlineStr">
        <is>
          <t>93</t>
        </is>
      </c>
      <c r="DG172" s="249" t="inlineStr">
        <is>
          <t>2,44x</t>
        </is>
      </c>
      <c r="DH172" s="250" t="inlineStr">
        <is>
          <t>68</t>
        </is>
      </c>
      <c r="DI172" s="251" t="inlineStr">
        <is>
          <t>4,11x</t>
        </is>
      </c>
      <c r="DJ172" s="252" t="inlineStr">
        <is>
          <t>72</t>
        </is>
      </c>
      <c r="DK172" s="253" t="inlineStr">
        <is>
          <t>1,23x</t>
        </is>
      </c>
      <c r="DL172" s="254" t="inlineStr">
        <is>
          <t>54</t>
        </is>
      </c>
      <c r="DM172" s="255" t="inlineStr">
        <is>
          <t>31.508</t>
        </is>
      </c>
      <c r="DN172" s="256" t="inlineStr">
        <is>
          <t>-116</t>
        </is>
      </c>
      <c r="DO172" s="257" t="inlineStr">
        <is>
          <t>-0,37%</t>
        </is>
      </c>
      <c r="DP172" s="258" t="inlineStr">
        <is>
          <t>3.282</t>
        </is>
      </c>
      <c r="DQ172" s="259" t="inlineStr">
        <is>
          <t>1</t>
        </is>
      </c>
      <c r="DR172" s="260" t="inlineStr">
        <is>
          <t>0,03%</t>
        </is>
      </c>
      <c r="DS172" s="261" t="inlineStr">
        <is>
          <t>88</t>
        </is>
      </c>
      <c r="DT172" s="262" t="inlineStr">
        <is>
          <t>-1</t>
        </is>
      </c>
      <c r="DU172" s="263" t="inlineStr">
        <is>
          <t>-1,12%</t>
        </is>
      </c>
      <c r="DV172" s="264" t="inlineStr">
        <is>
          <t>420</t>
        </is>
      </c>
      <c r="DW172" s="265" t="inlineStr">
        <is>
          <t>5</t>
        </is>
      </c>
      <c r="DX172" s="266" t="inlineStr">
        <is>
          <t>1,20%</t>
        </is>
      </c>
      <c r="DY172" s="267" t="inlineStr">
        <is>
          <t>PitchBook Research</t>
        </is>
      </c>
      <c r="DZ172" s="786">
        <f>HYPERLINK("https://my.pitchbook.com?c=101271-34", "View company online")</f>
      </c>
    </row>
    <row r="173">
      <c r="A173" s="9" t="inlineStr">
        <is>
          <t>58369-69</t>
        </is>
      </c>
      <c r="B173" s="10" t="inlineStr">
        <is>
          <t>Farmdrop</t>
        </is>
      </c>
      <c r="C173" s="11" t="inlineStr">
        <is>
          <t/>
        </is>
      </c>
      <c r="D173" s="12" t="inlineStr">
        <is>
          <t/>
        </is>
      </c>
      <c r="E173" s="13" t="inlineStr">
        <is>
          <t>58369-69</t>
        </is>
      </c>
      <c r="F173" s="14" t="inlineStr">
        <is>
          <t>Provider of an online grocery platform designed to remove wholesalers and retailers from the supply chain. The company's online grocery platform enables users to order groceries online, directly from farmers and producers, and have the groceries delivered to their door, enabling customers to access affordable, fresh farmer's market quality ingredients and also provide farmers with larger profits than normal distribution strategies.</t>
        </is>
      </c>
      <c r="G173" s="15" t="inlineStr">
        <is>
          <t>Information Technology</t>
        </is>
      </c>
      <c r="H173" s="16" t="inlineStr">
        <is>
          <t>Software</t>
        </is>
      </c>
      <c r="I173" s="17" t="inlineStr">
        <is>
          <t>Application Software</t>
        </is>
      </c>
      <c r="J173" s="18" t="inlineStr">
        <is>
          <t>Application Software*; Food Products</t>
        </is>
      </c>
      <c r="K173" s="19" t="inlineStr">
        <is>
          <t>E-Commerce, Mobile</t>
        </is>
      </c>
      <c r="L173" s="20" t="inlineStr">
        <is>
          <t>Venture Capital-Backed</t>
        </is>
      </c>
      <c r="M173" s="21" t="n">
        <v>13.28</v>
      </c>
      <c r="N173" s="22" t="inlineStr">
        <is>
          <t>Generating Revenue</t>
        </is>
      </c>
      <c r="O173" s="23" t="inlineStr">
        <is>
          <t>Privately Held (backing)</t>
        </is>
      </c>
      <c r="P173" s="24" t="inlineStr">
        <is>
          <t>Venture Capital</t>
        </is>
      </c>
      <c r="Q173" s="25" t="inlineStr">
        <is>
          <t>www.farmdrop.com</t>
        </is>
      </c>
      <c r="R173" s="26" t="n">
        <v>22.0</v>
      </c>
      <c r="S173" s="27" t="inlineStr">
        <is>
          <t/>
        </is>
      </c>
      <c r="T173" s="28" t="inlineStr">
        <is>
          <t/>
        </is>
      </c>
      <c r="U173" s="29" t="n">
        <v>2012.0</v>
      </c>
      <c r="V173" s="30" t="inlineStr">
        <is>
          <t/>
        </is>
      </c>
      <c r="W173" s="31" t="inlineStr">
        <is>
          <t/>
        </is>
      </c>
      <c r="X173" s="32" t="inlineStr">
        <is>
          <t/>
        </is>
      </c>
      <c r="Y173" s="33" t="n">
        <v>3.42232</v>
      </c>
      <c r="Z173" s="34" t="inlineStr">
        <is>
          <t/>
        </is>
      </c>
      <c r="AA173" s="35" t="inlineStr">
        <is>
          <t/>
        </is>
      </c>
      <c r="AB173" s="36" t="inlineStr">
        <is>
          <t/>
        </is>
      </c>
      <c r="AC173" s="37" t="inlineStr">
        <is>
          <t/>
        </is>
      </c>
      <c r="AD173" s="38" t="inlineStr">
        <is>
          <t>FY 2017</t>
        </is>
      </c>
      <c r="AE173" s="39" t="inlineStr">
        <is>
          <t>52629-76P</t>
        </is>
      </c>
      <c r="AF173" s="40" t="inlineStr">
        <is>
          <t>Ben Patten</t>
        </is>
      </c>
      <c r="AG173" s="41" t="inlineStr">
        <is>
          <t>Co-Founder</t>
        </is>
      </c>
      <c r="AH173" s="42" t="inlineStr">
        <is>
          <t>ben.patten@farmdrop.co.uk</t>
        </is>
      </c>
      <c r="AI173" s="43" t="inlineStr">
        <is>
          <t>+44 (0)20 3770 9300</t>
        </is>
      </c>
      <c r="AJ173" s="44" t="inlineStr">
        <is>
          <t>London, United Kingdom</t>
        </is>
      </c>
      <c r="AK173" s="45" t="inlineStr">
        <is>
          <t>The Biscuit Factory, 100 Clements Road</t>
        </is>
      </c>
      <c r="AL173" s="46" t="inlineStr">
        <is>
          <t>Unit A502</t>
        </is>
      </c>
      <c r="AM173" s="47" t="inlineStr">
        <is>
          <t>London</t>
        </is>
      </c>
      <c r="AN173" s="48" t="inlineStr">
        <is>
          <t>England</t>
        </is>
      </c>
      <c r="AO173" s="49" t="inlineStr">
        <is>
          <t>SE16 4DG</t>
        </is>
      </c>
      <c r="AP173" s="50" t="inlineStr">
        <is>
          <t>United Kingdom</t>
        </is>
      </c>
      <c r="AQ173" s="51" t="inlineStr">
        <is>
          <t>+44 (0)20 3770 9300</t>
        </is>
      </c>
      <c r="AR173" s="52" t="inlineStr">
        <is>
          <t/>
        </is>
      </c>
      <c r="AS173" s="53" t="inlineStr">
        <is>
          <t>hello@farmdrop.co.uk</t>
        </is>
      </c>
      <c r="AT173" s="54" t="inlineStr">
        <is>
          <t>Europe</t>
        </is>
      </c>
      <c r="AU173" s="55" t="inlineStr">
        <is>
          <t>Western Europe</t>
        </is>
      </c>
      <c r="AV173" s="56" t="inlineStr">
        <is>
          <t>The company raised GBP 7 million of Series A venture funding in a deal led by Atomico Uk Partners on April 23, 2017. Jon Reynolds, Nigel Wray, Quentin Griffiths and Alex Chesterman also participated in the round. The funds will be used to improve customer experience, develop new technology for farmers to manage their own inventory, and launch new distribution hubs outside of London, with an opening in Bristol planned for later in 2017.</t>
        </is>
      </c>
      <c r="AW173" s="57" t="inlineStr">
        <is>
          <t>Alex Chesterman, Atomico, Brett Akker, JamJar Investments, Jason Goodman, Jon Reynolds, Jonathan Goodwin, Nigel Wray, Quentin Griffiths, Víctor Massó</t>
        </is>
      </c>
      <c r="AX173" s="58" t="n">
        <v>10.0</v>
      </c>
      <c r="AY173" s="59" t="inlineStr">
        <is>
          <t/>
        </is>
      </c>
      <c r="AZ173" s="60" t="inlineStr">
        <is>
          <t/>
        </is>
      </c>
      <c r="BA173" s="61" t="inlineStr">
        <is>
          <t/>
        </is>
      </c>
      <c r="BB173" s="62" t="inlineStr">
        <is>
          <t>Atomico (www.atomico.com), JamJar Investments (www.jamjarinvestments.com)</t>
        </is>
      </c>
      <c r="BC173" s="63" t="inlineStr">
        <is>
          <t/>
        </is>
      </c>
      <c r="BD173" s="64" t="inlineStr">
        <is>
          <t/>
        </is>
      </c>
      <c r="BE173" s="65" t="inlineStr">
        <is>
          <t/>
        </is>
      </c>
      <c r="BF173" s="66" t="inlineStr">
        <is>
          <t>Crowdcube (Lead Manager or Arranger)</t>
        </is>
      </c>
      <c r="BG173" s="67" t="n">
        <v>41492.0</v>
      </c>
      <c r="BH173" s="68" t="inlineStr">
        <is>
          <t/>
        </is>
      </c>
      <c r="BI173" s="69" t="inlineStr">
        <is>
          <t/>
        </is>
      </c>
      <c r="BJ173" s="70" t="inlineStr">
        <is>
          <t/>
        </is>
      </c>
      <c r="BK173" s="71" t="inlineStr">
        <is>
          <t/>
        </is>
      </c>
      <c r="BL173" s="72" t="inlineStr">
        <is>
          <t>Seed Round</t>
        </is>
      </c>
      <c r="BM173" s="73" t="inlineStr">
        <is>
          <t>Seed</t>
        </is>
      </c>
      <c r="BN173" s="74" t="inlineStr">
        <is>
          <t/>
        </is>
      </c>
      <c r="BO173" s="75" t="inlineStr">
        <is>
          <t>Individual</t>
        </is>
      </c>
      <c r="BP173" s="76" t="inlineStr">
        <is>
          <t/>
        </is>
      </c>
      <c r="BQ173" s="77" t="inlineStr">
        <is>
          <t/>
        </is>
      </c>
      <c r="BR173" s="78" t="inlineStr">
        <is>
          <t/>
        </is>
      </c>
      <c r="BS173" s="79" t="inlineStr">
        <is>
          <t>Completed</t>
        </is>
      </c>
      <c r="BT173" s="80" t="n">
        <v>42848.0</v>
      </c>
      <c r="BU173" s="81" t="n">
        <v>8.84</v>
      </c>
      <c r="BV173" s="82" t="inlineStr">
        <is>
          <t>Actual</t>
        </is>
      </c>
      <c r="BW173" s="83" t="inlineStr">
        <is>
          <t/>
        </is>
      </c>
      <c r="BX173" s="84" t="inlineStr">
        <is>
          <t/>
        </is>
      </c>
      <c r="BY173" s="85" t="inlineStr">
        <is>
          <t>Early Stage VC</t>
        </is>
      </c>
      <c r="BZ173" s="86" t="inlineStr">
        <is>
          <t>Series A</t>
        </is>
      </c>
      <c r="CA173" s="87" t="inlineStr">
        <is>
          <t/>
        </is>
      </c>
      <c r="CB173" s="88" t="inlineStr">
        <is>
          <t>Venture Capital</t>
        </is>
      </c>
      <c r="CC173" s="89" t="inlineStr">
        <is>
          <t/>
        </is>
      </c>
      <c r="CD173" s="90" t="inlineStr">
        <is>
          <t/>
        </is>
      </c>
      <c r="CE173" s="91" t="inlineStr">
        <is>
          <t/>
        </is>
      </c>
      <c r="CF173" s="92" t="inlineStr">
        <is>
          <t>Completed</t>
        </is>
      </c>
      <c r="CG173" s="93" t="inlineStr">
        <is>
          <t>0,19%</t>
        </is>
      </c>
      <c r="CH173" s="94" t="inlineStr">
        <is>
          <t>78</t>
        </is>
      </c>
      <c r="CI173" s="95" t="inlineStr">
        <is>
          <t>0,04%</t>
        </is>
      </c>
      <c r="CJ173" s="96" t="inlineStr">
        <is>
          <t>24,37%</t>
        </is>
      </c>
      <c r="CK173" s="97" t="inlineStr">
        <is>
          <t>-0,08%</t>
        </is>
      </c>
      <c r="CL173" s="98" t="inlineStr">
        <is>
          <t>17</t>
        </is>
      </c>
      <c r="CM173" s="99" t="inlineStr">
        <is>
          <t>0,47%</t>
        </is>
      </c>
      <c r="CN173" s="100" t="inlineStr">
        <is>
          <t>89</t>
        </is>
      </c>
      <c r="CO173" s="101" t="inlineStr">
        <is>
          <t>-0,08%</t>
        </is>
      </c>
      <c r="CP173" s="102" t="inlineStr">
        <is>
          <t>25</t>
        </is>
      </c>
      <c r="CQ173" s="103" t="inlineStr">
        <is>
          <t/>
        </is>
      </c>
      <c r="CR173" s="104" t="inlineStr">
        <is>
          <t/>
        </is>
      </c>
      <c r="CS173" s="105" t="inlineStr">
        <is>
          <t>0,38%</t>
        </is>
      </c>
      <c r="CT173" s="106" t="inlineStr">
        <is>
          <t>83</t>
        </is>
      </c>
      <c r="CU173" s="107" t="inlineStr">
        <is>
          <t>0,55%</t>
        </is>
      </c>
      <c r="CV173" s="108" t="inlineStr">
        <is>
          <t>93</t>
        </is>
      </c>
      <c r="CW173" s="109" t="inlineStr">
        <is>
          <t>40,10x</t>
        </is>
      </c>
      <c r="CX173" s="110" t="inlineStr">
        <is>
          <t>95</t>
        </is>
      </c>
      <c r="CY173" s="111" t="inlineStr">
        <is>
          <t>0,65x</t>
        </is>
      </c>
      <c r="CZ173" s="112" t="inlineStr">
        <is>
          <t>1,65%</t>
        </is>
      </c>
      <c r="DA173" s="113" t="inlineStr">
        <is>
          <t>32,39x</t>
        </is>
      </c>
      <c r="DB173" s="114" t="inlineStr">
        <is>
          <t>95</t>
        </is>
      </c>
      <c r="DC173" s="115" t="inlineStr">
        <is>
          <t>47,81x</t>
        </is>
      </c>
      <c r="DD173" s="116" t="inlineStr">
        <is>
          <t>94</t>
        </is>
      </c>
      <c r="DE173" s="117" t="inlineStr">
        <is>
          <t>32,39x</t>
        </is>
      </c>
      <c r="DF173" s="118" t="inlineStr">
        <is>
          <t>91</t>
        </is>
      </c>
      <c r="DG173" s="119" t="inlineStr">
        <is>
          <t/>
        </is>
      </c>
      <c r="DH173" s="120" t="inlineStr">
        <is>
          <t/>
        </is>
      </c>
      <c r="DI173" s="121" t="inlineStr">
        <is>
          <t>72,36x</t>
        </is>
      </c>
      <c r="DJ173" s="122" t="inlineStr">
        <is>
          <t>94</t>
        </is>
      </c>
      <c r="DK173" s="123" t="inlineStr">
        <is>
          <t>23,26x</t>
        </is>
      </c>
      <c r="DL173" s="124" t="inlineStr">
        <is>
          <t>93</t>
        </is>
      </c>
      <c r="DM173" s="125" t="inlineStr">
        <is>
          <t>19.793</t>
        </is>
      </c>
      <c r="DN173" s="126" t="inlineStr">
        <is>
          <t>382</t>
        </is>
      </c>
      <c r="DO173" s="127" t="inlineStr">
        <is>
          <t>1,97%</t>
        </is>
      </c>
      <c r="DP173" s="128" t="inlineStr">
        <is>
          <t>57.698</t>
        </is>
      </c>
      <c r="DQ173" s="129" t="inlineStr">
        <is>
          <t>292</t>
        </is>
      </c>
      <c r="DR173" s="130" t="inlineStr">
        <is>
          <t>0,51%</t>
        </is>
      </c>
      <c r="DS173" s="131" t="inlineStr">
        <is>
          <t/>
        </is>
      </c>
      <c r="DT173" s="132" t="inlineStr">
        <is>
          <t/>
        </is>
      </c>
      <c r="DU173" s="133" t="inlineStr">
        <is>
          <t/>
        </is>
      </c>
      <c r="DV173" s="134" t="inlineStr">
        <is>
          <t>7.938</t>
        </is>
      </c>
      <c r="DW173" s="135" t="inlineStr">
        <is>
          <t>84</t>
        </is>
      </c>
      <c r="DX173" s="136" t="inlineStr">
        <is>
          <t>1,07%</t>
        </is>
      </c>
      <c r="DY173" s="137" t="inlineStr">
        <is>
          <t>PitchBook Research</t>
        </is>
      </c>
      <c r="DZ173" s="785">
        <f>HYPERLINK("https://my.pitchbook.com?c=58369-69", "View company online")</f>
      </c>
    </row>
    <row r="174">
      <c r="A174" s="139" t="inlineStr">
        <is>
          <t>55941-04</t>
        </is>
      </c>
      <c r="B174" s="140" t="inlineStr">
        <is>
          <t>Finanzchef24</t>
        </is>
      </c>
      <c r="C174" s="141" t="inlineStr">
        <is>
          <t/>
        </is>
      </c>
      <c r="D174" s="142" t="inlineStr">
        <is>
          <t/>
        </is>
      </c>
      <c r="E174" s="143" t="inlineStr">
        <is>
          <t>55941-04</t>
        </is>
      </c>
      <c r="F174" s="144" t="inlineStr">
        <is>
          <t>Provider of an online marketplace for banking and insurance products. The company operates a small business insurance comparison portal for entrepreneurs and the self employed.</t>
        </is>
      </c>
      <c r="G174" s="145" t="inlineStr">
        <is>
          <t>Financial Services</t>
        </is>
      </c>
      <c r="H174" s="146" t="inlineStr">
        <is>
          <t>Other Financial Services</t>
        </is>
      </c>
      <c r="I174" s="147" t="inlineStr">
        <is>
          <t>Other Financial Services</t>
        </is>
      </c>
      <c r="J174" s="148" t="inlineStr">
        <is>
          <t>Other Financial Services*</t>
        </is>
      </c>
      <c r="K174" s="149" t="inlineStr">
        <is>
          <t>E-Commerce</t>
        </is>
      </c>
      <c r="L174" s="150" t="inlineStr">
        <is>
          <t>Venture Capital-Backed</t>
        </is>
      </c>
      <c r="M174" s="151" t="n">
        <v>10.0</v>
      </c>
      <c r="N174" s="152" t="inlineStr">
        <is>
          <t>Startup</t>
        </is>
      </c>
      <c r="O174" s="153" t="inlineStr">
        <is>
          <t>Privately Held (backing)</t>
        </is>
      </c>
      <c r="P174" s="154" t="inlineStr">
        <is>
          <t>Venture Capital</t>
        </is>
      </c>
      <c r="Q174" s="155" t="inlineStr">
        <is>
          <t>www.finanzchef24.de</t>
        </is>
      </c>
      <c r="R174" s="156" t="n">
        <v>51.0</v>
      </c>
      <c r="S174" s="157" t="inlineStr">
        <is>
          <t/>
        </is>
      </c>
      <c r="T174" s="158" t="inlineStr">
        <is>
          <t/>
        </is>
      </c>
      <c r="U174" s="159" t="n">
        <v>2012.0</v>
      </c>
      <c r="V174" s="160" t="inlineStr">
        <is>
          <t/>
        </is>
      </c>
      <c r="W174" s="161" t="inlineStr">
        <is>
          <t/>
        </is>
      </c>
      <c r="X174" s="162" t="inlineStr">
        <is>
          <t/>
        </is>
      </c>
      <c r="Y174" s="163" t="inlineStr">
        <is>
          <t/>
        </is>
      </c>
      <c r="Z174" s="164" t="inlineStr">
        <is>
          <t/>
        </is>
      </c>
      <c r="AA174" s="165" t="inlineStr">
        <is>
          <t/>
        </is>
      </c>
      <c r="AB174" s="166" t="inlineStr">
        <is>
          <t/>
        </is>
      </c>
      <c r="AC174" s="167" t="inlineStr">
        <is>
          <t/>
        </is>
      </c>
      <c r="AD174" s="168" t="inlineStr">
        <is>
          <t/>
        </is>
      </c>
      <c r="AE174" s="169" t="inlineStr">
        <is>
          <t>55166-32P</t>
        </is>
      </c>
      <c r="AF174" s="170" t="inlineStr">
        <is>
          <t>Hendrik Rennert</t>
        </is>
      </c>
      <c r="AG174" s="171" t="inlineStr">
        <is>
          <t>Co-Founder &amp; Managing Director</t>
        </is>
      </c>
      <c r="AH174" s="172" t="inlineStr">
        <is>
          <t>hendrik.rennert@finanzchef24.de</t>
        </is>
      </c>
      <c r="AI174" s="173" t="inlineStr">
        <is>
          <t>+49 (0)89 7167 7270 0</t>
        </is>
      </c>
      <c r="AJ174" s="174" t="inlineStr">
        <is>
          <t>Munich, Germany</t>
        </is>
      </c>
      <c r="AK174" s="175" t="inlineStr">
        <is>
          <t>Hohenlindener Str. 1</t>
        </is>
      </c>
      <c r="AL174" s="176" t="inlineStr">
        <is>
          <t/>
        </is>
      </c>
      <c r="AM174" s="177" t="inlineStr">
        <is>
          <t>Munich</t>
        </is>
      </c>
      <c r="AN174" s="178" t="inlineStr">
        <is>
          <t/>
        </is>
      </c>
      <c r="AO174" s="179" t="inlineStr">
        <is>
          <t>81677</t>
        </is>
      </c>
      <c r="AP174" s="180" t="inlineStr">
        <is>
          <t>Germany</t>
        </is>
      </c>
      <c r="AQ174" s="181" t="inlineStr">
        <is>
          <t>+49 (0)89 7167 7270 0</t>
        </is>
      </c>
      <c r="AR174" s="182" t="inlineStr">
        <is>
          <t>+49 (0)89 7167 7290 0</t>
        </is>
      </c>
      <c r="AS174" s="183" t="inlineStr">
        <is>
          <t>info@finanzchef24.de</t>
        </is>
      </c>
      <c r="AT174" s="184" t="inlineStr">
        <is>
          <t>Europe</t>
        </is>
      </c>
      <c r="AU174" s="185" t="inlineStr">
        <is>
          <t>Western Europe</t>
        </is>
      </c>
      <c r="AV174" s="186" t="inlineStr">
        <is>
          <t>The company raised EUR 4 million of venture funding from lead investor Grenke Bank on July 5, 2016. Target Partners, HW Capital and Mercura Capital also participated in the round. The company will use the funding to further develop the product portfolio as well as to accelerate growth.</t>
        </is>
      </c>
      <c r="AW174" s="187" t="inlineStr">
        <is>
          <t>GrenkeLeasing, HW Capital, LMU Entrepreneurship Center, Mercura Capital, Target Partners</t>
        </is>
      </c>
      <c r="AX174" s="188" t="n">
        <v>5.0</v>
      </c>
      <c r="AY174" s="189" t="inlineStr">
        <is>
          <t/>
        </is>
      </c>
      <c r="AZ174" s="190" t="inlineStr">
        <is>
          <t/>
        </is>
      </c>
      <c r="BA174" s="191" t="inlineStr">
        <is>
          <t/>
        </is>
      </c>
      <c r="BB174" s="192" t="inlineStr">
        <is>
          <t>GrenkeLeasing (www.grenke.de), HW Capital (www.hwcapital.de), LMU Entrepreneurship Center (www.entrepreneurship-center.uni-muenchen.de/index.html), Target Partners (www.targetpartners.de)</t>
        </is>
      </c>
      <c r="BC174" s="193" t="inlineStr">
        <is>
          <t/>
        </is>
      </c>
      <c r="BD174" s="194" t="inlineStr">
        <is>
          <t/>
        </is>
      </c>
      <c r="BE174" s="195" t="inlineStr">
        <is>
          <t/>
        </is>
      </c>
      <c r="BF174" s="196" t="inlineStr">
        <is>
          <t/>
        </is>
      </c>
      <c r="BG174" s="197" t="n">
        <v>41291.0</v>
      </c>
      <c r="BH174" s="198" t="n">
        <v>2.0</v>
      </c>
      <c r="BI174" s="199" t="inlineStr">
        <is>
          <t>Actual</t>
        </is>
      </c>
      <c r="BJ174" s="200" t="inlineStr">
        <is>
          <t/>
        </is>
      </c>
      <c r="BK174" s="201" t="inlineStr">
        <is>
          <t/>
        </is>
      </c>
      <c r="BL174" s="202" t="inlineStr">
        <is>
          <t>Early Stage VC</t>
        </is>
      </c>
      <c r="BM174" s="203" t="inlineStr">
        <is>
          <t/>
        </is>
      </c>
      <c r="BN174" s="204" t="inlineStr">
        <is>
          <t/>
        </is>
      </c>
      <c r="BO174" s="205" t="inlineStr">
        <is>
          <t>Venture Capital</t>
        </is>
      </c>
      <c r="BP174" s="206" t="inlineStr">
        <is>
          <t/>
        </is>
      </c>
      <c r="BQ174" s="207" t="inlineStr">
        <is>
          <t/>
        </is>
      </c>
      <c r="BR174" s="208" t="inlineStr">
        <is>
          <t/>
        </is>
      </c>
      <c r="BS174" s="209" t="inlineStr">
        <is>
          <t>Completed</t>
        </is>
      </c>
      <c r="BT174" s="210" t="n">
        <v>42556.0</v>
      </c>
      <c r="BU174" s="211" t="n">
        <v>4.0</v>
      </c>
      <c r="BV174" s="212" t="inlineStr">
        <is>
          <t>Actual</t>
        </is>
      </c>
      <c r="BW174" s="213" t="inlineStr">
        <is>
          <t/>
        </is>
      </c>
      <c r="BX174" s="214" t="inlineStr">
        <is>
          <t/>
        </is>
      </c>
      <c r="BY174" s="215" t="inlineStr">
        <is>
          <t>Early Stage VC</t>
        </is>
      </c>
      <c r="BZ174" s="216" t="inlineStr">
        <is>
          <t/>
        </is>
      </c>
      <c r="CA174" s="217" t="inlineStr">
        <is>
          <t/>
        </is>
      </c>
      <c r="CB174" s="218" t="inlineStr">
        <is>
          <t>Venture Capital</t>
        </is>
      </c>
      <c r="CC174" s="219" t="inlineStr">
        <is>
          <t/>
        </is>
      </c>
      <c r="CD174" s="220" t="inlineStr">
        <is>
          <t/>
        </is>
      </c>
      <c r="CE174" s="221" t="inlineStr">
        <is>
          <t/>
        </is>
      </c>
      <c r="CF174" s="222" t="inlineStr">
        <is>
          <t>Completed</t>
        </is>
      </c>
      <c r="CG174" s="223" t="inlineStr">
        <is>
          <t>1,08%</t>
        </is>
      </c>
      <c r="CH174" s="224" t="inlineStr">
        <is>
          <t>89</t>
        </is>
      </c>
      <c r="CI174" s="225" t="inlineStr">
        <is>
          <t>-0,01%</t>
        </is>
      </c>
      <c r="CJ174" s="226" t="inlineStr">
        <is>
          <t>-1,09%</t>
        </is>
      </c>
      <c r="CK174" s="227" t="inlineStr">
        <is>
          <t>1,88%</t>
        </is>
      </c>
      <c r="CL174" s="228" t="inlineStr">
        <is>
          <t>90</t>
        </is>
      </c>
      <c r="CM174" s="229" t="inlineStr">
        <is>
          <t>0,27%</t>
        </is>
      </c>
      <c r="CN174" s="230" t="inlineStr">
        <is>
          <t>79</t>
        </is>
      </c>
      <c r="CO174" s="231" t="inlineStr">
        <is>
          <t>2,13%</t>
        </is>
      </c>
      <c r="CP174" s="232" t="inlineStr">
        <is>
          <t>89</t>
        </is>
      </c>
      <c r="CQ174" s="233" t="inlineStr">
        <is>
          <t>1,64%</t>
        </is>
      </c>
      <c r="CR174" s="234" t="inlineStr">
        <is>
          <t>90</t>
        </is>
      </c>
      <c r="CS174" s="235" t="inlineStr">
        <is>
          <t>0,17%</t>
        </is>
      </c>
      <c r="CT174" s="236" t="inlineStr">
        <is>
          <t>67</t>
        </is>
      </c>
      <c r="CU174" s="237" t="inlineStr">
        <is>
          <t>0,38%</t>
        </is>
      </c>
      <c r="CV174" s="238" t="inlineStr">
        <is>
          <t>88</t>
        </is>
      </c>
      <c r="CW174" s="239" t="inlineStr">
        <is>
          <t>14,79x</t>
        </is>
      </c>
      <c r="CX174" s="240" t="inlineStr">
        <is>
          <t>90</t>
        </is>
      </c>
      <c r="CY174" s="241" t="inlineStr">
        <is>
          <t>0,05x</t>
        </is>
      </c>
      <c r="CZ174" s="242" t="inlineStr">
        <is>
          <t>0,33%</t>
        </is>
      </c>
      <c r="DA174" s="243" t="inlineStr">
        <is>
          <t>28,75x</t>
        </is>
      </c>
      <c r="DB174" s="244" t="inlineStr">
        <is>
          <t>94</t>
        </is>
      </c>
      <c r="DC174" s="245" t="inlineStr">
        <is>
          <t>0,83x</t>
        </is>
      </c>
      <c r="DD174" s="246" t="inlineStr">
        <is>
          <t>45</t>
        </is>
      </c>
      <c r="DE174" s="247" t="inlineStr">
        <is>
          <t>48,84x</t>
        </is>
      </c>
      <c r="DF174" s="248" t="inlineStr">
        <is>
          <t>93</t>
        </is>
      </c>
      <c r="DG174" s="249" t="inlineStr">
        <is>
          <t>8,67x</t>
        </is>
      </c>
      <c r="DH174" s="250" t="inlineStr">
        <is>
          <t>84</t>
        </is>
      </c>
      <c r="DI174" s="251" t="inlineStr">
        <is>
          <t>0,57x</t>
        </is>
      </c>
      <c r="DJ174" s="252" t="inlineStr">
        <is>
          <t>41</t>
        </is>
      </c>
      <c r="DK174" s="253" t="inlineStr">
        <is>
          <t>1,08x</t>
        </is>
      </c>
      <c r="DL174" s="254" t="inlineStr">
        <is>
          <t>52</t>
        </is>
      </c>
      <c r="DM174" s="255" t="inlineStr">
        <is>
          <t>29.837</t>
        </is>
      </c>
      <c r="DN174" s="256" t="inlineStr">
        <is>
          <t>603</t>
        </is>
      </c>
      <c r="DO174" s="257" t="inlineStr">
        <is>
          <t>2,06%</t>
        </is>
      </c>
      <c r="DP174" s="258" t="inlineStr">
        <is>
          <t>457</t>
        </is>
      </c>
      <c r="DQ174" s="259" t="inlineStr">
        <is>
          <t>0</t>
        </is>
      </c>
      <c r="DR174" s="260" t="inlineStr">
        <is>
          <t>0,00%</t>
        </is>
      </c>
      <c r="DS174" s="261" t="inlineStr">
        <is>
          <t>313</t>
        </is>
      </c>
      <c r="DT174" s="262" t="inlineStr">
        <is>
          <t>0</t>
        </is>
      </c>
      <c r="DU174" s="263" t="inlineStr">
        <is>
          <t>0,00%</t>
        </is>
      </c>
      <c r="DV174" s="264" t="inlineStr">
        <is>
          <t>369</t>
        </is>
      </c>
      <c r="DW174" s="265" t="inlineStr">
        <is>
          <t>2</t>
        </is>
      </c>
      <c r="DX174" s="266" t="inlineStr">
        <is>
          <t>0,54%</t>
        </is>
      </c>
      <c r="DY174" s="267" t="inlineStr">
        <is>
          <t>PitchBook Research</t>
        </is>
      </c>
      <c r="DZ174" s="786">
        <f>HYPERLINK("https://my.pitchbook.com?c=55941-04", "View company online")</f>
      </c>
    </row>
    <row r="175">
      <c r="A175" s="9" t="inlineStr">
        <is>
          <t>63921-79</t>
        </is>
      </c>
      <c r="B175" s="10" t="inlineStr">
        <is>
          <t>Finexkap</t>
        </is>
      </c>
      <c r="C175" s="11" t="inlineStr">
        <is>
          <t/>
        </is>
      </c>
      <c r="D175" s="12" t="inlineStr">
        <is>
          <t/>
        </is>
      </c>
      <c r="E175" s="13" t="inlineStr">
        <is>
          <t>63921-79</t>
        </is>
      </c>
      <c r="F175" s="14" t="inlineStr">
        <is>
          <t>Provider of an online capital financing platform designed to finance invoices. The company's capital financing platform offers short-term capital funding without security deposit, enabling small and medium-sized enterprises to access cash through technology.</t>
        </is>
      </c>
      <c r="G175" s="15" t="inlineStr">
        <is>
          <t>Financial Services</t>
        </is>
      </c>
      <c r="H175" s="16" t="inlineStr">
        <is>
          <t>Other Financial Services</t>
        </is>
      </c>
      <c r="I175" s="17" t="inlineStr">
        <is>
          <t>Specialized Finance</t>
        </is>
      </c>
      <c r="J175" s="18" t="inlineStr">
        <is>
          <t>Specialized Finance*; Other Financial Services; Financial Software</t>
        </is>
      </c>
      <c r="K175" s="19" t="inlineStr">
        <is>
          <t>FinTech</t>
        </is>
      </c>
      <c r="L175" s="20" t="inlineStr">
        <is>
          <t>Venture Capital-Backed</t>
        </is>
      </c>
      <c r="M175" s="21" t="n">
        <v>18.03</v>
      </c>
      <c r="N175" s="22" t="inlineStr">
        <is>
          <t>Generating Revenue/Not Profitable</t>
        </is>
      </c>
      <c r="O175" s="23" t="inlineStr">
        <is>
          <t>Privately Held (backing)</t>
        </is>
      </c>
      <c r="P175" s="24" t="inlineStr">
        <is>
          <t>Venture Capital</t>
        </is>
      </c>
      <c r="Q175" s="25" t="inlineStr">
        <is>
          <t>www.finexkap.com</t>
        </is>
      </c>
      <c r="R175" s="26" t="n">
        <v>25.0</v>
      </c>
      <c r="S175" s="27" t="inlineStr">
        <is>
          <t/>
        </is>
      </c>
      <c r="T175" s="28" t="inlineStr">
        <is>
          <t/>
        </is>
      </c>
      <c r="U175" s="29" t="n">
        <v>2012.0</v>
      </c>
      <c r="V175" s="30" t="inlineStr">
        <is>
          <t/>
        </is>
      </c>
      <c r="W175" s="31" t="inlineStr">
        <is>
          <t/>
        </is>
      </c>
      <c r="X175" s="32" t="inlineStr">
        <is>
          <t/>
        </is>
      </c>
      <c r="Y175" s="33" t="n">
        <v>0.00775</v>
      </c>
      <c r="Z175" s="34" t="inlineStr">
        <is>
          <t/>
        </is>
      </c>
      <c r="AA175" s="35" t="n">
        <v>-1.1929</v>
      </c>
      <c r="AB175" s="36" t="inlineStr">
        <is>
          <t/>
        </is>
      </c>
      <c r="AC175" s="37" t="inlineStr">
        <is>
          <t/>
        </is>
      </c>
      <c r="AD175" s="38" t="inlineStr">
        <is>
          <t>FY 2014</t>
        </is>
      </c>
      <c r="AE175" s="39" t="inlineStr">
        <is>
          <t>124181-83P</t>
        </is>
      </c>
      <c r="AF175" s="40" t="inlineStr">
        <is>
          <t>Rashan Kadioglu</t>
        </is>
      </c>
      <c r="AG175" s="41" t="inlineStr">
        <is>
          <t>Chief Financial Officer</t>
        </is>
      </c>
      <c r="AH175" s="42" t="inlineStr">
        <is>
          <t>rk@finexkap.com</t>
        </is>
      </c>
      <c r="AI175" s="43" t="inlineStr">
        <is>
          <t>+33 (0)1 84 17 85 37</t>
        </is>
      </c>
      <c r="AJ175" s="44" t="inlineStr">
        <is>
          <t>Paris, France</t>
        </is>
      </c>
      <c r="AK175" s="45" t="inlineStr">
        <is>
          <t>100-102 avenue de Suffren</t>
        </is>
      </c>
      <c r="AL175" s="46" t="inlineStr">
        <is>
          <t/>
        </is>
      </c>
      <c r="AM175" s="47" t="inlineStr">
        <is>
          <t>Paris</t>
        </is>
      </c>
      <c r="AN175" s="48" t="inlineStr">
        <is>
          <t/>
        </is>
      </c>
      <c r="AO175" s="49" t="inlineStr">
        <is>
          <t>75015</t>
        </is>
      </c>
      <c r="AP175" s="50" t="inlineStr">
        <is>
          <t>France</t>
        </is>
      </c>
      <c r="AQ175" s="51" t="inlineStr">
        <is>
          <t>+33 (0)1 84 17 85 37</t>
        </is>
      </c>
      <c r="AR175" s="52" t="inlineStr">
        <is>
          <t/>
        </is>
      </c>
      <c r="AS175" s="53" t="inlineStr">
        <is>
          <t>info@finexkap.com</t>
        </is>
      </c>
      <c r="AT175" s="54" t="inlineStr">
        <is>
          <t>Europe</t>
        </is>
      </c>
      <c r="AU175" s="55" t="inlineStr">
        <is>
          <t>Western Europe</t>
        </is>
      </c>
      <c r="AV175" s="56" t="inlineStr">
        <is>
          <t>The company raised $22.5 million of venture through a combination of debt and equity on November 13, 2014. $7.5 million of Series A funding was raised from Finsight Ventures, Generis Capital Partners, GLI Finance, John Donovan and other undisclosed investors. A $15 million of debt portion was provided by undisclosed lenders. The company will use the funding to scale up its data and product operations, increase its marketing efforts and make additional strategic recruitment.</t>
        </is>
      </c>
      <c r="AW175" s="57" t="inlineStr">
        <is>
          <t>Finsight Ventures, Generis Capital Partners, GLI Finance, Individual Investor, John Donovan, Kima Ventures</t>
        </is>
      </c>
      <c r="AX175" s="58" t="n">
        <v>6.0</v>
      </c>
      <c r="AY175" s="59" t="inlineStr">
        <is>
          <t/>
        </is>
      </c>
      <c r="AZ175" s="60" t="inlineStr">
        <is>
          <t/>
        </is>
      </c>
      <c r="BA175" s="61" t="inlineStr">
        <is>
          <t/>
        </is>
      </c>
      <c r="BB175" s="62" t="inlineStr">
        <is>
          <t>Finsight Ventures (www.finsightvc.com), Generis Capital Partners (www.generiscapital.com), GLI Finance (www.glifinance.com), Kima Ventures (www.kimaventures.com)</t>
        </is>
      </c>
      <c r="BC175" s="63" t="inlineStr">
        <is>
          <t/>
        </is>
      </c>
      <c r="BD175" s="64" t="inlineStr">
        <is>
          <t/>
        </is>
      </c>
      <c r="BE175" s="65" t="inlineStr">
        <is>
          <t/>
        </is>
      </c>
      <c r="BF175" s="66" t="inlineStr">
        <is>
          <t/>
        </is>
      </c>
      <c r="BG175" s="67" t="n">
        <v>41481.0</v>
      </c>
      <c r="BH175" s="68" t="inlineStr">
        <is>
          <t/>
        </is>
      </c>
      <c r="BI175" s="69" t="inlineStr">
        <is>
          <t/>
        </is>
      </c>
      <c r="BJ175" s="70" t="inlineStr">
        <is>
          <t/>
        </is>
      </c>
      <c r="BK175" s="71" t="inlineStr">
        <is>
          <t/>
        </is>
      </c>
      <c r="BL175" s="72" t="inlineStr">
        <is>
          <t>Seed Round</t>
        </is>
      </c>
      <c r="BM175" s="73" t="inlineStr">
        <is>
          <t>Seed</t>
        </is>
      </c>
      <c r="BN175" s="74" t="inlineStr">
        <is>
          <t/>
        </is>
      </c>
      <c r="BO175" s="75" t="inlineStr">
        <is>
          <t>Venture Capital</t>
        </is>
      </c>
      <c r="BP175" s="76" t="inlineStr">
        <is>
          <t/>
        </is>
      </c>
      <c r="BQ175" s="77" t="inlineStr">
        <is>
          <t/>
        </is>
      </c>
      <c r="BR175" s="78" t="inlineStr">
        <is>
          <t/>
        </is>
      </c>
      <c r="BS175" s="79" t="inlineStr">
        <is>
          <t>Completed</t>
        </is>
      </c>
      <c r="BT175" s="80" t="n">
        <v>41956.0</v>
      </c>
      <c r="BU175" s="81" t="n">
        <v>18.03</v>
      </c>
      <c r="BV175" s="82" t="inlineStr">
        <is>
          <t>Actual</t>
        </is>
      </c>
      <c r="BW175" s="83" t="inlineStr">
        <is>
          <t/>
        </is>
      </c>
      <c r="BX175" s="84" t="inlineStr">
        <is>
          <t/>
        </is>
      </c>
      <c r="BY175" s="85" t="inlineStr">
        <is>
          <t>Early Stage VC</t>
        </is>
      </c>
      <c r="BZ175" s="86" t="inlineStr">
        <is>
          <t>Series A</t>
        </is>
      </c>
      <c r="CA175" s="87" t="inlineStr">
        <is>
          <t/>
        </is>
      </c>
      <c r="CB175" s="88" t="inlineStr">
        <is>
          <t>Venture Capital</t>
        </is>
      </c>
      <c r="CC175" s="89" t="inlineStr">
        <is>
          <t>Other Debt</t>
        </is>
      </c>
      <c r="CD175" s="90" t="inlineStr">
        <is>
          <t/>
        </is>
      </c>
      <c r="CE175" s="91" t="inlineStr">
        <is>
          <t/>
        </is>
      </c>
      <c r="CF175" s="92" t="inlineStr">
        <is>
          <t>Completed</t>
        </is>
      </c>
      <c r="CG175" s="93" t="inlineStr">
        <is>
          <t>-4,30%</t>
        </is>
      </c>
      <c r="CH175" s="94" t="inlineStr">
        <is>
          <t>1</t>
        </is>
      </c>
      <c r="CI175" s="95" t="inlineStr">
        <is>
          <t>-0,03%</t>
        </is>
      </c>
      <c r="CJ175" s="96" t="inlineStr">
        <is>
          <t>-0,64%</t>
        </is>
      </c>
      <c r="CK175" s="97" t="inlineStr">
        <is>
          <t>-8,58%</t>
        </is>
      </c>
      <c r="CL175" s="98" t="inlineStr">
        <is>
          <t>1</t>
        </is>
      </c>
      <c r="CM175" s="99" t="inlineStr">
        <is>
          <t>-0,01%</t>
        </is>
      </c>
      <c r="CN175" s="100" t="inlineStr">
        <is>
          <t>17</t>
        </is>
      </c>
      <c r="CO175" s="101" t="inlineStr">
        <is>
          <t>-16,47%</t>
        </is>
      </c>
      <c r="CP175" s="102" t="inlineStr">
        <is>
          <t>1</t>
        </is>
      </c>
      <c r="CQ175" s="103" t="inlineStr">
        <is>
          <t>-0,70%</t>
        </is>
      </c>
      <c r="CR175" s="104" t="inlineStr">
        <is>
          <t>5</t>
        </is>
      </c>
      <c r="CS175" s="105" t="inlineStr">
        <is>
          <t>-0,05%</t>
        </is>
      </c>
      <c r="CT175" s="106" t="inlineStr">
        <is>
          <t>6</t>
        </is>
      </c>
      <c r="CU175" s="107" t="inlineStr">
        <is>
          <t>0,03%</t>
        </is>
      </c>
      <c r="CV175" s="108" t="inlineStr">
        <is>
          <t>58</t>
        </is>
      </c>
      <c r="CW175" s="109" t="inlineStr">
        <is>
          <t>10,24x</t>
        </is>
      </c>
      <c r="CX175" s="110" t="inlineStr">
        <is>
          <t>87</t>
        </is>
      </c>
      <c r="CY175" s="111" t="inlineStr">
        <is>
          <t>0,19x</t>
        </is>
      </c>
      <c r="CZ175" s="112" t="inlineStr">
        <is>
          <t>1,93%</t>
        </is>
      </c>
      <c r="DA175" s="113" t="inlineStr">
        <is>
          <t>3,42x</t>
        </is>
      </c>
      <c r="DB175" s="114" t="inlineStr">
        <is>
          <t>75</t>
        </is>
      </c>
      <c r="DC175" s="115" t="inlineStr">
        <is>
          <t>17,07x</t>
        </is>
      </c>
      <c r="DD175" s="116" t="inlineStr">
        <is>
          <t>89</t>
        </is>
      </c>
      <c r="DE175" s="117" t="inlineStr">
        <is>
          <t>0,62x</t>
        </is>
      </c>
      <c r="DF175" s="118" t="inlineStr">
        <is>
          <t>41</t>
        </is>
      </c>
      <c r="DG175" s="119" t="inlineStr">
        <is>
          <t>6,22x</t>
        </is>
      </c>
      <c r="DH175" s="120" t="inlineStr">
        <is>
          <t>81</t>
        </is>
      </c>
      <c r="DI175" s="121" t="inlineStr">
        <is>
          <t>8,97x</t>
        </is>
      </c>
      <c r="DJ175" s="122" t="inlineStr">
        <is>
          <t>81</t>
        </is>
      </c>
      <c r="DK175" s="123" t="inlineStr">
        <is>
          <t>25,16x</t>
        </is>
      </c>
      <c r="DL175" s="124" t="inlineStr">
        <is>
          <t>93</t>
        </is>
      </c>
      <c r="DM175" s="125" t="inlineStr">
        <is>
          <t>476</t>
        </is>
      </c>
      <c r="DN175" s="126" t="inlineStr">
        <is>
          <t>-281</t>
        </is>
      </c>
      <c r="DO175" s="127" t="inlineStr">
        <is>
          <t>-37,12%</t>
        </is>
      </c>
      <c r="DP175" s="128" t="inlineStr">
        <is>
          <t>7.168</t>
        </is>
      </c>
      <c r="DQ175" s="129" t="inlineStr">
        <is>
          <t>-3</t>
        </is>
      </c>
      <c r="DR175" s="130" t="inlineStr">
        <is>
          <t>-0,04%</t>
        </is>
      </c>
      <c r="DS175" s="131" t="inlineStr">
        <is>
          <t>225</t>
        </is>
      </c>
      <c r="DT175" s="132" t="inlineStr">
        <is>
          <t>-2</t>
        </is>
      </c>
      <c r="DU175" s="133" t="inlineStr">
        <is>
          <t>-0,88%</t>
        </is>
      </c>
      <c r="DV175" s="134" t="inlineStr">
        <is>
          <t>8.631</t>
        </is>
      </c>
      <c r="DW175" s="135" t="inlineStr">
        <is>
          <t>-2</t>
        </is>
      </c>
      <c r="DX175" s="136" t="inlineStr">
        <is>
          <t>-0,02%</t>
        </is>
      </c>
      <c r="DY175" s="137" t="inlineStr">
        <is>
          <t>PitchBook Research</t>
        </is>
      </c>
      <c r="DZ175" s="785">
        <f>HYPERLINK("https://my.pitchbook.com?c=63921-79", "View company online")</f>
      </c>
    </row>
    <row r="176">
      <c r="A176" s="139" t="inlineStr">
        <is>
          <t>100273-15</t>
        </is>
      </c>
      <c r="B176" s="140" t="inlineStr">
        <is>
          <t>FinLeap</t>
        </is>
      </c>
      <c r="C176" s="141" t="inlineStr">
        <is>
          <t/>
        </is>
      </c>
      <c r="D176" s="142" t="inlineStr">
        <is>
          <t/>
        </is>
      </c>
      <c r="E176" s="143" t="inlineStr">
        <is>
          <t>100273-15</t>
        </is>
      </c>
      <c r="F176" s="144" t="inlineStr">
        <is>
          <t>Provider of seed funding and services to finance based industry designed to reshape finance. The company's seed services and funding provides up to five million Euros in seed funding to access a strong investor network and top talent, an integrated development platform and practice processes, enabling startups to access technological capabilities and industry expertise.</t>
        </is>
      </c>
      <c r="G176" s="145" t="inlineStr">
        <is>
          <t>Financial Services</t>
        </is>
      </c>
      <c r="H176" s="146" t="inlineStr">
        <is>
          <t>Capital Markets/Institutions</t>
        </is>
      </c>
      <c r="I176" s="147" t="inlineStr">
        <is>
          <t>Private Equity</t>
        </is>
      </c>
      <c r="J176" s="148" t="inlineStr">
        <is>
          <t>Private Equity*; Other Financial Services</t>
        </is>
      </c>
      <c r="K176" s="149" t="inlineStr">
        <is>
          <t/>
        </is>
      </c>
      <c r="L176" s="150" t="inlineStr">
        <is>
          <t>Venture Capital-Backed</t>
        </is>
      </c>
      <c r="M176" s="151" t="n">
        <v>60.0</v>
      </c>
      <c r="N176" s="152" t="inlineStr">
        <is>
          <t>Profitable</t>
        </is>
      </c>
      <c r="O176" s="153" t="inlineStr">
        <is>
          <t>Privately Held (backing)</t>
        </is>
      </c>
      <c r="P176" s="154" t="inlineStr">
        <is>
          <t>Venture Capital</t>
        </is>
      </c>
      <c r="Q176" s="155" t="inlineStr">
        <is>
          <t>www.finleap.com</t>
        </is>
      </c>
      <c r="R176" s="156" t="n">
        <v>250.0</v>
      </c>
      <c r="S176" s="157" t="inlineStr">
        <is>
          <t/>
        </is>
      </c>
      <c r="T176" s="158" t="inlineStr">
        <is>
          <t/>
        </is>
      </c>
      <c r="U176" s="159" t="n">
        <v>2014.0</v>
      </c>
      <c r="V176" s="160" t="inlineStr">
        <is>
          <t/>
        </is>
      </c>
      <c r="W176" s="161" t="inlineStr">
        <is>
          <t/>
        </is>
      </c>
      <c r="X176" s="162" t="inlineStr">
        <is>
          <t/>
        </is>
      </c>
      <c r="Y176" s="163" t="inlineStr">
        <is>
          <t/>
        </is>
      </c>
      <c r="Z176" s="164" t="inlineStr">
        <is>
          <t/>
        </is>
      </c>
      <c r="AA176" s="165" t="inlineStr">
        <is>
          <t/>
        </is>
      </c>
      <c r="AB176" s="166" t="inlineStr">
        <is>
          <t/>
        </is>
      </c>
      <c r="AC176" s="167" t="inlineStr">
        <is>
          <t/>
        </is>
      </c>
      <c r="AD176" s="168" t="inlineStr">
        <is>
          <t/>
        </is>
      </c>
      <c r="AE176" s="169" t="inlineStr">
        <is>
          <t>97379-11P</t>
        </is>
      </c>
      <c r="AF176" s="170" t="inlineStr">
        <is>
          <t>Elie Cukierman</t>
        </is>
      </c>
      <c r="AG176" s="171" t="inlineStr">
        <is>
          <t>Partner &amp; Advisor</t>
        </is>
      </c>
      <c r="AH176" s="172" t="inlineStr">
        <is>
          <t/>
        </is>
      </c>
      <c r="AI176" s="173" t="inlineStr">
        <is>
          <t>+49 (0)30 6098 6529 0</t>
        </is>
      </c>
      <c r="AJ176" s="174" t="inlineStr">
        <is>
          <t>Berlin, Germany</t>
        </is>
      </c>
      <c r="AK176" s="175" t="inlineStr">
        <is>
          <t>Hardenbergstraße 32</t>
        </is>
      </c>
      <c r="AL176" s="176" t="inlineStr">
        <is>
          <t/>
        </is>
      </c>
      <c r="AM176" s="177" t="inlineStr">
        <is>
          <t>Berlin</t>
        </is>
      </c>
      <c r="AN176" s="178" t="inlineStr">
        <is>
          <t/>
        </is>
      </c>
      <c r="AO176" s="179" t="inlineStr">
        <is>
          <t>10623</t>
        </is>
      </c>
      <c r="AP176" s="180" t="inlineStr">
        <is>
          <t>Germany</t>
        </is>
      </c>
      <c r="AQ176" s="181" t="inlineStr">
        <is>
          <t>+49 (0)30 6098 6529 0</t>
        </is>
      </c>
      <c r="AR176" s="182" t="inlineStr">
        <is>
          <t/>
        </is>
      </c>
      <c r="AS176" s="183" t="inlineStr">
        <is>
          <t>info@finleap.com</t>
        </is>
      </c>
      <c r="AT176" s="184" t="inlineStr">
        <is>
          <t>Europe</t>
        </is>
      </c>
      <c r="AU176" s="185" t="inlineStr">
        <is>
          <t>Western Europe</t>
        </is>
      </c>
      <c r="AV176" s="186" t="inlineStr">
        <is>
          <t>The company raised EUR 39 million of venture funding from Signal Iduna, Japan's SBI Group and NIBC Bank on July 17, 2017. Hannover Re also participated in this round. The company will use this funding to support its ongoing fintech incubation programme. Ealier, the company raised EUR 21 million of venture funding from HitFox Group,Yabeo Capital and Hannover Re on June 13, 2016, putting the company's post-money valuation at EUR 121 million.</t>
        </is>
      </c>
      <c r="AW176" s="187" t="inlineStr">
        <is>
          <t>Dirk Freytag, Hannover Re, HitFox Group, NIBC Bank, SBI Holdings, SIGNAL IDUNA, yabeo Capital</t>
        </is>
      </c>
      <c r="AX176" s="188" t="n">
        <v>7.0</v>
      </c>
      <c r="AY176" s="189" t="inlineStr">
        <is>
          <t/>
        </is>
      </c>
      <c r="AZ176" s="190" t="inlineStr">
        <is>
          <t/>
        </is>
      </c>
      <c r="BA176" s="191" t="inlineStr">
        <is>
          <t/>
        </is>
      </c>
      <c r="BB176" s="192" t="inlineStr">
        <is>
          <t>Hannover Re (www.hannover-re.com), HitFox Group (www.hitfoxgroup.com), NIBC Bank (www.nibc.com), SBI Holdings (www.sbigroup.co.jp), SIGNAL IDUNA (www.signal-iduna.de), yabeo Capital (www.yabeo.de)</t>
        </is>
      </c>
      <c r="BC176" s="193" t="inlineStr">
        <is>
          <t/>
        </is>
      </c>
      <c r="BD176" s="194" t="inlineStr">
        <is>
          <t/>
        </is>
      </c>
      <c r="BE176" s="195" t="inlineStr">
        <is>
          <t/>
        </is>
      </c>
      <c r="BF176" s="196" t="inlineStr">
        <is>
          <t/>
        </is>
      </c>
      <c r="BG176" s="197" t="n">
        <v>41974.0</v>
      </c>
      <c r="BH176" s="198" t="inlineStr">
        <is>
          <t/>
        </is>
      </c>
      <c r="BI176" s="199" t="inlineStr">
        <is>
          <t/>
        </is>
      </c>
      <c r="BJ176" s="200" t="inlineStr">
        <is>
          <t/>
        </is>
      </c>
      <c r="BK176" s="201" t="inlineStr">
        <is>
          <t/>
        </is>
      </c>
      <c r="BL176" s="202" t="inlineStr">
        <is>
          <t>Early Stage VC</t>
        </is>
      </c>
      <c r="BM176" s="203" t="inlineStr">
        <is>
          <t/>
        </is>
      </c>
      <c r="BN176" s="204" t="inlineStr">
        <is>
          <t/>
        </is>
      </c>
      <c r="BO176" s="205" t="inlineStr">
        <is>
          <t>Venture Capital</t>
        </is>
      </c>
      <c r="BP176" s="206" t="inlineStr">
        <is>
          <t/>
        </is>
      </c>
      <c r="BQ176" s="207" t="inlineStr">
        <is>
          <t/>
        </is>
      </c>
      <c r="BR176" s="208" t="inlineStr">
        <is>
          <t/>
        </is>
      </c>
      <c r="BS176" s="209" t="inlineStr">
        <is>
          <t>Completed</t>
        </is>
      </c>
      <c r="BT176" s="210" t="n">
        <v>42933.0</v>
      </c>
      <c r="BU176" s="211" t="n">
        <v>39.0</v>
      </c>
      <c r="BV176" s="212" t="inlineStr">
        <is>
          <t>Actual</t>
        </is>
      </c>
      <c r="BW176" s="213" t="inlineStr">
        <is>
          <t/>
        </is>
      </c>
      <c r="BX176" s="214" t="inlineStr">
        <is>
          <t/>
        </is>
      </c>
      <c r="BY176" s="215" t="inlineStr">
        <is>
          <t>Early Stage VC</t>
        </is>
      </c>
      <c r="BZ176" s="216" t="inlineStr">
        <is>
          <t/>
        </is>
      </c>
      <c r="CA176" s="217" t="inlineStr">
        <is>
          <t/>
        </is>
      </c>
      <c r="CB176" s="218" t="inlineStr">
        <is>
          <t>Venture Capital</t>
        </is>
      </c>
      <c r="CC176" s="219" t="inlineStr">
        <is>
          <t/>
        </is>
      </c>
      <c r="CD176" s="220" t="inlineStr">
        <is>
          <t/>
        </is>
      </c>
      <c r="CE176" s="221" t="inlineStr">
        <is>
          <t/>
        </is>
      </c>
      <c r="CF176" s="222" t="inlineStr">
        <is>
          <t>Completed</t>
        </is>
      </c>
      <c r="CG176" s="223" t="inlineStr">
        <is>
          <t>-1,61%</t>
        </is>
      </c>
      <c r="CH176" s="224" t="inlineStr">
        <is>
          <t>3</t>
        </is>
      </c>
      <c r="CI176" s="225" t="inlineStr">
        <is>
          <t>0,00%</t>
        </is>
      </c>
      <c r="CJ176" s="226" t="inlineStr">
        <is>
          <t>-0,01%</t>
        </is>
      </c>
      <c r="CK176" s="227" t="inlineStr">
        <is>
          <t>-3,70%</t>
        </is>
      </c>
      <c r="CL176" s="228" t="inlineStr">
        <is>
          <t>2</t>
        </is>
      </c>
      <c r="CM176" s="229" t="inlineStr">
        <is>
          <t>0,48%</t>
        </is>
      </c>
      <c r="CN176" s="230" t="inlineStr">
        <is>
          <t>89</t>
        </is>
      </c>
      <c r="CO176" s="231" t="inlineStr">
        <is>
          <t>-7,74%</t>
        </is>
      </c>
      <c r="CP176" s="232" t="inlineStr">
        <is>
          <t>3</t>
        </is>
      </c>
      <c r="CQ176" s="233" t="inlineStr">
        <is>
          <t>0,35%</t>
        </is>
      </c>
      <c r="CR176" s="234" t="inlineStr">
        <is>
          <t>85</t>
        </is>
      </c>
      <c r="CS176" s="235" t="inlineStr">
        <is>
          <t>0,45%</t>
        </is>
      </c>
      <c r="CT176" s="236" t="inlineStr">
        <is>
          <t>86</t>
        </is>
      </c>
      <c r="CU176" s="237" t="inlineStr">
        <is>
          <t>0,50%</t>
        </is>
      </c>
      <c r="CV176" s="238" t="inlineStr">
        <is>
          <t>92</t>
        </is>
      </c>
      <c r="CW176" s="239" t="inlineStr">
        <is>
          <t>7,94x</t>
        </is>
      </c>
      <c r="CX176" s="240" t="inlineStr">
        <is>
          <t>84</t>
        </is>
      </c>
      <c r="CY176" s="241" t="inlineStr">
        <is>
          <t>0,16x</t>
        </is>
      </c>
      <c r="CZ176" s="242" t="inlineStr">
        <is>
          <t>2,00%</t>
        </is>
      </c>
      <c r="DA176" s="243" t="inlineStr">
        <is>
          <t>7,62x</t>
        </is>
      </c>
      <c r="DB176" s="244" t="inlineStr">
        <is>
          <t>85</t>
        </is>
      </c>
      <c r="DC176" s="245" t="inlineStr">
        <is>
          <t>8,26x</t>
        </is>
      </c>
      <c r="DD176" s="246" t="inlineStr">
        <is>
          <t>82</t>
        </is>
      </c>
      <c r="DE176" s="247" t="inlineStr">
        <is>
          <t>6,19x</t>
        </is>
      </c>
      <c r="DF176" s="248" t="inlineStr">
        <is>
          <t>79</t>
        </is>
      </c>
      <c r="DG176" s="249" t="inlineStr">
        <is>
          <t>9,06x</t>
        </is>
      </c>
      <c r="DH176" s="250" t="inlineStr">
        <is>
          <t>85</t>
        </is>
      </c>
      <c r="DI176" s="251" t="inlineStr">
        <is>
          <t>1,21x</t>
        </is>
      </c>
      <c r="DJ176" s="252" t="inlineStr">
        <is>
          <t>54</t>
        </is>
      </c>
      <c r="DK176" s="253" t="inlineStr">
        <is>
          <t>15,30x</t>
        </is>
      </c>
      <c r="DL176" s="254" t="inlineStr">
        <is>
          <t>90</t>
        </is>
      </c>
      <c r="DM176" s="255" t="inlineStr">
        <is>
          <t>3.919</t>
        </is>
      </c>
      <c r="DN176" s="256" t="inlineStr">
        <is>
          <t>-330</t>
        </is>
      </c>
      <c r="DO176" s="257" t="inlineStr">
        <is>
          <t>-7,77%</t>
        </is>
      </c>
      <c r="DP176" s="258" t="inlineStr">
        <is>
          <t>965</t>
        </is>
      </c>
      <c r="DQ176" s="259" t="inlineStr">
        <is>
          <t>3</t>
        </is>
      </c>
      <c r="DR176" s="260" t="inlineStr">
        <is>
          <t>0,31%</t>
        </is>
      </c>
      <c r="DS176" s="261" t="inlineStr">
        <is>
          <t>326</t>
        </is>
      </c>
      <c r="DT176" s="262" t="inlineStr">
        <is>
          <t>-1</t>
        </is>
      </c>
      <c r="DU176" s="263" t="inlineStr">
        <is>
          <t>-0,31%</t>
        </is>
      </c>
      <c r="DV176" s="264" t="inlineStr">
        <is>
          <t>5.235</t>
        </is>
      </c>
      <c r="DW176" s="265" t="inlineStr">
        <is>
          <t>28</t>
        </is>
      </c>
      <c r="DX176" s="266" t="inlineStr">
        <is>
          <t>0,54%</t>
        </is>
      </c>
      <c r="DY176" s="267" t="inlineStr">
        <is>
          <t>PitchBook Research</t>
        </is>
      </c>
      <c r="DZ176" s="786">
        <f>HYPERLINK("https://my.pitchbook.com?c=100273-15", "View company online")</f>
      </c>
    </row>
    <row r="177">
      <c r="A177" s="9" t="inlineStr">
        <is>
          <t>162546-58</t>
        </is>
      </c>
      <c r="B177" s="10" t="inlineStr">
        <is>
          <t>FiveAI</t>
        </is>
      </c>
      <c r="C177" s="11" t="inlineStr">
        <is>
          <t/>
        </is>
      </c>
      <c r="D177" s="12" t="inlineStr">
        <is>
          <t/>
        </is>
      </c>
      <c r="E177" s="13" t="inlineStr">
        <is>
          <t>162546-58</t>
        </is>
      </c>
      <c r="F177" s="14" t="inlineStr">
        <is>
          <t>Provider of an autonomous vehicle software designed to build the brains and navigation systems to power the autonomous cars of the future. The company's AI-powered system uses multiple sensors around the vehicle to provide a view of the environment, enabling self-driving cars to navigate all kinds of environments using simpler maps than has traditionally been possible.</t>
        </is>
      </c>
      <c r="G177" s="15" t="inlineStr">
        <is>
          <t>Consumer Products and Services (B2C)</t>
        </is>
      </c>
      <c r="H177" s="16" t="inlineStr">
        <is>
          <t>Transportation</t>
        </is>
      </c>
      <c r="I177" s="17" t="inlineStr">
        <is>
          <t>Automotive</t>
        </is>
      </c>
      <c r="J177" s="18" t="inlineStr">
        <is>
          <t>Automotive*; Vertical Market Software</t>
        </is>
      </c>
      <c r="K177" s="19" t="inlineStr">
        <is>
          <t>Artificial Intelligence &amp; Machine Learning, Autonomous cars, Big Data</t>
        </is>
      </c>
      <c r="L177" s="20" t="inlineStr">
        <is>
          <t>Venture Capital-Backed</t>
        </is>
      </c>
      <c r="M177" s="21" t="n">
        <v>17.81</v>
      </c>
      <c r="N177" s="22" t="inlineStr">
        <is>
          <t>Startup</t>
        </is>
      </c>
      <c r="O177" s="23" t="inlineStr">
        <is>
          <t>Privately Held (backing)</t>
        </is>
      </c>
      <c r="P177" s="24" t="inlineStr">
        <is>
          <t>Venture Capital</t>
        </is>
      </c>
      <c r="Q177" s="25" t="inlineStr">
        <is>
          <t>www.five.ai</t>
        </is>
      </c>
      <c r="R177" s="26" t="inlineStr">
        <is>
          <t/>
        </is>
      </c>
      <c r="S177" s="27" t="inlineStr">
        <is>
          <t/>
        </is>
      </c>
      <c r="T177" s="28" t="inlineStr">
        <is>
          <t/>
        </is>
      </c>
      <c r="U177" s="29" t="n">
        <v>2015.0</v>
      </c>
      <c r="V177" s="30" t="inlineStr">
        <is>
          <t/>
        </is>
      </c>
      <c r="W177" s="31" t="inlineStr">
        <is>
          <t/>
        </is>
      </c>
      <c r="X177" s="32" t="inlineStr">
        <is>
          <r>
            <rPr>
              <b/>
              <color rgb="ff26854d"/>
              <rFont val="Arial"/>
              <sz val="8.0"/>
            </rPr>
            <t>Deal</t>
          </r>
          <r>
            <rPr>
              <color rgb="ff707070"/>
              <rFont val="Arial"/>
              <sz val="7.0"/>
            </rPr>
            <t xml:space="preserve"> NEW  </t>
          </r>
          <r>
            <rPr>
              <color rgb="ff000000"/>
              <rFont val="Arial"/>
              <sz val="8.0"/>
            </rPr>
            <t>Early Stage VC (Series A), 2017</t>
          </r>
          <r>
            <rPr>
              <color rgb="ff707070"/>
              <rFont val="Arial"/>
              <sz val="7.0"/>
            </rPr>
            <t xml:space="preserve"> Completed</t>
          </r>
        </is>
      </c>
      <c r="Y177" s="33" t="inlineStr">
        <is>
          <t/>
        </is>
      </c>
      <c r="Z177" s="34" t="inlineStr">
        <is>
          <t/>
        </is>
      </c>
      <c r="AA177" s="35" t="inlineStr">
        <is>
          <t/>
        </is>
      </c>
      <c r="AB177" s="36" t="inlineStr">
        <is>
          <t/>
        </is>
      </c>
      <c r="AC177" s="37" t="inlineStr">
        <is>
          <t/>
        </is>
      </c>
      <c r="AD177" s="38" t="inlineStr">
        <is>
          <t/>
        </is>
      </c>
      <c r="AE177" s="39" t="inlineStr">
        <is>
          <t>30488-05P</t>
        </is>
      </c>
      <c r="AF177" s="40" t="inlineStr">
        <is>
          <t>Stan Boland</t>
        </is>
      </c>
      <c r="AG177" s="41" t="inlineStr">
        <is>
          <t>Chief Executive Officer</t>
        </is>
      </c>
      <c r="AH177" s="42" t="inlineStr">
        <is>
          <t>stan.boland@fiveai.com</t>
        </is>
      </c>
      <c r="AI177" s="43" t="inlineStr">
        <is>
          <t/>
        </is>
      </c>
      <c r="AJ177" s="44" t="inlineStr">
        <is>
          <t>Bristol, United Kingdom</t>
        </is>
      </c>
      <c r="AK177" s="45" t="inlineStr">
        <is>
          <t>160 Aztec West</t>
        </is>
      </c>
      <c r="AL177" s="46" t="inlineStr">
        <is>
          <t/>
        </is>
      </c>
      <c r="AM177" s="47" t="inlineStr">
        <is>
          <t>Bristol</t>
        </is>
      </c>
      <c r="AN177" s="48" t="inlineStr">
        <is>
          <t>England</t>
        </is>
      </c>
      <c r="AO177" s="49" t="inlineStr">
        <is>
          <t>BS32 4TU</t>
        </is>
      </c>
      <c r="AP177" s="50" t="inlineStr">
        <is>
          <t>United Kingdom</t>
        </is>
      </c>
      <c r="AQ177" s="51" t="inlineStr">
        <is>
          <t/>
        </is>
      </c>
      <c r="AR177" s="52" t="inlineStr">
        <is>
          <t/>
        </is>
      </c>
      <c r="AS177" s="53" t="inlineStr">
        <is>
          <t/>
        </is>
      </c>
      <c r="AT177" s="54" t="inlineStr">
        <is>
          <t>Europe</t>
        </is>
      </c>
      <c r="AU177" s="55" t="inlineStr">
        <is>
          <t>Western Europe</t>
        </is>
      </c>
      <c r="AV177" s="56" t="inlineStr">
        <is>
          <t>The company raised GBP 14 million of Series A venture funding led by Lakestar Capital on September 5, 2017. Notion Capital, Amadeus Capital Partners and Kindred also participated. The company will use the funds to continue to develop and test its solutions. The company also received GBP 12.8 million of grant funding from Government of UK in 2017. The company will use the funding to bring autonomous vehicles to London by 2019.</t>
        </is>
      </c>
      <c r="AW177" s="57" t="inlineStr">
        <is>
          <t>Amadeus Capital Partners, Government of UK, Kindred Capital, Lakestar Capital, Notion Capital</t>
        </is>
      </c>
      <c r="AX177" s="58" t="n">
        <v>5.0</v>
      </c>
      <c r="AY177" s="59" t="inlineStr">
        <is>
          <t/>
        </is>
      </c>
      <c r="AZ177" s="60" t="inlineStr">
        <is>
          <t/>
        </is>
      </c>
      <c r="BA177" s="61" t="inlineStr">
        <is>
          <t/>
        </is>
      </c>
      <c r="BB177" s="62" t="inlineStr">
        <is>
          <t>Amadeus Capital Partners (www.amadeuscapital.com), Government of UK (www.gov.uk), Kindred Capital (www.kindredcapital.vc), Lakestar Capital (www.lakestarcapital.com), Notion Capital (www.notioncapital.com)</t>
        </is>
      </c>
      <c r="BC177" s="63" t="inlineStr">
        <is>
          <t/>
        </is>
      </c>
      <c r="BD177" s="64" t="inlineStr">
        <is>
          <t/>
        </is>
      </c>
      <c r="BE177" s="65" t="inlineStr">
        <is>
          <t>Gunderson Dettmer (Legal Advisor)</t>
        </is>
      </c>
      <c r="BF177" s="66" t="inlineStr">
        <is>
          <t>Gunderson Dettmer (Legal Advisor)</t>
        </is>
      </c>
      <c r="BG177" s="67" t="n">
        <v>42552.0</v>
      </c>
      <c r="BH177" s="68" t="n">
        <v>2.44</v>
      </c>
      <c r="BI177" s="69" t="inlineStr">
        <is>
          <t>Actual</t>
        </is>
      </c>
      <c r="BJ177" s="70" t="inlineStr">
        <is>
          <t/>
        </is>
      </c>
      <c r="BK177" s="71" t="inlineStr">
        <is>
          <t/>
        </is>
      </c>
      <c r="BL177" s="72" t="inlineStr">
        <is>
          <t>Seed Round</t>
        </is>
      </c>
      <c r="BM177" s="73" t="inlineStr">
        <is>
          <t>Seed</t>
        </is>
      </c>
      <c r="BN177" s="74" t="inlineStr">
        <is>
          <t/>
        </is>
      </c>
      <c r="BO177" s="75" t="inlineStr">
        <is>
          <t>Venture Capital</t>
        </is>
      </c>
      <c r="BP177" s="76" t="inlineStr">
        <is>
          <t/>
        </is>
      </c>
      <c r="BQ177" s="77" t="inlineStr">
        <is>
          <t/>
        </is>
      </c>
      <c r="BR177" s="78" t="inlineStr">
        <is>
          <t/>
        </is>
      </c>
      <c r="BS177" s="79" t="inlineStr">
        <is>
          <t>Completed</t>
        </is>
      </c>
      <c r="BT177" s="80" t="n">
        <v>42983.0</v>
      </c>
      <c r="BU177" s="81" t="n">
        <v>15.37</v>
      </c>
      <c r="BV177" s="82" t="inlineStr">
        <is>
          <t>Actual</t>
        </is>
      </c>
      <c r="BW177" s="83" t="inlineStr">
        <is>
          <t/>
        </is>
      </c>
      <c r="BX177" s="84" t="inlineStr">
        <is>
          <t/>
        </is>
      </c>
      <c r="BY177" s="85" t="inlineStr">
        <is>
          <t>Early Stage VC</t>
        </is>
      </c>
      <c r="BZ177" s="86" t="inlineStr">
        <is>
          <t>Series A</t>
        </is>
      </c>
      <c r="CA177" s="87" t="inlineStr">
        <is>
          <t/>
        </is>
      </c>
      <c r="CB177" s="88" t="inlineStr">
        <is>
          <t>Venture Capital</t>
        </is>
      </c>
      <c r="CC177" s="89" t="inlineStr">
        <is>
          <t/>
        </is>
      </c>
      <c r="CD177" s="90" t="inlineStr">
        <is>
          <t/>
        </is>
      </c>
      <c r="CE177" s="91" t="inlineStr">
        <is>
          <t/>
        </is>
      </c>
      <c r="CF177" s="92" t="inlineStr">
        <is>
          <t>Completed</t>
        </is>
      </c>
      <c r="CG177" s="93" t="inlineStr">
        <is>
          <t>-6,63%</t>
        </is>
      </c>
      <c r="CH177" s="94" t="inlineStr">
        <is>
          <t>1</t>
        </is>
      </c>
      <c r="CI177" s="95" t="inlineStr">
        <is>
          <t>0,00%</t>
        </is>
      </c>
      <c r="CJ177" s="96" t="inlineStr">
        <is>
          <t>0,00%</t>
        </is>
      </c>
      <c r="CK177" s="97" t="inlineStr">
        <is>
          <t>-6,63%</t>
        </is>
      </c>
      <c r="CL177" s="98" t="inlineStr">
        <is>
          <t>1</t>
        </is>
      </c>
      <c r="CM177" s="99" t="inlineStr">
        <is>
          <t/>
        </is>
      </c>
      <c r="CN177" s="100" t="inlineStr">
        <is>
          <t/>
        </is>
      </c>
      <c r="CO177" s="101" t="inlineStr">
        <is>
          <t>-6,63%</t>
        </is>
      </c>
      <c r="CP177" s="102" t="inlineStr">
        <is>
          <t>4</t>
        </is>
      </c>
      <c r="CQ177" s="103" t="inlineStr">
        <is>
          <t/>
        </is>
      </c>
      <c r="CR177" s="104" t="inlineStr">
        <is>
          <t/>
        </is>
      </c>
      <c r="CS177" s="105" t="inlineStr">
        <is>
          <t/>
        </is>
      </c>
      <c r="CT177" s="106" t="inlineStr">
        <is>
          <t/>
        </is>
      </c>
      <c r="CU177" s="107" t="inlineStr">
        <is>
          <t/>
        </is>
      </c>
      <c r="CV177" s="108" t="inlineStr">
        <is>
          <t/>
        </is>
      </c>
      <c r="CW177" s="109" t="inlineStr">
        <is>
          <t>2,48x</t>
        </is>
      </c>
      <c r="CX177" s="110" t="inlineStr">
        <is>
          <t>68</t>
        </is>
      </c>
      <c r="CY177" s="111" t="inlineStr">
        <is>
          <t>0,00x</t>
        </is>
      </c>
      <c r="CZ177" s="112" t="inlineStr">
        <is>
          <t>0,00%</t>
        </is>
      </c>
      <c r="DA177" s="113" t="inlineStr">
        <is>
          <t>2,48x</t>
        </is>
      </c>
      <c r="DB177" s="114" t="inlineStr">
        <is>
          <t>70</t>
        </is>
      </c>
      <c r="DC177" s="115" t="inlineStr">
        <is>
          <t/>
        </is>
      </c>
      <c r="DD177" s="116" t="inlineStr">
        <is>
          <t/>
        </is>
      </c>
      <c r="DE177" s="117" t="inlineStr">
        <is>
          <t>2,48x</t>
        </is>
      </c>
      <c r="DF177" s="118" t="inlineStr">
        <is>
          <t>67</t>
        </is>
      </c>
      <c r="DG177" s="119" t="inlineStr">
        <is>
          <t/>
        </is>
      </c>
      <c r="DH177" s="120" t="inlineStr">
        <is>
          <t/>
        </is>
      </c>
      <c r="DI177" s="121" t="inlineStr">
        <is>
          <t/>
        </is>
      </c>
      <c r="DJ177" s="122" t="inlineStr">
        <is>
          <t/>
        </is>
      </c>
      <c r="DK177" s="123" t="inlineStr">
        <is>
          <t/>
        </is>
      </c>
      <c r="DL177" s="124" t="inlineStr">
        <is>
          <t/>
        </is>
      </c>
      <c r="DM177" s="125" t="inlineStr">
        <is>
          <t>1.530</t>
        </is>
      </c>
      <c r="DN177" s="126" t="inlineStr">
        <is>
          <t>-9</t>
        </is>
      </c>
      <c r="DO177" s="127" t="inlineStr">
        <is>
          <t>-0,58%</t>
        </is>
      </c>
      <c r="DP177" s="128" t="inlineStr">
        <is>
          <t/>
        </is>
      </c>
      <c r="DQ177" s="129" t="inlineStr">
        <is>
          <t/>
        </is>
      </c>
      <c r="DR177" s="130" t="inlineStr">
        <is>
          <t/>
        </is>
      </c>
      <c r="DS177" s="131" t="inlineStr">
        <is>
          <t/>
        </is>
      </c>
      <c r="DT177" s="132" t="inlineStr">
        <is>
          <t/>
        </is>
      </c>
      <c r="DU177" s="133" t="inlineStr">
        <is>
          <t/>
        </is>
      </c>
      <c r="DV177" s="134" t="inlineStr">
        <is>
          <t/>
        </is>
      </c>
      <c r="DW177" s="135" t="inlineStr">
        <is>
          <t/>
        </is>
      </c>
      <c r="DX177" s="136" t="inlineStr">
        <is>
          <t/>
        </is>
      </c>
      <c r="DY177" s="137" t="inlineStr">
        <is>
          <t>PitchBook Research</t>
        </is>
      </c>
      <c r="DZ177" s="785">
        <f>HYPERLINK("https://my.pitchbook.com?c=162546-58", "View company online")</f>
      </c>
    </row>
    <row r="178">
      <c r="A178" s="139" t="inlineStr">
        <is>
          <t>119900-08</t>
        </is>
      </c>
      <c r="B178" s="140" t="inlineStr">
        <is>
          <t>Fjell Subsea Products</t>
        </is>
      </c>
      <c r="C178" s="141" t="inlineStr">
        <is>
          <t/>
        </is>
      </c>
      <c r="D178" s="142" t="inlineStr">
        <is>
          <t>FSP</t>
        </is>
      </c>
      <c r="E178" s="143" t="inlineStr">
        <is>
          <t>119900-08</t>
        </is>
      </c>
      <c r="F178" s="144" t="inlineStr">
        <is>
          <t>Manufacturer and designer of engineering products for the energy industry. The company provides ROV and hand operated stab plates and single bore connectors.</t>
        </is>
      </c>
      <c r="G178" s="145" t="inlineStr">
        <is>
          <t>Business Products and Services (B2B)</t>
        </is>
      </c>
      <c r="H178" s="146" t="inlineStr">
        <is>
          <t>Commercial Services</t>
        </is>
      </c>
      <c r="I178" s="147" t="inlineStr">
        <is>
          <t>Construction and Engineering</t>
        </is>
      </c>
      <c r="J178" s="148" t="inlineStr">
        <is>
          <t>Construction and Engineering*</t>
        </is>
      </c>
      <c r="K178" s="149" t="inlineStr">
        <is>
          <t>Manufacturing</t>
        </is>
      </c>
      <c r="L178" s="150" t="inlineStr">
        <is>
          <t>Venture Capital-Backed</t>
        </is>
      </c>
      <c r="M178" s="151" t="n">
        <v>17.91</v>
      </c>
      <c r="N178" s="152" t="inlineStr">
        <is>
          <t>Startup</t>
        </is>
      </c>
      <c r="O178" s="153" t="inlineStr">
        <is>
          <t>Privately Held (backing)</t>
        </is>
      </c>
      <c r="P178" s="154" t="inlineStr">
        <is>
          <t>Venture Capital</t>
        </is>
      </c>
      <c r="Q178" s="155" t="inlineStr">
        <is>
          <t>www.fjellsp.com</t>
        </is>
      </c>
      <c r="R178" s="156" t="n">
        <v>16.0</v>
      </c>
      <c r="S178" s="157" t="inlineStr">
        <is>
          <t/>
        </is>
      </c>
      <c r="T178" s="158" t="inlineStr">
        <is>
          <t/>
        </is>
      </c>
      <c r="U178" s="159" t="n">
        <v>2012.0</v>
      </c>
      <c r="V178" s="160" t="inlineStr">
        <is>
          <t/>
        </is>
      </c>
      <c r="W178" s="161" t="inlineStr">
        <is>
          <t/>
        </is>
      </c>
      <c r="X178" s="162" t="inlineStr">
        <is>
          <t/>
        </is>
      </c>
      <c r="Y178" s="163" t="n">
        <v>0.11025</v>
      </c>
      <c r="Z178" s="164" t="inlineStr">
        <is>
          <t/>
        </is>
      </c>
      <c r="AA178" s="165" t="n">
        <v>-0.68905</v>
      </c>
      <c r="AB178" s="166" t="inlineStr">
        <is>
          <t/>
        </is>
      </c>
      <c r="AC178" s="167" t="n">
        <v>-0.32156</v>
      </c>
      <c r="AD178" s="168" t="inlineStr">
        <is>
          <t>FY 2015</t>
        </is>
      </c>
      <c r="AE178" s="169" t="inlineStr">
        <is>
          <t>107000-47P</t>
        </is>
      </c>
      <c r="AF178" s="170" t="inlineStr">
        <is>
          <t>Kristian Karlsen</t>
        </is>
      </c>
      <c r="AG178" s="171" t="inlineStr">
        <is>
          <t>Founder &amp; Director, Sales</t>
        </is>
      </c>
      <c r="AH178" s="172" t="inlineStr">
        <is>
          <t>kka@fjellsp.com</t>
        </is>
      </c>
      <c r="AI178" s="173" t="inlineStr">
        <is>
          <t>+47 474 63 862</t>
        </is>
      </c>
      <c r="AJ178" s="174" t="inlineStr">
        <is>
          <t>Kokstad, Norway</t>
        </is>
      </c>
      <c r="AK178" s="175" t="inlineStr">
        <is>
          <t>Kokstadveien 23 North</t>
        </is>
      </c>
      <c r="AL178" s="176" t="inlineStr">
        <is>
          <t/>
        </is>
      </c>
      <c r="AM178" s="177" t="inlineStr">
        <is>
          <t>Kokstad</t>
        </is>
      </c>
      <c r="AN178" s="178" t="inlineStr">
        <is>
          <t/>
        </is>
      </c>
      <c r="AO178" s="179" t="inlineStr">
        <is>
          <t>5257</t>
        </is>
      </c>
      <c r="AP178" s="180" t="inlineStr">
        <is>
          <t>Norway</t>
        </is>
      </c>
      <c r="AQ178" s="181" t="inlineStr">
        <is>
          <t>+47 56 33 43 00</t>
        </is>
      </c>
      <c r="AR178" s="182" t="inlineStr">
        <is>
          <t/>
        </is>
      </c>
      <c r="AS178" s="183" t="inlineStr">
        <is>
          <t>post@fjellsp.com</t>
        </is>
      </c>
      <c r="AT178" s="184" t="inlineStr">
        <is>
          <t>Europe</t>
        </is>
      </c>
      <c r="AU178" s="185" t="inlineStr">
        <is>
          <t>Northern Europe</t>
        </is>
      </c>
      <c r="AV178" s="186" t="inlineStr">
        <is>
          <t>The company receives NOK 5.2 million of grant funding from Innovation (Norway) and Skattefunn on November 16, 2016. It also raised $20 million of seed funding in a deal led by ProVenture Seed on May 6, 2015. Trumpy also participated in this round.</t>
        </is>
      </c>
      <c r="AW178" s="187" t="inlineStr">
        <is>
          <t>Innovation (Norway), ProVenture Seed, Skattefunn, Trumpy</t>
        </is>
      </c>
      <c r="AX178" s="188" t="n">
        <v>4.0</v>
      </c>
      <c r="AY178" s="189" t="inlineStr">
        <is>
          <t/>
        </is>
      </c>
      <c r="AZ178" s="190" t="inlineStr">
        <is>
          <t/>
        </is>
      </c>
      <c r="BA178" s="191" t="inlineStr">
        <is>
          <t/>
        </is>
      </c>
      <c r="BB178" s="192" t="inlineStr">
        <is>
          <t>ProVenture Seed (www.proventure.no)</t>
        </is>
      </c>
      <c r="BC178" s="193" t="inlineStr">
        <is>
          <t/>
        </is>
      </c>
      <c r="BD178" s="194" t="inlineStr">
        <is>
          <t/>
        </is>
      </c>
      <c r="BE178" s="195" t="inlineStr">
        <is>
          <t>RSM Norway (Auditor)</t>
        </is>
      </c>
      <c r="BF178" s="196" t="inlineStr">
        <is>
          <t/>
        </is>
      </c>
      <c r="BG178" s="197" t="n">
        <v>42130.0</v>
      </c>
      <c r="BH178" s="198" t="n">
        <v>17.91</v>
      </c>
      <c r="BI178" s="199" t="inlineStr">
        <is>
          <t>Actual</t>
        </is>
      </c>
      <c r="BJ178" s="200" t="inlineStr">
        <is>
          <t/>
        </is>
      </c>
      <c r="BK178" s="201" t="inlineStr">
        <is>
          <t/>
        </is>
      </c>
      <c r="BL178" s="202" t="inlineStr">
        <is>
          <t>Seed Round</t>
        </is>
      </c>
      <c r="BM178" s="203" t="inlineStr">
        <is>
          <t>Seed</t>
        </is>
      </c>
      <c r="BN178" s="204" t="inlineStr">
        <is>
          <t/>
        </is>
      </c>
      <c r="BO178" s="205" t="inlineStr">
        <is>
          <t>Venture Capital</t>
        </is>
      </c>
      <c r="BP178" s="206" t="inlineStr">
        <is>
          <t/>
        </is>
      </c>
      <c r="BQ178" s="207" t="inlineStr">
        <is>
          <t/>
        </is>
      </c>
      <c r="BR178" s="208" t="inlineStr">
        <is>
          <t/>
        </is>
      </c>
      <c r="BS178" s="209" t="inlineStr">
        <is>
          <t>Completed</t>
        </is>
      </c>
      <c r="BT178" s="210" t="n">
        <v>42690.0</v>
      </c>
      <c r="BU178" s="211" t="n">
        <v>0.57</v>
      </c>
      <c r="BV178" s="212" t="inlineStr">
        <is>
          <t>Actual</t>
        </is>
      </c>
      <c r="BW178" s="213" t="inlineStr">
        <is>
          <t/>
        </is>
      </c>
      <c r="BX178" s="214" t="inlineStr">
        <is>
          <t/>
        </is>
      </c>
      <c r="BY178" s="215" t="inlineStr">
        <is>
          <t>Grant</t>
        </is>
      </c>
      <c r="BZ178" s="216" t="inlineStr">
        <is>
          <t/>
        </is>
      </c>
      <c r="CA178" s="217" t="inlineStr">
        <is>
          <t/>
        </is>
      </c>
      <c r="CB178" s="218" t="inlineStr">
        <is>
          <t>Other</t>
        </is>
      </c>
      <c r="CC178" s="219" t="inlineStr">
        <is>
          <t/>
        </is>
      </c>
      <c r="CD178" s="220" t="inlineStr">
        <is>
          <t/>
        </is>
      </c>
      <c r="CE178" s="221" t="inlineStr">
        <is>
          <t/>
        </is>
      </c>
      <c r="CF178" s="222" t="inlineStr">
        <is>
          <t>Completed</t>
        </is>
      </c>
      <c r="CG178" s="223" t="inlineStr">
        <is>
          <t>0,00%</t>
        </is>
      </c>
      <c r="CH178" s="224" t="inlineStr">
        <is>
          <t>23</t>
        </is>
      </c>
      <c r="CI178" s="225" t="inlineStr">
        <is>
          <t>0,00%</t>
        </is>
      </c>
      <c r="CJ178" s="226" t="inlineStr">
        <is>
          <t>0,00%</t>
        </is>
      </c>
      <c r="CK178" s="227" t="inlineStr">
        <is>
          <t/>
        </is>
      </c>
      <c r="CL178" s="228" t="inlineStr">
        <is>
          <t/>
        </is>
      </c>
      <c r="CM178" s="229" t="inlineStr">
        <is>
          <t>0,00%</t>
        </is>
      </c>
      <c r="CN178" s="230" t="inlineStr">
        <is>
          <t>19</t>
        </is>
      </c>
      <c r="CO178" s="231" t="inlineStr">
        <is>
          <t/>
        </is>
      </c>
      <c r="CP178" s="232" t="inlineStr">
        <is>
          <t/>
        </is>
      </c>
      <c r="CQ178" s="233" t="inlineStr">
        <is>
          <t/>
        </is>
      </c>
      <c r="CR178" s="234" t="inlineStr">
        <is>
          <t/>
        </is>
      </c>
      <c r="CS178" s="235" t="inlineStr">
        <is>
          <t/>
        </is>
      </c>
      <c r="CT178" s="236" t="inlineStr">
        <is>
          <t/>
        </is>
      </c>
      <c r="CU178" s="237" t="inlineStr">
        <is>
          <t>0,00%</t>
        </is>
      </c>
      <c r="CV178" s="238" t="inlineStr">
        <is>
          <t>20</t>
        </is>
      </c>
      <c r="CW178" s="239" t="inlineStr">
        <is>
          <t>0,26x</t>
        </is>
      </c>
      <c r="CX178" s="240" t="inlineStr">
        <is>
          <t>21</t>
        </is>
      </c>
      <c r="CY178" s="241" t="inlineStr">
        <is>
          <t>0,01x</t>
        </is>
      </c>
      <c r="CZ178" s="242" t="inlineStr">
        <is>
          <t>2,04%</t>
        </is>
      </c>
      <c r="DA178" s="243" t="inlineStr">
        <is>
          <t/>
        </is>
      </c>
      <c r="DB178" s="244" t="inlineStr">
        <is>
          <t/>
        </is>
      </c>
      <c r="DC178" s="245" t="inlineStr">
        <is>
          <t>0,26x</t>
        </is>
      </c>
      <c r="DD178" s="246" t="inlineStr">
        <is>
          <t>25</t>
        </is>
      </c>
      <c r="DE178" s="247" t="inlineStr">
        <is>
          <t/>
        </is>
      </c>
      <c r="DF178" s="248" t="inlineStr">
        <is>
          <t/>
        </is>
      </c>
      <c r="DG178" s="249" t="inlineStr">
        <is>
          <t/>
        </is>
      </c>
      <c r="DH178" s="250" t="inlineStr">
        <is>
          <t/>
        </is>
      </c>
      <c r="DI178" s="251" t="inlineStr">
        <is>
          <t/>
        </is>
      </c>
      <c r="DJ178" s="252" t="inlineStr">
        <is>
          <t/>
        </is>
      </c>
      <c r="DK178" s="253" t="inlineStr">
        <is>
          <t>0,26x</t>
        </is>
      </c>
      <c r="DL178" s="254" t="inlineStr">
        <is>
          <t>29</t>
        </is>
      </c>
      <c r="DM178" s="255" t="inlineStr">
        <is>
          <t/>
        </is>
      </c>
      <c r="DN178" s="256" t="inlineStr">
        <is>
          <t/>
        </is>
      </c>
      <c r="DO178" s="257" t="inlineStr">
        <is>
          <t/>
        </is>
      </c>
      <c r="DP178" s="258" t="inlineStr">
        <is>
          <t/>
        </is>
      </c>
      <c r="DQ178" s="259" t="inlineStr">
        <is>
          <t/>
        </is>
      </c>
      <c r="DR178" s="260" t="inlineStr">
        <is>
          <t/>
        </is>
      </c>
      <c r="DS178" s="261" t="inlineStr">
        <is>
          <t/>
        </is>
      </c>
      <c r="DT178" s="262" t="inlineStr">
        <is>
          <t/>
        </is>
      </c>
      <c r="DU178" s="263" t="inlineStr">
        <is>
          <t/>
        </is>
      </c>
      <c r="DV178" s="264" t="inlineStr">
        <is>
          <t>90</t>
        </is>
      </c>
      <c r="DW178" s="265" t="inlineStr">
        <is>
          <t>0</t>
        </is>
      </c>
      <c r="DX178" s="266" t="inlineStr">
        <is>
          <t>0,00%</t>
        </is>
      </c>
      <c r="DY178" s="267" t="inlineStr">
        <is>
          <t>PitchBook Research</t>
        </is>
      </c>
      <c r="DZ178" s="786">
        <f>HYPERLINK("https://my.pitchbook.com?c=119900-08", "View company online")</f>
      </c>
    </row>
    <row r="179">
      <c r="A179" s="9" t="inlineStr">
        <is>
          <t>170954-38</t>
        </is>
      </c>
      <c r="B179" s="10" t="inlineStr">
        <is>
          <t>Fleximize</t>
        </is>
      </c>
      <c r="C179" s="11" t="inlineStr">
        <is>
          <t/>
        </is>
      </c>
      <c r="D179" s="12" t="inlineStr">
        <is>
          <t/>
        </is>
      </c>
      <c r="E179" s="13" t="inlineStr">
        <is>
          <t>170954-38</t>
        </is>
      </c>
      <c r="F179" s="14" t="inlineStr">
        <is>
          <t>Provider of revenue-based finance products intended to help British businesses to grow via flexible financing services. The company's revenue-based finance products helps businesses to apply for a fixed-installment loan on flexible repayment terms, enabling businesses to grow organically without sacrificing any equity.</t>
        </is>
      </c>
      <c r="G179" s="15" t="inlineStr">
        <is>
          <t>Financial Services</t>
        </is>
      </c>
      <c r="H179" s="16" t="inlineStr">
        <is>
          <t>Other Financial Services</t>
        </is>
      </c>
      <c r="I179" s="17" t="inlineStr">
        <is>
          <t>Other Financial Services</t>
        </is>
      </c>
      <c r="J179" s="18" t="inlineStr">
        <is>
          <t>Other Financial Services*; Specialized Finance</t>
        </is>
      </c>
      <c r="K179" s="19" t="inlineStr">
        <is>
          <t>FinTech</t>
        </is>
      </c>
      <c r="L179" s="20" t="inlineStr">
        <is>
          <t>Venture Capital-Backed</t>
        </is>
      </c>
      <c r="M179" s="21" t="n">
        <v>26.23</v>
      </c>
      <c r="N179" s="22" t="inlineStr">
        <is>
          <t>Startup</t>
        </is>
      </c>
      <c r="O179" s="23" t="inlineStr">
        <is>
          <t>Privately Held (backing)</t>
        </is>
      </c>
      <c r="P179" s="24" t="inlineStr">
        <is>
          <t>Venture Capital</t>
        </is>
      </c>
      <c r="Q179" s="25" t="inlineStr">
        <is>
          <t>www.fleximize.com</t>
        </is>
      </c>
      <c r="R179" s="26" t="n">
        <v>40.0</v>
      </c>
      <c r="S179" s="27" t="inlineStr">
        <is>
          <t/>
        </is>
      </c>
      <c r="T179" s="28" t="inlineStr">
        <is>
          <t/>
        </is>
      </c>
      <c r="U179" s="29" t="n">
        <v>2014.0</v>
      </c>
      <c r="V179" s="30" t="inlineStr">
        <is>
          <t/>
        </is>
      </c>
      <c r="W179" s="31" t="inlineStr">
        <is>
          <t/>
        </is>
      </c>
      <c r="X179" s="32" t="inlineStr">
        <is>
          <t/>
        </is>
      </c>
      <c r="Y179" s="33" t="inlineStr">
        <is>
          <t/>
        </is>
      </c>
      <c r="Z179" s="34" t="inlineStr">
        <is>
          <t/>
        </is>
      </c>
      <c r="AA179" s="35" t="inlineStr">
        <is>
          <t/>
        </is>
      </c>
      <c r="AB179" s="36" t="inlineStr">
        <is>
          <t/>
        </is>
      </c>
      <c r="AC179" s="37" t="inlineStr">
        <is>
          <t/>
        </is>
      </c>
      <c r="AD179" s="38" t="inlineStr">
        <is>
          <t/>
        </is>
      </c>
      <c r="AE179" s="39" t="inlineStr">
        <is>
          <t>158407-57P</t>
        </is>
      </c>
      <c r="AF179" s="40" t="inlineStr">
        <is>
          <t>Dan O'Sullivan</t>
        </is>
      </c>
      <c r="AG179" s="41" t="inlineStr">
        <is>
          <t>Chief Finance Officer</t>
        </is>
      </c>
      <c r="AH179" s="42" t="inlineStr">
        <is>
          <t>dan@fleximize.com</t>
        </is>
      </c>
      <c r="AI179" s="43" t="inlineStr">
        <is>
          <t>+44 (0)20 7100 0110</t>
        </is>
      </c>
      <c r="AJ179" s="44" t="inlineStr">
        <is>
          <t>Ipswich, United Kingdom</t>
        </is>
      </c>
      <c r="AK179" s="45" t="inlineStr">
        <is>
          <t>Holbrook House</t>
        </is>
      </c>
      <c r="AL179" s="46" t="inlineStr">
        <is>
          <t>51 John Street</t>
        </is>
      </c>
      <c r="AM179" s="47" t="inlineStr">
        <is>
          <t>Ipswich</t>
        </is>
      </c>
      <c r="AN179" s="48" t="inlineStr">
        <is>
          <t>England</t>
        </is>
      </c>
      <c r="AO179" s="49" t="inlineStr">
        <is>
          <t>IP3 0AH</t>
        </is>
      </c>
      <c r="AP179" s="50" t="inlineStr">
        <is>
          <t>United Kingdom</t>
        </is>
      </c>
      <c r="AQ179" s="51" t="inlineStr">
        <is>
          <t>+44 (0)20 7100 0110</t>
        </is>
      </c>
      <c r="AR179" s="52" t="inlineStr">
        <is>
          <t/>
        </is>
      </c>
      <c r="AS179" s="53" t="inlineStr">
        <is>
          <t>hello@fleximize.com</t>
        </is>
      </c>
      <c r="AT179" s="54" t="inlineStr">
        <is>
          <t>Europe</t>
        </is>
      </c>
      <c r="AU179" s="55" t="inlineStr">
        <is>
          <t>Western Europe</t>
        </is>
      </c>
      <c r="AV179" s="56" t="inlineStr">
        <is>
          <t>The company received GBP 16.3 million of debt financing from Hadrian's Wall Secured Investments on March 1, 2017. The funds will be used to increase the lending capacity, towards the goal of lending over GBP 100 million to SMEs by 2019, to further develop and diversify its product offering, and continue to advance its proprietary technology platform with the introduction of dedicated areas for brokers and direct clients. Previously, the company raised GBP 5.5 million of venture funding from Launcha and other undisclosed investors on February 2, 2015.</t>
        </is>
      </c>
      <c r="AW179" s="57" t="inlineStr">
        <is>
          <t>Innovation Warehouse, Launcha.com</t>
        </is>
      </c>
      <c r="AX179" s="58" t="n">
        <v>2.0</v>
      </c>
      <c r="AY179" s="59" t="inlineStr">
        <is>
          <t/>
        </is>
      </c>
      <c r="AZ179" s="60" t="inlineStr">
        <is>
          <t/>
        </is>
      </c>
      <c r="BA179" s="61" t="inlineStr">
        <is>
          <t/>
        </is>
      </c>
      <c r="BB179" s="62" t="inlineStr">
        <is>
          <t>Innovation Warehouse (www.innovationwarehouse.org), Launcha.com (launcha.com)</t>
        </is>
      </c>
      <c r="BC179" s="63" t="inlineStr">
        <is>
          <t/>
        </is>
      </c>
      <c r="BD179" s="64" t="inlineStr">
        <is>
          <t/>
        </is>
      </c>
      <c r="BE179" s="65" t="inlineStr">
        <is>
          <t/>
        </is>
      </c>
      <c r="BF179" s="66" t="inlineStr">
        <is>
          <t>Hadrian's Wall Secured Investments</t>
        </is>
      </c>
      <c r="BG179" s="67" t="inlineStr">
        <is>
          <t/>
        </is>
      </c>
      <c r="BH179" s="68" t="inlineStr">
        <is>
          <t/>
        </is>
      </c>
      <c r="BI179" s="69" t="inlineStr">
        <is>
          <t/>
        </is>
      </c>
      <c r="BJ179" s="70" t="inlineStr">
        <is>
          <t/>
        </is>
      </c>
      <c r="BK179" s="71" t="inlineStr">
        <is>
          <t/>
        </is>
      </c>
      <c r="BL179" s="72" t="inlineStr">
        <is>
          <t>Accelerator/Incubator</t>
        </is>
      </c>
      <c r="BM179" s="73" t="inlineStr">
        <is>
          <t/>
        </is>
      </c>
      <c r="BN179" s="74" t="inlineStr">
        <is>
          <t/>
        </is>
      </c>
      <c r="BO179" s="75" t="inlineStr">
        <is>
          <t>Other</t>
        </is>
      </c>
      <c r="BP179" s="76" t="inlineStr">
        <is>
          <t/>
        </is>
      </c>
      <c r="BQ179" s="77" t="inlineStr">
        <is>
          <t/>
        </is>
      </c>
      <c r="BR179" s="78" t="inlineStr">
        <is>
          <t/>
        </is>
      </c>
      <c r="BS179" s="79" t="inlineStr">
        <is>
          <t>Completed</t>
        </is>
      </c>
      <c r="BT179" s="80" t="n">
        <v>42795.0</v>
      </c>
      <c r="BU179" s="81" t="n">
        <v>18.81</v>
      </c>
      <c r="BV179" s="82" t="inlineStr">
        <is>
          <t>Actual</t>
        </is>
      </c>
      <c r="BW179" s="83" t="inlineStr">
        <is>
          <t/>
        </is>
      </c>
      <c r="BX179" s="84" t="inlineStr">
        <is>
          <t/>
        </is>
      </c>
      <c r="BY179" s="85" t="inlineStr">
        <is>
          <t>Debt - General</t>
        </is>
      </c>
      <c r="BZ179" s="86" t="inlineStr">
        <is>
          <t/>
        </is>
      </c>
      <c r="CA179" s="87" t="inlineStr">
        <is>
          <t/>
        </is>
      </c>
      <c r="CB179" s="88" t="inlineStr">
        <is>
          <t>Debt</t>
        </is>
      </c>
      <c r="CC179" s="89" t="inlineStr">
        <is>
          <t>Other</t>
        </is>
      </c>
      <c r="CD179" s="90" t="inlineStr">
        <is>
          <t/>
        </is>
      </c>
      <c r="CE179" s="91" t="inlineStr">
        <is>
          <t/>
        </is>
      </c>
      <c r="CF179" s="92" t="inlineStr">
        <is>
          <t>Completed</t>
        </is>
      </c>
      <c r="CG179" s="93" t="inlineStr">
        <is>
          <t>0,42%</t>
        </is>
      </c>
      <c r="CH179" s="94" t="inlineStr">
        <is>
          <t>83</t>
        </is>
      </c>
      <c r="CI179" s="95" t="inlineStr">
        <is>
          <t>0,00%</t>
        </is>
      </c>
      <c r="CJ179" s="96" t="inlineStr">
        <is>
          <t>-0,26%</t>
        </is>
      </c>
      <c r="CK179" s="97" t="inlineStr">
        <is>
          <t>0,63%</t>
        </is>
      </c>
      <c r="CL179" s="98" t="inlineStr">
        <is>
          <t>85</t>
        </is>
      </c>
      <c r="CM179" s="99" t="inlineStr">
        <is>
          <t>0,22%</t>
        </is>
      </c>
      <c r="CN179" s="100" t="inlineStr">
        <is>
          <t>75</t>
        </is>
      </c>
      <c r="CO179" s="101" t="inlineStr">
        <is>
          <t>1,27%</t>
        </is>
      </c>
      <c r="CP179" s="102" t="inlineStr">
        <is>
          <t>86</t>
        </is>
      </c>
      <c r="CQ179" s="103" t="inlineStr">
        <is>
          <t>0,00%</t>
        </is>
      </c>
      <c r="CR179" s="104" t="inlineStr">
        <is>
          <t>13</t>
        </is>
      </c>
      <c r="CS179" s="105" t="inlineStr">
        <is>
          <t>0,05%</t>
        </is>
      </c>
      <c r="CT179" s="106" t="inlineStr">
        <is>
          <t>49</t>
        </is>
      </c>
      <c r="CU179" s="107" t="inlineStr">
        <is>
          <t>0,38%</t>
        </is>
      </c>
      <c r="CV179" s="108" t="inlineStr">
        <is>
          <t>88</t>
        </is>
      </c>
      <c r="CW179" s="109" t="inlineStr">
        <is>
          <t>7,53x</t>
        </is>
      </c>
      <c r="CX179" s="110" t="inlineStr">
        <is>
          <t>84</t>
        </is>
      </c>
      <c r="CY179" s="111" t="inlineStr">
        <is>
          <t>0,10x</t>
        </is>
      </c>
      <c r="CZ179" s="112" t="inlineStr">
        <is>
          <t>1,32%</t>
        </is>
      </c>
      <c r="DA179" s="113" t="inlineStr">
        <is>
          <t>9,50x</t>
        </is>
      </c>
      <c r="DB179" s="114" t="inlineStr">
        <is>
          <t>87</t>
        </is>
      </c>
      <c r="DC179" s="115" t="inlineStr">
        <is>
          <t>5,56x</t>
        </is>
      </c>
      <c r="DD179" s="116" t="inlineStr">
        <is>
          <t>77</t>
        </is>
      </c>
      <c r="DE179" s="117" t="inlineStr">
        <is>
          <t>16,47x</t>
        </is>
      </c>
      <c r="DF179" s="118" t="inlineStr">
        <is>
          <t>87</t>
        </is>
      </c>
      <c r="DG179" s="119" t="inlineStr">
        <is>
          <t>2,53x</t>
        </is>
      </c>
      <c r="DH179" s="120" t="inlineStr">
        <is>
          <t>68</t>
        </is>
      </c>
      <c r="DI179" s="121" t="inlineStr">
        <is>
          <t>2,05x</t>
        </is>
      </c>
      <c r="DJ179" s="122" t="inlineStr">
        <is>
          <t>62</t>
        </is>
      </c>
      <c r="DK179" s="123" t="inlineStr">
        <is>
          <t>9,08x</t>
        </is>
      </c>
      <c r="DL179" s="124" t="inlineStr">
        <is>
          <t>85</t>
        </is>
      </c>
      <c r="DM179" s="125" t="inlineStr">
        <is>
          <t>9.986</t>
        </is>
      </c>
      <c r="DN179" s="126" t="inlineStr">
        <is>
          <t>423</t>
        </is>
      </c>
      <c r="DO179" s="127" t="inlineStr">
        <is>
          <t>4,42%</t>
        </is>
      </c>
      <c r="DP179" s="128" t="inlineStr">
        <is>
          <t>1.633</t>
        </is>
      </c>
      <c r="DQ179" s="129" t="inlineStr">
        <is>
          <t>1</t>
        </is>
      </c>
      <c r="DR179" s="130" t="inlineStr">
        <is>
          <t>0,06%</t>
        </is>
      </c>
      <c r="DS179" s="131" t="inlineStr">
        <is>
          <t>90</t>
        </is>
      </c>
      <c r="DT179" s="132" t="inlineStr">
        <is>
          <t>2</t>
        </is>
      </c>
      <c r="DU179" s="133" t="inlineStr">
        <is>
          <t>2,27%</t>
        </is>
      </c>
      <c r="DV179" s="134" t="inlineStr">
        <is>
          <t>3.109</t>
        </is>
      </c>
      <c r="DW179" s="135" t="inlineStr">
        <is>
          <t>7</t>
        </is>
      </c>
      <c r="DX179" s="136" t="inlineStr">
        <is>
          <t>0,23%</t>
        </is>
      </c>
      <c r="DY179" s="137" t="inlineStr">
        <is>
          <t>PitchBook Research</t>
        </is>
      </c>
      <c r="DZ179" s="785">
        <f>HYPERLINK("https://my.pitchbook.com?c=170954-38", "View company online")</f>
      </c>
    </row>
    <row r="180">
      <c r="A180" s="139" t="inlineStr">
        <is>
          <t>107056-00</t>
        </is>
      </c>
      <c r="B180" s="140" t="inlineStr">
        <is>
          <t>Fluidic Analytics</t>
        </is>
      </c>
      <c r="C180" s="141" t="inlineStr">
        <is>
          <t/>
        </is>
      </c>
      <c r="D180" s="142" t="inlineStr">
        <is>
          <t/>
        </is>
      </c>
      <c r="E180" s="143" t="inlineStr">
        <is>
          <t>107056-00</t>
        </is>
      </c>
      <c r="F180" s="144" t="inlineStr">
        <is>
          <t>Developer of a technology to characterize proteins. The company has developed a line of tools which distinguishes proteins and other biomolecular species in cell lysates or complex mixtures like blood plasma by separating them.</t>
        </is>
      </c>
      <c r="G180" s="145" t="inlineStr">
        <is>
          <t>Healthcare</t>
        </is>
      </c>
      <c r="H180" s="146" t="inlineStr">
        <is>
          <t>Pharmaceuticals and Biotechnology</t>
        </is>
      </c>
      <c r="I180" s="147" t="inlineStr">
        <is>
          <t>Biotechnology</t>
        </is>
      </c>
      <c r="J180" s="148" t="inlineStr">
        <is>
          <t>Biotechnology*</t>
        </is>
      </c>
      <c r="K180" s="149" t="inlineStr">
        <is>
          <t>Life Sciences</t>
        </is>
      </c>
      <c r="L180" s="150" t="inlineStr">
        <is>
          <t>Venture Capital-Backed</t>
        </is>
      </c>
      <c r="M180" s="151" t="n">
        <v>8.04</v>
      </c>
      <c r="N180" s="152" t="inlineStr">
        <is>
          <t>Startup</t>
        </is>
      </c>
      <c r="O180" s="153" t="inlineStr">
        <is>
          <t>Privately Held (backing)</t>
        </is>
      </c>
      <c r="P180" s="154" t="inlineStr">
        <is>
          <t>Venture Capital</t>
        </is>
      </c>
      <c r="Q180" s="155" t="inlineStr">
        <is>
          <t>www.fluidicanalytics.com</t>
        </is>
      </c>
      <c r="R180" s="156" t="inlineStr">
        <is>
          <t/>
        </is>
      </c>
      <c r="S180" s="157" t="inlineStr">
        <is>
          <t/>
        </is>
      </c>
      <c r="T180" s="158" t="inlineStr">
        <is>
          <t/>
        </is>
      </c>
      <c r="U180" s="159" t="n">
        <v>2013.0</v>
      </c>
      <c r="V180" s="160" t="inlineStr">
        <is>
          <t/>
        </is>
      </c>
      <c r="W180" s="161" t="inlineStr">
        <is>
          <t/>
        </is>
      </c>
      <c r="X180" s="162" t="inlineStr">
        <is>
          <t/>
        </is>
      </c>
      <c r="Y180" s="163" t="inlineStr">
        <is>
          <t/>
        </is>
      </c>
      <c r="Z180" s="164" t="inlineStr">
        <is>
          <t/>
        </is>
      </c>
      <c r="AA180" s="165" t="inlineStr">
        <is>
          <t/>
        </is>
      </c>
      <c r="AB180" s="166" t="inlineStr">
        <is>
          <t/>
        </is>
      </c>
      <c r="AC180" s="167" t="inlineStr">
        <is>
          <t/>
        </is>
      </c>
      <c r="AD180" s="168" t="inlineStr">
        <is>
          <t>FY 2014</t>
        </is>
      </c>
      <c r="AE180" s="169" t="inlineStr">
        <is>
          <t>53311-87P</t>
        </is>
      </c>
      <c r="AF180" s="170" t="inlineStr">
        <is>
          <t>Andrew Lynn</t>
        </is>
      </c>
      <c r="AG180" s="171" t="inlineStr">
        <is>
          <t>Chief Executive Officer &amp; Board Member</t>
        </is>
      </c>
      <c r="AH180" s="172" t="inlineStr">
        <is>
          <t>andrew@fluidicanalytics.com</t>
        </is>
      </c>
      <c r="AI180" s="173" t="inlineStr">
        <is>
          <t>+44 (0)12 2396 8330</t>
        </is>
      </c>
      <c r="AJ180" s="174" t="inlineStr">
        <is>
          <t>Cambridge, United Kingdom</t>
        </is>
      </c>
      <c r="AK180" s="175" t="inlineStr">
        <is>
          <t>Unit 5 Chesterton Mill</t>
        </is>
      </c>
      <c r="AL180" s="176" t="inlineStr">
        <is>
          <t>French's Road</t>
        </is>
      </c>
      <c r="AM180" s="177" t="inlineStr">
        <is>
          <t>Cambridge</t>
        </is>
      </c>
      <c r="AN180" s="178" t="inlineStr">
        <is>
          <t>England</t>
        </is>
      </c>
      <c r="AO180" s="179" t="inlineStr">
        <is>
          <t>CB4 3NP</t>
        </is>
      </c>
      <c r="AP180" s="180" t="inlineStr">
        <is>
          <t>United Kingdom</t>
        </is>
      </c>
      <c r="AQ180" s="181" t="inlineStr">
        <is>
          <t>+44 (0)12 2396 8330</t>
        </is>
      </c>
      <c r="AR180" s="182" t="inlineStr">
        <is>
          <t/>
        </is>
      </c>
      <c r="AS180" s="183" t="inlineStr">
        <is>
          <t>info@fluidicanalytics.com</t>
        </is>
      </c>
      <c r="AT180" s="184" t="inlineStr">
        <is>
          <t>Europe</t>
        </is>
      </c>
      <c r="AU180" s="185" t="inlineStr">
        <is>
          <t>Western Europe</t>
        </is>
      </c>
      <c r="AV180" s="186" t="inlineStr">
        <is>
          <t>The company raised GBP 5.3 million of Series B venture funding in a deal led by IQ Capital Partners on August 26, 2016. Cambridge Enterprise, Parkwalk Advisors, Draper Esprit, Amadeus Capital Partners and Cambridge Innovation Capital also participated in this round. The company will use the proceeds to advance its line of laboratory research tools, which are designed to address the key market segments of protein quantitation, quantitative immunoassays and protein-protein interactions.</t>
        </is>
      </c>
      <c r="AW180" s="187" t="inlineStr">
        <is>
          <t>Amadeus Capital Partners, Cambridge Enterprise, Cambridge Innovation Capital, Draper Esprit, Innovate UK, IQ Capital Partners, Parkwalk Advisors</t>
        </is>
      </c>
      <c r="AX180" s="188" t="n">
        <v>7.0</v>
      </c>
      <c r="AY180" s="189" t="inlineStr">
        <is>
          <t/>
        </is>
      </c>
      <c r="AZ180" s="190" t="inlineStr">
        <is>
          <t/>
        </is>
      </c>
      <c r="BA180" s="191" t="inlineStr">
        <is>
          <t/>
        </is>
      </c>
      <c r="BB180" s="192" t="inlineStr">
        <is>
          <t>Amadeus Capital Partners (www.amadeuscapital.com), Cambridge Enterprise (www.enterprise.cam.ac.uk), Cambridge Innovation Capital (www.cicplc.co.uk), Draper Esprit (www.draperesprit.com), IQ Capital Partners (www.iqcapital.vc), Parkwalk Advisors (www.parkwalkadvisors.com)</t>
        </is>
      </c>
      <c r="BC180" s="193" t="inlineStr">
        <is>
          <t/>
        </is>
      </c>
      <c r="BD180" s="194" t="inlineStr">
        <is>
          <t/>
        </is>
      </c>
      <c r="BE180" s="195" t="inlineStr">
        <is>
          <t/>
        </is>
      </c>
      <c r="BF180" s="196" t="inlineStr">
        <is>
          <t>Mills &amp; Reeve (Legal Advisor), Taylor Vinters (Legal Advisor), Confluence Tax (Advisor), Bracher Rawlins (Legal Advisor)</t>
        </is>
      </c>
      <c r="BG180" s="197" t="n">
        <v>41792.0</v>
      </c>
      <c r="BH180" s="198" t="n">
        <v>0.12</v>
      </c>
      <c r="BI180" s="199" t="inlineStr">
        <is>
          <t>Actual</t>
        </is>
      </c>
      <c r="BJ180" s="200" t="inlineStr">
        <is>
          <t/>
        </is>
      </c>
      <c r="BK180" s="201" t="inlineStr">
        <is>
          <t/>
        </is>
      </c>
      <c r="BL180" s="202" t="inlineStr">
        <is>
          <t>Grant</t>
        </is>
      </c>
      <c r="BM180" s="203" t="inlineStr">
        <is>
          <t/>
        </is>
      </c>
      <c r="BN180" s="204" t="inlineStr">
        <is>
          <t/>
        </is>
      </c>
      <c r="BO180" s="205" t="inlineStr">
        <is>
          <t>Other</t>
        </is>
      </c>
      <c r="BP180" s="206" t="inlineStr">
        <is>
          <t/>
        </is>
      </c>
      <c r="BQ180" s="207" t="inlineStr">
        <is>
          <t/>
        </is>
      </c>
      <c r="BR180" s="208" t="inlineStr">
        <is>
          <t/>
        </is>
      </c>
      <c r="BS180" s="209" t="inlineStr">
        <is>
          <t>Completed</t>
        </is>
      </c>
      <c r="BT180" s="210" t="n">
        <v>42608.0</v>
      </c>
      <c r="BU180" s="211" t="n">
        <v>6.19</v>
      </c>
      <c r="BV180" s="212" t="inlineStr">
        <is>
          <t>Actual</t>
        </is>
      </c>
      <c r="BW180" s="213" t="inlineStr">
        <is>
          <t/>
        </is>
      </c>
      <c r="BX180" s="214" t="inlineStr">
        <is>
          <t/>
        </is>
      </c>
      <c r="BY180" s="215" t="inlineStr">
        <is>
          <t>Early Stage VC</t>
        </is>
      </c>
      <c r="BZ180" s="216" t="inlineStr">
        <is>
          <t>Series B</t>
        </is>
      </c>
      <c r="CA180" s="217" t="inlineStr">
        <is>
          <t/>
        </is>
      </c>
      <c r="CB180" s="218" t="inlineStr">
        <is>
          <t>Venture Capital</t>
        </is>
      </c>
      <c r="CC180" s="219" t="inlineStr">
        <is>
          <t/>
        </is>
      </c>
      <c r="CD180" s="220" t="inlineStr">
        <is>
          <t/>
        </is>
      </c>
      <c r="CE180" s="221" t="inlineStr">
        <is>
          <t/>
        </is>
      </c>
      <c r="CF180" s="222" t="inlineStr">
        <is>
          <t>Completed</t>
        </is>
      </c>
      <c r="CG180" s="223" t="inlineStr">
        <is>
          <t>0,75%</t>
        </is>
      </c>
      <c r="CH180" s="224" t="inlineStr">
        <is>
          <t>87</t>
        </is>
      </c>
      <c r="CI180" s="225" t="inlineStr">
        <is>
          <t>0,09%</t>
        </is>
      </c>
      <c r="CJ180" s="226" t="inlineStr">
        <is>
          <t>14,40%</t>
        </is>
      </c>
      <c r="CK180" s="227" t="inlineStr">
        <is>
          <t>0,00%</t>
        </is>
      </c>
      <c r="CL180" s="228" t="inlineStr">
        <is>
          <t>18</t>
        </is>
      </c>
      <c r="CM180" s="229" t="inlineStr">
        <is>
          <t>1,50%</t>
        </is>
      </c>
      <c r="CN180" s="230" t="inlineStr">
        <is>
          <t>98</t>
        </is>
      </c>
      <c r="CO180" s="231" t="inlineStr">
        <is>
          <t>0,00%</t>
        </is>
      </c>
      <c r="CP180" s="232" t="inlineStr">
        <is>
          <t>26</t>
        </is>
      </c>
      <c r="CQ180" s="233" t="inlineStr">
        <is>
          <t>0,00%</t>
        </is>
      </c>
      <c r="CR180" s="234" t="inlineStr">
        <is>
          <t>13</t>
        </is>
      </c>
      <c r="CS180" s="235" t="inlineStr">
        <is>
          <t/>
        </is>
      </c>
      <c r="CT180" s="236" t="inlineStr">
        <is>
          <t/>
        </is>
      </c>
      <c r="CU180" s="237" t="inlineStr">
        <is>
          <t>1,50%</t>
        </is>
      </c>
      <c r="CV180" s="238" t="inlineStr">
        <is>
          <t>98</t>
        </is>
      </c>
      <c r="CW180" s="239" t="inlineStr">
        <is>
          <t>0,45x</t>
        </is>
      </c>
      <c r="CX180" s="240" t="inlineStr">
        <is>
          <t>31</t>
        </is>
      </c>
      <c r="CY180" s="241" t="inlineStr">
        <is>
          <t>0,01x</t>
        </is>
      </c>
      <c r="CZ180" s="242" t="inlineStr">
        <is>
          <t>2,23%</t>
        </is>
      </c>
      <c r="DA180" s="243" t="inlineStr">
        <is>
          <t>0,52x</t>
        </is>
      </c>
      <c r="DB180" s="244" t="inlineStr">
        <is>
          <t>37</t>
        </is>
      </c>
      <c r="DC180" s="245" t="inlineStr">
        <is>
          <t>0,39x</t>
        </is>
      </c>
      <c r="DD180" s="246" t="inlineStr">
        <is>
          <t>31</t>
        </is>
      </c>
      <c r="DE180" s="247" t="inlineStr">
        <is>
          <t>0,15x</t>
        </is>
      </c>
      <c r="DF180" s="248" t="inlineStr">
        <is>
          <t>15</t>
        </is>
      </c>
      <c r="DG180" s="249" t="inlineStr">
        <is>
          <t>0,89x</t>
        </is>
      </c>
      <c r="DH180" s="250" t="inlineStr">
        <is>
          <t>48</t>
        </is>
      </c>
      <c r="DI180" s="251" t="inlineStr">
        <is>
          <t/>
        </is>
      </c>
      <c r="DJ180" s="252" t="inlineStr">
        <is>
          <t/>
        </is>
      </c>
      <c r="DK180" s="253" t="inlineStr">
        <is>
          <t>0,39x</t>
        </is>
      </c>
      <c r="DL180" s="254" t="inlineStr">
        <is>
          <t>35</t>
        </is>
      </c>
      <c r="DM180" s="255" t="inlineStr">
        <is>
          <t>99</t>
        </is>
      </c>
      <c r="DN180" s="256" t="inlineStr">
        <is>
          <t>-24</t>
        </is>
      </c>
      <c r="DO180" s="257" t="inlineStr">
        <is>
          <t>-19,51%</t>
        </is>
      </c>
      <c r="DP180" s="258" t="inlineStr">
        <is>
          <t/>
        </is>
      </c>
      <c r="DQ180" s="259" t="inlineStr">
        <is>
          <t/>
        </is>
      </c>
      <c r="DR180" s="260" t="inlineStr">
        <is>
          <t/>
        </is>
      </c>
      <c r="DS180" s="261" t="inlineStr">
        <is>
          <t>32</t>
        </is>
      </c>
      <c r="DT180" s="262" t="inlineStr">
        <is>
          <t>0</t>
        </is>
      </c>
      <c r="DU180" s="263" t="inlineStr">
        <is>
          <t>0,00%</t>
        </is>
      </c>
      <c r="DV180" s="264" t="inlineStr">
        <is>
          <t>134</t>
        </is>
      </c>
      <c r="DW180" s="265" t="inlineStr">
        <is>
          <t>2</t>
        </is>
      </c>
      <c r="DX180" s="266" t="inlineStr">
        <is>
          <t>1,52%</t>
        </is>
      </c>
      <c r="DY180" s="267" t="inlineStr">
        <is>
          <t>PitchBook Research</t>
        </is>
      </c>
      <c r="DZ180" s="786">
        <f>HYPERLINK("https://my.pitchbook.com?c=107056-00", "View company online")</f>
      </c>
    </row>
    <row r="181">
      <c r="A181" s="9" t="inlineStr">
        <is>
          <t>61906-87</t>
        </is>
      </c>
      <c r="B181" s="10" t="inlineStr">
        <is>
          <t>Flypay</t>
        </is>
      </c>
      <c r="C181" s="11" t="inlineStr">
        <is>
          <t/>
        </is>
      </c>
      <c r="D181" s="12" t="inlineStr">
        <is>
          <t/>
        </is>
      </c>
      <c r="E181" s="13" t="inlineStr">
        <is>
          <t>61906-87</t>
        </is>
      </c>
      <c r="F181" s="14" t="inlineStr">
        <is>
          <t>Provider of a mobile payment application to create seamless, beautiful experiences while paying restaurant bills. The company's mobile payment application scan an on-table QR code/NFC tag to first recall the bill, enabling customers to check, split and pay their restaurant bills from their smartphones.</t>
        </is>
      </c>
      <c r="G181" s="15" t="inlineStr">
        <is>
          <t>Information Technology</t>
        </is>
      </c>
      <c r="H181" s="16" t="inlineStr">
        <is>
          <t>Software</t>
        </is>
      </c>
      <c r="I181" s="17" t="inlineStr">
        <is>
          <t>Application Software</t>
        </is>
      </c>
      <c r="J181" s="18" t="inlineStr">
        <is>
          <t>Application Software*; Social/Platform Software</t>
        </is>
      </c>
      <c r="K181" s="19" t="inlineStr">
        <is>
          <t>FinTech, Mobile</t>
        </is>
      </c>
      <c r="L181" s="20" t="inlineStr">
        <is>
          <t>Venture Capital-Backed</t>
        </is>
      </c>
      <c r="M181" s="21" t="n">
        <v>13.38</v>
      </c>
      <c r="N181" s="22" t="inlineStr">
        <is>
          <t>Generating Revenue</t>
        </is>
      </c>
      <c r="O181" s="23" t="inlineStr">
        <is>
          <t>Privately Held (backing)</t>
        </is>
      </c>
      <c r="P181" s="24" t="inlineStr">
        <is>
          <t>Venture Capital</t>
        </is>
      </c>
      <c r="Q181" s="25" t="inlineStr">
        <is>
          <t>www.flypay.co.uk</t>
        </is>
      </c>
      <c r="R181" s="26" t="n">
        <v>22.0</v>
      </c>
      <c r="S181" s="27" t="inlineStr">
        <is>
          <t/>
        </is>
      </c>
      <c r="T181" s="28" t="inlineStr">
        <is>
          <t/>
        </is>
      </c>
      <c r="U181" s="29" t="n">
        <v>2013.0</v>
      </c>
      <c r="V181" s="30" t="inlineStr">
        <is>
          <t/>
        </is>
      </c>
      <c r="W181" s="31" t="inlineStr">
        <is>
          <t/>
        </is>
      </c>
      <c r="X181" s="32" t="inlineStr">
        <is>
          <t/>
        </is>
      </c>
      <c r="Y181" s="33" t="inlineStr">
        <is>
          <t/>
        </is>
      </c>
      <c r="Z181" s="34" t="inlineStr">
        <is>
          <t/>
        </is>
      </c>
      <c r="AA181" s="35" t="inlineStr">
        <is>
          <t/>
        </is>
      </c>
      <c r="AB181" s="36" t="inlineStr">
        <is>
          <t/>
        </is>
      </c>
      <c r="AC181" s="37" t="inlineStr">
        <is>
          <t/>
        </is>
      </c>
      <c r="AD181" s="38" t="inlineStr">
        <is>
          <t>FY 2014</t>
        </is>
      </c>
      <c r="AE181" s="39" t="inlineStr">
        <is>
          <t>62995-33P</t>
        </is>
      </c>
      <c r="AF181" s="40" t="inlineStr">
        <is>
          <t>Thomas Weaver</t>
        </is>
      </c>
      <c r="AG181" s="41" t="inlineStr">
        <is>
          <t>Co-Founder, Board Member and Chief Executive Officer</t>
        </is>
      </c>
      <c r="AH181" s="42" t="inlineStr">
        <is>
          <t>tom@flypay.co.uk</t>
        </is>
      </c>
      <c r="AI181" s="43" t="inlineStr">
        <is>
          <t/>
        </is>
      </c>
      <c r="AJ181" s="44" t="inlineStr">
        <is>
          <t>London, United Kingdom</t>
        </is>
      </c>
      <c r="AK181" s="45" t="inlineStr">
        <is>
          <t>7-10 Chandos Street</t>
        </is>
      </c>
      <c r="AL181" s="46" t="inlineStr">
        <is>
          <t>4th Floor</t>
        </is>
      </c>
      <c r="AM181" s="47" t="inlineStr">
        <is>
          <t>London</t>
        </is>
      </c>
      <c r="AN181" s="48" t="inlineStr">
        <is>
          <t>England</t>
        </is>
      </c>
      <c r="AO181" s="49" t="inlineStr">
        <is>
          <t>W1G 9DQ</t>
        </is>
      </c>
      <c r="AP181" s="50" t="inlineStr">
        <is>
          <t>United Kingdom</t>
        </is>
      </c>
      <c r="AQ181" s="51" t="inlineStr">
        <is>
          <t/>
        </is>
      </c>
      <c r="AR181" s="52" t="inlineStr">
        <is>
          <t/>
        </is>
      </c>
      <c r="AS181" s="53" t="inlineStr">
        <is>
          <t>info@flypay.co.uk</t>
        </is>
      </c>
      <c r="AT181" s="54" t="inlineStr">
        <is>
          <t>Europe</t>
        </is>
      </c>
      <c r="AU181" s="55" t="inlineStr">
        <is>
          <t>Western Europe</t>
        </is>
      </c>
      <c r="AV181" s="56" t="inlineStr">
        <is>
          <t>The company raised GBP 10.7 million of Series A venture funding in a deal led by Time Out Digital on October 10, 2016, putting the company's pre-money valuation at GBP 9.86 million. Just Eat and other undisclosed investors also participated in this round. The company intends to use the funds to expand the Flyt platform.</t>
        </is>
      </c>
      <c r="AW181" s="57" t="inlineStr">
        <is>
          <t>Beacon Capital, Entrée Capital, Just Eat, Paul Norris, Time Out Digital</t>
        </is>
      </c>
      <c r="AX181" s="58" t="n">
        <v>5.0</v>
      </c>
      <c r="AY181" s="59" t="inlineStr">
        <is>
          <t/>
        </is>
      </c>
      <c r="AZ181" s="60" t="inlineStr">
        <is>
          <t/>
        </is>
      </c>
      <c r="BA181" s="61" t="inlineStr">
        <is>
          <t/>
        </is>
      </c>
      <c r="BB181" s="62" t="inlineStr">
        <is>
          <t>Beacon Capital (www.beaconcapital.co.uk), Entrée Capital (www.entreecap.com), Just Eat (www.justeatplc.com), Time Out Digital (www.timeout.com)</t>
        </is>
      </c>
      <c r="BC181" s="63" t="inlineStr">
        <is>
          <t/>
        </is>
      </c>
      <c r="BD181" s="64" t="inlineStr">
        <is>
          <t/>
        </is>
      </c>
      <c r="BE181" s="65" t="inlineStr">
        <is>
          <t>Dorsey &amp; Whitney (Legal Advisor), Orrick Herrington &amp; Sutcliffe (Legal Advisor)</t>
        </is>
      </c>
      <c r="BF181" s="66" t="inlineStr">
        <is>
          <t>Dorsey &amp; Whitney (Legal Advisor), Orrick Herrington &amp; Sutcliffe (Legal Advisor)</t>
        </is>
      </c>
      <c r="BG181" s="67" t="n">
        <v>41480.0</v>
      </c>
      <c r="BH181" s="68" t="n">
        <v>0.17</v>
      </c>
      <c r="BI181" s="69" t="inlineStr">
        <is>
          <t>Actual</t>
        </is>
      </c>
      <c r="BJ181" s="70" t="n">
        <v>0.74</v>
      </c>
      <c r="BK181" s="71" t="inlineStr">
        <is>
          <t>Actual</t>
        </is>
      </c>
      <c r="BL181" s="72" t="inlineStr">
        <is>
          <t>Seed Round</t>
        </is>
      </c>
      <c r="BM181" s="73" t="inlineStr">
        <is>
          <t>Seed</t>
        </is>
      </c>
      <c r="BN181" s="74" t="inlineStr">
        <is>
          <t/>
        </is>
      </c>
      <c r="BO181" s="75" t="inlineStr">
        <is>
          <t>Venture Capital</t>
        </is>
      </c>
      <c r="BP181" s="76" t="inlineStr">
        <is>
          <t/>
        </is>
      </c>
      <c r="BQ181" s="77" t="inlineStr">
        <is>
          <t/>
        </is>
      </c>
      <c r="BR181" s="78" t="inlineStr">
        <is>
          <t/>
        </is>
      </c>
      <c r="BS181" s="79" t="inlineStr">
        <is>
          <t>Completed</t>
        </is>
      </c>
      <c r="BT181" s="80" t="n">
        <v>42653.0</v>
      </c>
      <c r="BU181" s="81" t="n">
        <v>12.0</v>
      </c>
      <c r="BV181" s="82" t="inlineStr">
        <is>
          <t>Actual</t>
        </is>
      </c>
      <c r="BW181" s="83" t="n">
        <v>23.06</v>
      </c>
      <c r="BX181" s="84" t="inlineStr">
        <is>
          <t>Actual</t>
        </is>
      </c>
      <c r="BY181" s="85" t="inlineStr">
        <is>
          <t>Early Stage VC</t>
        </is>
      </c>
      <c r="BZ181" s="86" t="inlineStr">
        <is>
          <t>Series A</t>
        </is>
      </c>
      <c r="CA181" s="87" t="inlineStr">
        <is>
          <t/>
        </is>
      </c>
      <c r="CB181" s="88" t="inlineStr">
        <is>
          <t>Venture Capital</t>
        </is>
      </c>
      <c r="CC181" s="89" t="inlineStr">
        <is>
          <t/>
        </is>
      </c>
      <c r="CD181" s="90" t="inlineStr">
        <is>
          <t/>
        </is>
      </c>
      <c r="CE181" s="91" t="inlineStr">
        <is>
          <t/>
        </is>
      </c>
      <c r="CF181" s="92" t="inlineStr">
        <is>
          <t>Completed</t>
        </is>
      </c>
      <c r="CG181" s="93" t="inlineStr">
        <is>
          <t>0,71%</t>
        </is>
      </c>
      <c r="CH181" s="94" t="inlineStr">
        <is>
          <t>86</t>
        </is>
      </c>
      <c r="CI181" s="95" t="inlineStr">
        <is>
          <t>0,03%</t>
        </is>
      </c>
      <c r="CJ181" s="96" t="inlineStr">
        <is>
          <t>3,85%</t>
        </is>
      </c>
      <c r="CK181" s="97" t="inlineStr">
        <is>
          <t>1,42%</t>
        </is>
      </c>
      <c r="CL181" s="98" t="inlineStr">
        <is>
          <t>89</t>
        </is>
      </c>
      <c r="CM181" s="99" t="inlineStr">
        <is>
          <t>0,00%</t>
        </is>
      </c>
      <c r="CN181" s="100" t="inlineStr">
        <is>
          <t>19</t>
        </is>
      </c>
      <c r="CO181" s="101" t="inlineStr">
        <is>
          <t>3,17%</t>
        </is>
      </c>
      <c r="CP181" s="102" t="inlineStr">
        <is>
          <t>93</t>
        </is>
      </c>
      <c r="CQ181" s="103" t="inlineStr">
        <is>
          <t>-0,33%</t>
        </is>
      </c>
      <c r="CR181" s="104" t="inlineStr">
        <is>
          <t>9</t>
        </is>
      </c>
      <c r="CS181" s="105" t="inlineStr">
        <is>
          <t>0,12%</t>
        </is>
      </c>
      <c r="CT181" s="106" t="inlineStr">
        <is>
          <t>61</t>
        </is>
      </c>
      <c r="CU181" s="107" t="inlineStr">
        <is>
          <t>-0,11%</t>
        </is>
      </c>
      <c r="CV181" s="108" t="inlineStr">
        <is>
          <t>5</t>
        </is>
      </c>
      <c r="CW181" s="109" t="inlineStr">
        <is>
          <t>10,66x</t>
        </is>
      </c>
      <c r="CX181" s="110" t="inlineStr">
        <is>
          <t>87</t>
        </is>
      </c>
      <c r="CY181" s="111" t="inlineStr">
        <is>
          <t>0,20x</t>
        </is>
      </c>
      <c r="CZ181" s="112" t="inlineStr">
        <is>
          <t>1,90%</t>
        </is>
      </c>
      <c r="DA181" s="113" t="inlineStr">
        <is>
          <t>3,77x</t>
        </is>
      </c>
      <c r="DB181" s="114" t="inlineStr">
        <is>
          <t>76</t>
        </is>
      </c>
      <c r="DC181" s="115" t="inlineStr">
        <is>
          <t>17,54x</t>
        </is>
      </c>
      <c r="DD181" s="116" t="inlineStr">
        <is>
          <t>89</t>
        </is>
      </c>
      <c r="DE181" s="117" t="inlineStr">
        <is>
          <t>2,44x</t>
        </is>
      </c>
      <c r="DF181" s="118" t="inlineStr">
        <is>
          <t>67</t>
        </is>
      </c>
      <c r="DG181" s="119" t="inlineStr">
        <is>
          <t>5,11x</t>
        </is>
      </c>
      <c r="DH181" s="120" t="inlineStr">
        <is>
          <t>79</t>
        </is>
      </c>
      <c r="DI181" s="121" t="inlineStr">
        <is>
          <t>0,82x</t>
        </is>
      </c>
      <c r="DJ181" s="122" t="inlineStr">
        <is>
          <t>47</t>
        </is>
      </c>
      <c r="DK181" s="123" t="inlineStr">
        <is>
          <t>34,25x</t>
        </is>
      </c>
      <c r="DL181" s="124" t="inlineStr">
        <is>
          <t>95</t>
        </is>
      </c>
      <c r="DM181" s="125" t="inlineStr">
        <is>
          <t>1.450</t>
        </is>
      </c>
      <c r="DN181" s="126" t="inlineStr">
        <is>
          <t>146</t>
        </is>
      </c>
      <c r="DO181" s="127" t="inlineStr">
        <is>
          <t>11,20%</t>
        </is>
      </c>
      <c r="DP181" s="128" t="inlineStr">
        <is>
          <t>656</t>
        </is>
      </c>
      <c r="DQ181" s="129" t="inlineStr">
        <is>
          <t>2</t>
        </is>
      </c>
      <c r="DR181" s="130" t="inlineStr">
        <is>
          <t>0,31%</t>
        </is>
      </c>
      <c r="DS181" s="131" t="inlineStr">
        <is>
          <t>184</t>
        </is>
      </c>
      <c r="DT181" s="132" t="inlineStr">
        <is>
          <t>-2</t>
        </is>
      </c>
      <c r="DU181" s="133" t="inlineStr">
        <is>
          <t>-1,08%</t>
        </is>
      </c>
      <c r="DV181" s="134" t="inlineStr">
        <is>
          <t>11.745</t>
        </is>
      </c>
      <c r="DW181" s="135" t="inlineStr">
        <is>
          <t>-8</t>
        </is>
      </c>
      <c r="DX181" s="136" t="inlineStr">
        <is>
          <t>-0,07%</t>
        </is>
      </c>
      <c r="DY181" s="137" t="inlineStr">
        <is>
          <t>PitchBook Research</t>
        </is>
      </c>
      <c r="DZ181" s="785">
        <f>HYPERLINK("https://my.pitchbook.com?c=61906-87", "View company online")</f>
      </c>
    </row>
    <row r="182">
      <c r="A182" s="139" t="inlineStr">
        <is>
          <t>127250-65</t>
        </is>
      </c>
      <c r="B182" s="140" t="inlineStr">
        <is>
          <t>FoodChéri</t>
        </is>
      </c>
      <c r="C182" s="141" t="inlineStr">
        <is>
          <t/>
        </is>
      </c>
      <c r="D182" s="142" t="inlineStr">
        <is>
          <t/>
        </is>
      </c>
      <c r="E182" s="143" t="inlineStr">
        <is>
          <t>127250-65</t>
        </is>
      </c>
      <c r="F182" s="144" t="inlineStr">
        <is>
          <t>Developer of a food ordering mobile application. The company provides an application to order and receive home delivery service of food.</t>
        </is>
      </c>
      <c r="G182" s="145" t="inlineStr">
        <is>
          <t>Consumer Products and Services (B2C)</t>
        </is>
      </c>
      <c r="H182" s="146" t="inlineStr">
        <is>
          <t>Retail</t>
        </is>
      </c>
      <c r="I182" s="147" t="inlineStr">
        <is>
          <t>Specialty Retail</t>
        </is>
      </c>
      <c r="J182" s="148" t="inlineStr">
        <is>
          <t>Specialty Retail*; Application Software; Social/Platform Software</t>
        </is>
      </c>
      <c r="K182" s="149" t="inlineStr">
        <is>
          <t>Mobile</t>
        </is>
      </c>
      <c r="L182" s="150" t="inlineStr">
        <is>
          <t>Venture Capital-Backed</t>
        </is>
      </c>
      <c r="M182" s="151" t="n">
        <v>7.0</v>
      </c>
      <c r="N182" s="152" t="inlineStr">
        <is>
          <t>Generating Revenue</t>
        </is>
      </c>
      <c r="O182" s="153" t="inlineStr">
        <is>
          <t>Privately Held (backing)</t>
        </is>
      </c>
      <c r="P182" s="154" t="inlineStr">
        <is>
          <t>Venture Capital</t>
        </is>
      </c>
      <c r="Q182" s="155" t="inlineStr">
        <is>
          <t>www.foodcheri.com</t>
        </is>
      </c>
      <c r="R182" s="156" t="n">
        <v>40.0</v>
      </c>
      <c r="S182" s="157" t="inlineStr">
        <is>
          <t/>
        </is>
      </c>
      <c r="T182" s="158" t="inlineStr">
        <is>
          <t/>
        </is>
      </c>
      <c r="U182" s="159" t="n">
        <v>2015.0</v>
      </c>
      <c r="V182" s="160" t="inlineStr">
        <is>
          <t/>
        </is>
      </c>
      <c r="W182" s="161" t="inlineStr">
        <is>
          <t/>
        </is>
      </c>
      <c r="X182" s="162" t="inlineStr">
        <is>
          <t/>
        </is>
      </c>
      <c r="Y182" s="163" t="inlineStr">
        <is>
          <t/>
        </is>
      </c>
      <c r="Z182" s="164" t="inlineStr">
        <is>
          <t/>
        </is>
      </c>
      <c r="AA182" s="165" t="inlineStr">
        <is>
          <t/>
        </is>
      </c>
      <c r="AB182" s="166" t="inlineStr">
        <is>
          <t/>
        </is>
      </c>
      <c r="AC182" s="167" t="inlineStr">
        <is>
          <t/>
        </is>
      </c>
      <c r="AD182" s="168" t="inlineStr">
        <is>
          <t/>
        </is>
      </c>
      <c r="AE182" s="169" t="inlineStr">
        <is>
          <t>66714-22P</t>
        </is>
      </c>
      <c r="AF182" s="170" t="inlineStr">
        <is>
          <t>Patrick Asdaghi</t>
        </is>
      </c>
      <c r="AG182" s="171" t="inlineStr">
        <is>
          <t>Co-Founder, President &amp; Chief Executive Officer</t>
        </is>
      </c>
      <c r="AH182" s="172" t="inlineStr">
        <is>
          <t>patrick@foodcheri.com</t>
        </is>
      </c>
      <c r="AI182" s="173" t="inlineStr">
        <is>
          <t>+33 (0)9 70 40 33 13</t>
        </is>
      </c>
      <c r="AJ182" s="174" t="inlineStr">
        <is>
          <t>Paris, France</t>
        </is>
      </c>
      <c r="AK182" s="175" t="inlineStr">
        <is>
          <t>22 rue Condorcet</t>
        </is>
      </c>
      <c r="AL182" s="176" t="inlineStr">
        <is>
          <t>Montreuil</t>
        </is>
      </c>
      <c r="AM182" s="177" t="inlineStr">
        <is>
          <t>Paris</t>
        </is>
      </c>
      <c r="AN182" s="178" t="inlineStr">
        <is>
          <t/>
        </is>
      </c>
      <c r="AO182" s="179" t="inlineStr">
        <is>
          <t>93100</t>
        </is>
      </c>
      <c r="AP182" s="180" t="inlineStr">
        <is>
          <t>France</t>
        </is>
      </c>
      <c r="AQ182" s="181" t="inlineStr">
        <is>
          <t>+33 (0)9 70 40 33 13</t>
        </is>
      </c>
      <c r="AR182" s="182" t="inlineStr">
        <is>
          <t/>
        </is>
      </c>
      <c r="AS182" s="183" t="inlineStr">
        <is>
          <t>hello@foodcheri.com</t>
        </is>
      </c>
      <c r="AT182" s="184" t="inlineStr">
        <is>
          <t>Europe</t>
        </is>
      </c>
      <c r="AU182" s="185" t="inlineStr">
        <is>
          <t>Western Europe</t>
        </is>
      </c>
      <c r="AV182" s="186" t="inlineStr">
        <is>
          <t>The company raised EUR 6 million of Series A venture funding in a deal led by 360 Capital Partners and Breega Capital on September 20, 2016. Samaipata Ventures and Ambrosia Investments also participated in the round. The funds will be used to extend delivery areas within the Greater Paris region before potential international expansion, hiring and for further product development.</t>
        </is>
      </c>
      <c r="AW182" s="187" t="inlineStr">
        <is>
          <t>360 Capital Partners, Anthony Ravau, Breega Capital, Geoffroy de Becdelièvre, Jacques Veyrat, Paluel-Marmont family, Samaipata Ventures</t>
        </is>
      </c>
      <c r="AX182" s="188" t="n">
        <v>7.0</v>
      </c>
      <c r="AY182" s="189" t="inlineStr">
        <is>
          <t/>
        </is>
      </c>
      <c r="AZ182" s="190" t="inlineStr">
        <is>
          <t/>
        </is>
      </c>
      <c r="BA182" s="191" t="inlineStr">
        <is>
          <t/>
        </is>
      </c>
      <c r="BB182" s="192" t="inlineStr">
        <is>
          <t>360 Capital Partners (www.360capitalpartners.com), Breega Capital (www.breega.com), Samaipata Ventures (www.samaipataventures.com)</t>
        </is>
      </c>
      <c r="BC182" s="193" t="inlineStr">
        <is>
          <t/>
        </is>
      </c>
      <c r="BD182" s="194" t="inlineStr">
        <is>
          <t/>
        </is>
      </c>
      <c r="BE182" s="195" t="inlineStr">
        <is>
          <t/>
        </is>
      </c>
      <c r="BF182" s="196" t="inlineStr">
        <is>
          <t/>
        </is>
      </c>
      <c r="BG182" s="197" t="n">
        <v>42264.0</v>
      </c>
      <c r="BH182" s="198" t="n">
        <v>1.0</v>
      </c>
      <c r="BI182" s="199" t="inlineStr">
        <is>
          <t>Actual</t>
        </is>
      </c>
      <c r="BJ182" s="200" t="inlineStr">
        <is>
          <t/>
        </is>
      </c>
      <c r="BK182" s="201" t="inlineStr">
        <is>
          <t/>
        </is>
      </c>
      <c r="BL182" s="202" t="inlineStr">
        <is>
          <t>Early Stage VC</t>
        </is>
      </c>
      <c r="BM182" s="203" t="inlineStr">
        <is>
          <t/>
        </is>
      </c>
      <c r="BN182" s="204" t="inlineStr">
        <is>
          <t/>
        </is>
      </c>
      <c r="BO182" s="205" t="inlineStr">
        <is>
          <t>Venture Capital</t>
        </is>
      </c>
      <c r="BP182" s="206" t="inlineStr">
        <is>
          <t/>
        </is>
      </c>
      <c r="BQ182" s="207" t="inlineStr">
        <is>
          <t/>
        </is>
      </c>
      <c r="BR182" s="208" t="inlineStr">
        <is>
          <t/>
        </is>
      </c>
      <c r="BS182" s="209" t="inlineStr">
        <is>
          <t>Completed</t>
        </is>
      </c>
      <c r="BT182" s="210" t="n">
        <v>42633.0</v>
      </c>
      <c r="BU182" s="211" t="n">
        <v>6.0</v>
      </c>
      <c r="BV182" s="212" t="inlineStr">
        <is>
          <t>Actual</t>
        </is>
      </c>
      <c r="BW182" s="213" t="inlineStr">
        <is>
          <t/>
        </is>
      </c>
      <c r="BX182" s="214" t="inlineStr">
        <is>
          <t/>
        </is>
      </c>
      <c r="BY182" s="215" t="inlineStr">
        <is>
          <t>Early Stage VC</t>
        </is>
      </c>
      <c r="BZ182" s="216" t="inlineStr">
        <is>
          <t>Series A</t>
        </is>
      </c>
      <c r="CA182" s="217" t="inlineStr">
        <is>
          <t/>
        </is>
      </c>
      <c r="CB182" s="218" t="inlineStr">
        <is>
          <t>Venture Capital</t>
        </is>
      </c>
      <c r="CC182" s="219" t="inlineStr">
        <is>
          <t/>
        </is>
      </c>
      <c r="CD182" s="220" t="inlineStr">
        <is>
          <t/>
        </is>
      </c>
      <c r="CE182" s="221" t="inlineStr">
        <is>
          <t/>
        </is>
      </c>
      <c r="CF182" s="222" t="inlineStr">
        <is>
          <t>Completed</t>
        </is>
      </c>
      <c r="CG182" s="223" t="inlineStr">
        <is>
          <t>-2,72%</t>
        </is>
      </c>
      <c r="CH182" s="224" t="inlineStr">
        <is>
          <t>2</t>
        </is>
      </c>
      <c r="CI182" s="225" t="inlineStr">
        <is>
          <t>-0,05%</t>
        </is>
      </c>
      <c r="CJ182" s="226" t="inlineStr">
        <is>
          <t>-1,89%</t>
        </is>
      </c>
      <c r="CK182" s="227" t="inlineStr">
        <is>
          <t>-5,63%</t>
        </is>
      </c>
      <c r="CL182" s="228" t="inlineStr">
        <is>
          <t>1</t>
        </is>
      </c>
      <c r="CM182" s="229" t="inlineStr">
        <is>
          <t>0,20%</t>
        </is>
      </c>
      <c r="CN182" s="230" t="inlineStr">
        <is>
          <t>73</t>
        </is>
      </c>
      <c r="CO182" s="231" t="inlineStr">
        <is>
          <t>-10,69%</t>
        </is>
      </c>
      <c r="CP182" s="232" t="inlineStr">
        <is>
          <t>2</t>
        </is>
      </c>
      <c r="CQ182" s="233" t="inlineStr">
        <is>
          <t>-0,57%</t>
        </is>
      </c>
      <c r="CR182" s="234" t="inlineStr">
        <is>
          <t>6</t>
        </is>
      </c>
      <c r="CS182" s="235" t="inlineStr">
        <is>
          <t>0,17%</t>
        </is>
      </c>
      <c r="CT182" s="236" t="inlineStr">
        <is>
          <t>67</t>
        </is>
      </c>
      <c r="CU182" s="237" t="inlineStr">
        <is>
          <t>0,22%</t>
        </is>
      </c>
      <c r="CV182" s="238" t="inlineStr">
        <is>
          <t>79</t>
        </is>
      </c>
      <c r="CW182" s="239" t="inlineStr">
        <is>
          <t>14,32x</t>
        </is>
      </c>
      <c r="CX182" s="240" t="inlineStr">
        <is>
          <t>90</t>
        </is>
      </c>
      <c r="CY182" s="241" t="inlineStr">
        <is>
          <t>0,20x</t>
        </is>
      </c>
      <c r="CZ182" s="242" t="inlineStr">
        <is>
          <t>1,41%</t>
        </is>
      </c>
      <c r="DA182" s="243" t="inlineStr">
        <is>
          <t>15,49x</t>
        </is>
      </c>
      <c r="DB182" s="244" t="inlineStr">
        <is>
          <t>91</t>
        </is>
      </c>
      <c r="DC182" s="245" t="inlineStr">
        <is>
          <t>13,15x</t>
        </is>
      </c>
      <c r="DD182" s="246" t="inlineStr">
        <is>
          <t>86</t>
        </is>
      </c>
      <c r="DE182" s="247" t="inlineStr">
        <is>
          <t>22,12x</t>
        </is>
      </c>
      <c r="DF182" s="248" t="inlineStr">
        <is>
          <t>89</t>
        </is>
      </c>
      <c r="DG182" s="249" t="inlineStr">
        <is>
          <t>8,86x</t>
        </is>
      </c>
      <c r="DH182" s="250" t="inlineStr">
        <is>
          <t>85</t>
        </is>
      </c>
      <c r="DI182" s="251" t="inlineStr">
        <is>
          <t>19,25x</t>
        </is>
      </c>
      <c r="DJ182" s="252" t="inlineStr">
        <is>
          <t>87</t>
        </is>
      </c>
      <c r="DK182" s="253" t="inlineStr">
        <is>
          <t>7,05x</t>
        </is>
      </c>
      <c r="DL182" s="254" t="inlineStr">
        <is>
          <t>82</t>
        </is>
      </c>
      <c r="DM182" s="255" t="inlineStr">
        <is>
          <t>14.923</t>
        </is>
      </c>
      <c r="DN182" s="256" t="inlineStr">
        <is>
          <t>-3.963</t>
        </is>
      </c>
      <c r="DO182" s="257" t="inlineStr">
        <is>
          <t>-20,98%</t>
        </is>
      </c>
      <c r="DP182" s="258" t="inlineStr">
        <is>
          <t>15.361</t>
        </is>
      </c>
      <c r="DQ182" s="259" t="inlineStr">
        <is>
          <t>43</t>
        </is>
      </c>
      <c r="DR182" s="260" t="inlineStr">
        <is>
          <t>0,28%</t>
        </is>
      </c>
      <c r="DS182" s="261" t="inlineStr">
        <is>
          <t>319</t>
        </is>
      </c>
      <c r="DT182" s="262" t="inlineStr">
        <is>
          <t>-3</t>
        </is>
      </c>
      <c r="DU182" s="263" t="inlineStr">
        <is>
          <t>-0,93%</t>
        </is>
      </c>
      <c r="DV182" s="264" t="inlineStr">
        <is>
          <t>2.417</t>
        </is>
      </c>
      <c r="DW182" s="265" t="inlineStr">
        <is>
          <t>10</t>
        </is>
      </c>
      <c r="DX182" s="266" t="inlineStr">
        <is>
          <t>0,42%</t>
        </is>
      </c>
      <c r="DY182" s="267" t="inlineStr">
        <is>
          <t>PitchBook Research</t>
        </is>
      </c>
      <c r="DZ182" s="786">
        <f>HYPERLINK("https://my.pitchbook.com?c=127250-65", "View company online")</f>
      </c>
    </row>
    <row r="183">
      <c r="A183" s="9" t="inlineStr">
        <is>
          <t>86746-78</t>
        </is>
      </c>
      <c r="B183" s="10" t="inlineStr">
        <is>
          <t>Foodspring</t>
        </is>
      </c>
      <c r="C183" s="11" t="inlineStr">
        <is>
          <t/>
        </is>
      </c>
      <c r="D183" s="12" t="inlineStr">
        <is>
          <t/>
        </is>
      </c>
      <c r="E183" s="13" t="inlineStr">
        <is>
          <t>86746-78</t>
        </is>
      </c>
      <c r="F183" s="14" t="inlineStr">
        <is>
          <t>Producer of sports nutrition products with organic ingredients. The company's product includes a protein powder which contains organic ingredients and natural components intended for fitness-inspired people and helps to change their lifestyle and stay fit.</t>
        </is>
      </c>
      <c r="G183" s="15" t="inlineStr">
        <is>
          <t>Consumer Products and Services (B2C)</t>
        </is>
      </c>
      <c r="H183" s="16" t="inlineStr">
        <is>
          <t>Consumer Non-Durables</t>
        </is>
      </c>
      <c r="I183" s="17" t="inlineStr">
        <is>
          <t>Beverages</t>
        </is>
      </c>
      <c r="J183" s="18" t="inlineStr">
        <is>
          <t>Beverages*; Food Products</t>
        </is>
      </c>
      <c r="K183" s="19" t="inlineStr">
        <is>
          <t>LOHAS &amp; Wellness</t>
        </is>
      </c>
      <c r="L183" s="20" t="inlineStr">
        <is>
          <t>Venture Capital-Backed</t>
        </is>
      </c>
      <c r="M183" s="21" t="n">
        <v>6.0</v>
      </c>
      <c r="N183" s="22" t="inlineStr">
        <is>
          <t>Startup</t>
        </is>
      </c>
      <c r="O183" s="23" t="inlineStr">
        <is>
          <t>Privately Held (backing)</t>
        </is>
      </c>
      <c r="P183" s="24" t="inlineStr">
        <is>
          <t>Venture Capital</t>
        </is>
      </c>
      <c r="Q183" s="25" t="inlineStr">
        <is>
          <t>www.foodspring.de</t>
        </is>
      </c>
      <c r="R183" s="26" t="n">
        <v>80.0</v>
      </c>
      <c r="S183" s="27" t="inlineStr">
        <is>
          <t/>
        </is>
      </c>
      <c r="T183" s="28" t="inlineStr">
        <is>
          <t/>
        </is>
      </c>
      <c r="U183" s="29" t="n">
        <v>2013.0</v>
      </c>
      <c r="V183" s="30" t="inlineStr">
        <is>
          <t/>
        </is>
      </c>
      <c r="W183" s="31" t="inlineStr">
        <is>
          <t/>
        </is>
      </c>
      <c r="X183" s="32" t="inlineStr">
        <is>
          <t/>
        </is>
      </c>
      <c r="Y183" s="33" t="inlineStr">
        <is>
          <t/>
        </is>
      </c>
      <c r="Z183" s="34" t="inlineStr">
        <is>
          <t/>
        </is>
      </c>
      <c r="AA183" s="35" t="inlineStr">
        <is>
          <t/>
        </is>
      </c>
      <c r="AB183" s="36" t="inlineStr">
        <is>
          <t/>
        </is>
      </c>
      <c r="AC183" s="37" t="inlineStr">
        <is>
          <t/>
        </is>
      </c>
      <c r="AD183" s="38" t="inlineStr">
        <is>
          <t/>
        </is>
      </c>
      <c r="AE183" s="39" t="inlineStr">
        <is>
          <t>100180-63P</t>
        </is>
      </c>
      <c r="AF183" s="40" t="inlineStr">
        <is>
          <t>Philipp Schrempp</t>
        </is>
      </c>
      <c r="AG183" s="41" t="inlineStr">
        <is>
          <t>Co-Founder &amp; Managing Director</t>
        </is>
      </c>
      <c r="AH183" s="42" t="inlineStr">
        <is>
          <t>philipp@egg.de</t>
        </is>
      </c>
      <c r="AI183" s="43" t="inlineStr">
        <is>
          <t>+49 (0)30 2084 9910</t>
        </is>
      </c>
      <c r="AJ183" s="44" t="inlineStr">
        <is>
          <t>Berlin, Germany</t>
        </is>
      </c>
      <c r="AK183" s="45" t="inlineStr">
        <is>
          <t>Chausseestraße 8E</t>
        </is>
      </c>
      <c r="AL183" s="46" t="inlineStr">
        <is>
          <t/>
        </is>
      </c>
      <c r="AM183" s="47" t="inlineStr">
        <is>
          <t>Berlin</t>
        </is>
      </c>
      <c r="AN183" s="48" t="inlineStr">
        <is>
          <t/>
        </is>
      </c>
      <c r="AO183" s="49" t="inlineStr">
        <is>
          <t>10115</t>
        </is>
      </c>
      <c r="AP183" s="50" t="inlineStr">
        <is>
          <t>Germany</t>
        </is>
      </c>
      <c r="AQ183" s="51" t="inlineStr">
        <is>
          <t>+49 (0)30 2084 9910</t>
        </is>
      </c>
      <c r="AR183" s="52" t="inlineStr">
        <is>
          <t>+49 (0)30 2084 9911 4</t>
        </is>
      </c>
      <c r="AS183" s="53" t="inlineStr">
        <is>
          <t>service@foodspring.de</t>
        </is>
      </c>
      <c r="AT183" s="54" t="inlineStr">
        <is>
          <t>Europe</t>
        </is>
      </c>
      <c r="AU183" s="55" t="inlineStr">
        <is>
          <t>Western Europe</t>
        </is>
      </c>
      <c r="AV183" s="56" t="inlineStr">
        <is>
          <t>The company raised EUR 6 million of venture funding in a deal led by led by b-to-v on May 5, 2017. Ringier Digital Ventures, Deutsche Handelsbank and Econa also participated. The funding will be used to add new products and continue its expansion in Europe.</t>
        </is>
      </c>
      <c r="AW183" s="57" t="inlineStr">
        <is>
          <t>btov Partners, Deutsche Handelsbank, ECONA, Ringier Digital Ventures</t>
        </is>
      </c>
      <c r="AX183" s="58" t="n">
        <v>4.0</v>
      </c>
      <c r="AY183" s="59" t="inlineStr">
        <is>
          <t/>
        </is>
      </c>
      <c r="AZ183" s="60" t="inlineStr">
        <is>
          <t/>
        </is>
      </c>
      <c r="BA183" s="61" t="inlineStr">
        <is>
          <t/>
        </is>
      </c>
      <c r="BB183" s="62" t="inlineStr">
        <is>
          <t>btov Partners (www.btov.vc), Deutsche Handelsbank (www.handelsbank.com), ECONA (www.econa.com)</t>
        </is>
      </c>
      <c r="BC183" s="63" t="inlineStr">
        <is>
          <t/>
        </is>
      </c>
      <c r="BD183" s="64" t="inlineStr">
        <is>
          <t/>
        </is>
      </c>
      <c r="BE183" s="65" t="inlineStr">
        <is>
          <t/>
        </is>
      </c>
      <c r="BF183" s="66" t="inlineStr">
        <is>
          <t/>
        </is>
      </c>
      <c r="BG183" s="67" t="n">
        <v>41275.0</v>
      </c>
      <c r="BH183" s="68" t="inlineStr">
        <is>
          <t/>
        </is>
      </c>
      <c r="BI183" s="69" t="inlineStr">
        <is>
          <t/>
        </is>
      </c>
      <c r="BJ183" s="70" t="inlineStr">
        <is>
          <t/>
        </is>
      </c>
      <c r="BK183" s="71" t="inlineStr">
        <is>
          <t/>
        </is>
      </c>
      <c r="BL183" s="72" t="inlineStr">
        <is>
          <t>Early Stage VC</t>
        </is>
      </c>
      <c r="BM183" s="73" t="inlineStr">
        <is>
          <t/>
        </is>
      </c>
      <c r="BN183" s="74" t="inlineStr">
        <is>
          <t/>
        </is>
      </c>
      <c r="BO183" s="75" t="inlineStr">
        <is>
          <t>Venture Capital</t>
        </is>
      </c>
      <c r="BP183" s="76" t="inlineStr">
        <is>
          <t/>
        </is>
      </c>
      <c r="BQ183" s="77" t="inlineStr">
        <is>
          <t/>
        </is>
      </c>
      <c r="BR183" s="78" t="inlineStr">
        <is>
          <t/>
        </is>
      </c>
      <c r="BS183" s="79" t="inlineStr">
        <is>
          <t>Completed</t>
        </is>
      </c>
      <c r="BT183" s="80" t="n">
        <v>42860.0</v>
      </c>
      <c r="BU183" s="81" t="n">
        <v>6.0</v>
      </c>
      <c r="BV183" s="82" t="inlineStr">
        <is>
          <t>Actual</t>
        </is>
      </c>
      <c r="BW183" s="83" t="inlineStr">
        <is>
          <t/>
        </is>
      </c>
      <c r="BX183" s="84" t="inlineStr">
        <is>
          <t/>
        </is>
      </c>
      <c r="BY183" s="85" t="inlineStr">
        <is>
          <t>Early Stage VC</t>
        </is>
      </c>
      <c r="BZ183" s="86" t="inlineStr">
        <is>
          <t/>
        </is>
      </c>
      <c r="CA183" s="87" t="inlineStr">
        <is>
          <t/>
        </is>
      </c>
      <c r="CB183" s="88" t="inlineStr">
        <is>
          <t>Venture Capital</t>
        </is>
      </c>
      <c r="CC183" s="89" t="inlineStr">
        <is>
          <t/>
        </is>
      </c>
      <c r="CD183" s="90" t="inlineStr">
        <is>
          <t/>
        </is>
      </c>
      <c r="CE183" s="91" t="inlineStr">
        <is>
          <t/>
        </is>
      </c>
      <c r="CF183" s="92" t="inlineStr">
        <is>
          <t>Completed</t>
        </is>
      </c>
      <c r="CG183" s="93" t="inlineStr">
        <is>
          <t>0,80%</t>
        </is>
      </c>
      <c r="CH183" s="94" t="inlineStr">
        <is>
          <t>87</t>
        </is>
      </c>
      <c r="CI183" s="95" t="inlineStr">
        <is>
          <t>0,04%</t>
        </is>
      </c>
      <c r="CJ183" s="96" t="inlineStr">
        <is>
          <t>5,77%</t>
        </is>
      </c>
      <c r="CK183" s="97" t="inlineStr">
        <is>
          <t>0,76%</t>
        </is>
      </c>
      <c r="CL183" s="98" t="inlineStr">
        <is>
          <t>85</t>
        </is>
      </c>
      <c r="CM183" s="99" t="inlineStr">
        <is>
          <t>0,84%</t>
        </is>
      </c>
      <c r="CN183" s="100" t="inlineStr">
        <is>
          <t>95</t>
        </is>
      </c>
      <c r="CO183" s="101" t="inlineStr">
        <is>
          <t>0,76%</t>
        </is>
      </c>
      <c r="CP183" s="102" t="inlineStr">
        <is>
          <t>83</t>
        </is>
      </c>
      <c r="CQ183" s="103" t="inlineStr">
        <is>
          <t/>
        </is>
      </c>
      <c r="CR183" s="104" t="inlineStr">
        <is>
          <t/>
        </is>
      </c>
      <c r="CS183" s="105" t="inlineStr">
        <is>
          <t>1,68%</t>
        </is>
      </c>
      <c r="CT183" s="106" t="inlineStr">
        <is>
          <t>97</t>
        </is>
      </c>
      <c r="CU183" s="107" t="inlineStr">
        <is>
          <t>0,00%</t>
        </is>
      </c>
      <c r="CV183" s="108" t="inlineStr">
        <is>
          <t>20</t>
        </is>
      </c>
      <c r="CW183" s="109" t="inlineStr">
        <is>
          <t>209,88x</t>
        </is>
      </c>
      <c r="CX183" s="110" t="inlineStr">
        <is>
          <t>99</t>
        </is>
      </c>
      <c r="CY183" s="111" t="inlineStr">
        <is>
          <t>3,90x</t>
        </is>
      </c>
      <c r="CZ183" s="112" t="inlineStr">
        <is>
          <t>1,89%</t>
        </is>
      </c>
      <c r="DA183" s="113" t="inlineStr">
        <is>
          <t>220,83x</t>
        </is>
      </c>
      <c r="DB183" s="114" t="inlineStr">
        <is>
          <t>99</t>
        </is>
      </c>
      <c r="DC183" s="115" t="inlineStr">
        <is>
          <t>198,93x</t>
        </is>
      </c>
      <c r="DD183" s="116" t="inlineStr">
        <is>
          <t>98</t>
        </is>
      </c>
      <c r="DE183" s="117" t="inlineStr">
        <is>
          <t>220,83x</t>
        </is>
      </c>
      <c r="DF183" s="118" t="inlineStr">
        <is>
          <t>98</t>
        </is>
      </c>
      <c r="DG183" s="119" t="inlineStr">
        <is>
          <t/>
        </is>
      </c>
      <c r="DH183" s="120" t="inlineStr">
        <is>
          <t/>
        </is>
      </c>
      <c r="DI183" s="121" t="inlineStr">
        <is>
          <t>397,05x</t>
        </is>
      </c>
      <c r="DJ183" s="122" t="inlineStr">
        <is>
          <t>99</t>
        </is>
      </c>
      <c r="DK183" s="123" t="inlineStr">
        <is>
          <t>0,82x</t>
        </is>
      </c>
      <c r="DL183" s="124" t="inlineStr">
        <is>
          <t>47</t>
        </is>
      </c>
      <c r="DM183" s="125" t="inlineStr">
        <is>
          <t>135.814</t>
        </is>
      </c>
      <c r="DN183" s="126" t="inlineStr">
        <is>
          <t>-8</t>
        </is>
      </c>
      <c r="DO183" s="127" t="inlineStr">
        <is>
          <t>-0,01%</t>
        </is>
      </c>
      <c r="DP183" s="128" t="inlineStr">
        <is>
          <t>314.699</t>
        </is>
      </c>
      <c r="DQ183" s="129" t="inlineStr">
        <is>
          <t>5.693</t>
        </is>
      </c>
      <c r="DR183" s="130" t="inlineStr">
        <is>
          <t>1,84%</t>
        </is>
      </c>
      <c r="DS183" s="131" t="inlineStr">
        <is>
          <t/>
        </is>
      </c>
      <c r="DT183" s="132" t="inlineStr">
        <is>
          <t/>
        </is>
      </c>
      <c r="DU183" s="133" t="inlineStr">
        <is>
          <t/>
        </is>
      </c>
      <c r="DV183" s="134" t="inlineStr">
        <is>
          <t>280</t>
        </is>
      </c>
      <c r="DW183" s="135" t="inlineStr">
        <is>
          <t>-1</t>
        </is>
      </c>
      <c r="DX183" s="136" t="inlineStr">
        <is>
          <t>-0,36%</t>
        </is>
      </c>
      <c r="DY183" s="137" t="inlineStr">
        <is>
          <t>PitchBook Research</t>
        </is>
      </c>
      <c r="DZ183" s="785">
        <f>HYPERLINK("https://my.pitchbook.com?c=86746-78", "View company online")</f>
      </c>
    </row>
    <row r="184">
      <c r="A184" s="139" t="inlineStr">
        <is>
          <t>63186-04</t>
        </is>
      </c>
      <c r="B184" s="140" t="inlineStr">
        <is>
          <t>Formula E</t>
        </is>
      </c>
      <c r="C184" s="141" t="inlineStr">
        <is>
          <t/>
        </is>
      </c>
      <c r="D184" s="142" t="inlineStr">
        <is>
          <t>FIA Formula E Championship</t>
        </is>
      </c>
      <c r="E184" s="143" t="inlineStr">
        <is>
          <t>63186-04</t>
        </is>
      </c>
      <c r="F184" s="144" t="inlineStr">
        <is>
          <t>Organizer and promoter of an electric motor racing championship intended to offer entertainment to its viewers. The company is the organizer promoter of a series of championship races known as FIA Formula E Championship involving electric-powered cars and is currently contested by ten teams with two drivers each.</t>
        </is>
      </c>
      <c r="G184" s="145" t="inlineStr">
        <is>
          <t>Consumer Products and Services (B2C)</t>
        </is>
      </c>
      <c r="H184" s="146" t="inlineStr">
        <is>
          <t>Transportation</t>
        </is>
      </c>
      <c r="I184" s="147" t="inlineStr">
        <is>
          <t>Automotive</t>
        </is>
      </c>
      <c r="J184" s="148" t="inlineStr">
        <is>
          <t>Automotive*; Movies, Music and Entertainment</t>
        </is>
      </c>
      <c r="K184" s="149" t="inlineStr">
        <is>
          <t/>
        </is>
      </c>
      <c r="L184" s="150" t="inlineStr">
        <is>
          <t>Venture Capital-Backed</t>
        </is>
      </c>
      <c r="M184" s="151" t="n">
        <v>100.75</v>
      </c>
      <c r="N184" s="152" t="inlineStr">
        <is>
          <t>Profitable</t>
        </is>
      </c>
      <c r="O184" s="153" t="inlineStr">
        <is>
          <t>Privately Held (backing)</t>
        </is>
      </c>
      <c r="P184" s="154" t="inlineStr">
        <is>
          <t>Venture Capital, Private Equity</t>
        </is>
      </c>
      <c r="Q184" s="155" t="inlineStr">
        <is>
          <t>www.fiaformulae.com</t>
        </is>
      </c>
      <c r="R184" s="156" t="n">
        <v>94.0</v>
      </c>
      <c r="S184" s="157" t="inlineStr">
        <is>
          <t/>
        </is>
      </c>
      <c r="T184" s="158" t="inlineStr">
        <is>
          <t/>
        </is>
      </c>
      <c r="U184" s="159" t="n">
        <v>2012.0</v>
      </c>
      <c r="V184" s="160" t="inlineStr">
        <is>
          <t/>
        </is>
      </c>
      <c r="W184" s="161" t="inlineStr">
        <is>
          <t/>
        </is>
      </c>
      <c r="X184" s="162" t="inlineStr">
        <is>
          <t/>
        </is>
      </c>
      <c r="Y184" s="163" t="n">
        <v>20.39581</v>
      </c>
      <c r="Z184" s="164" t="inlineStr">
        <is>
          <t/>
        </is>
      </c>
      <c r="AA184" s="165" t="n">
        <v>-60.42487</v>
      </c>
      <c r="AB184" s="166" t="inlineStr">
        <is>
          <t/>
        </is>
      </c>
      <c r="AC184" s="167" t="inlineStr">
        <is>
          <t/>
        </is>
      </c>
      <c r="AD184" s="168" t="inlineStr">
        <is>
          <t>FY 2015</t>
        </is>
      </c>
      <c r="AE184" s="169" t="inlineStr">
        <is>
          <t>67466-62P</t>
        </is>
      </c>
      <c r="AF184" s="170" t="inlineStr">
        <is>
          <t>Agustin Gomez-Pompa</t>
        </is>
      </c>
      <c r="AG184" s="171" t="inlineStr">
        <is>
          <t>Director, Finance</t>
        </is>
      </c>
      <c r="AH184" s="172" t="inlineStr">
        <is>
          <t>agustin@fiaformulae.com</t>
        </is>
      </c>
      <c r="AI184" s="173" t="inlineStr">
        <is>
          <t/>
        </is>
      </c>
      <c r="AJ184" s="174" t="inlineStr">
        <is>
          <t>Amsterdam, Netherlands</t>
        </is>
      </c>
      <c r="AK184" s="175" t="inlineStr">
        <is>
          <t>Prins Bernhardplein 200</t>
        </is>
      </c>
      <c r="AL184" s="176" t="inlineStr">
        <is>
          <t/>
        </is>
      </c>
      <c r="AM184" s="177" t="inlineStr">
        <is>
          <t>Amsterdam</t>
        </is>
      </c>
      <c r="AN184" s="178" t="inlineStr">
        <is>
          <t/>
        </is>
      </c>
      <c r="AO184" s="179" t="inlineStr">
        <is>
          <t>1097 JB</t>
        </is>
      </c>
      <c r="AP184" s="180" t="inlineStr">
        <is>
          <t>Netherlands</t>
        </is>
      </c>
      <c r="AQ184" s="181" t="inlineStr">
        <is>
          <t/>
        </is>
      </c>
      <c r="AR184" s="182" t="inlineStr">
        <is>
          <t/>
        </is>
      </c>
      <c r="AS184" s="183" t="inlineStr">
        <is>
          <t>hello@fiaformulae.com</t>
        </is>
      </c>
      <c r="AT184" s="184" t="inlineStr">
        <is>
          <t>Europe</t>
        </is>
      </c>
      <c r="AU184" s="185" t="inlineStr">
        <is>
          <t>Western Europe</t>
        </is>
      </c>
      <c r="AV184" s="186" t="inlineStr">
        <is>
          <t>The company received an undisclosed amount of development capital from China Media Capital and Motorsport Network on January 7, 2017.</t>
        </is>
      </c>
      <c r="AW184" s="187" t="inlineStr">
        <is>
          <t>Causeway Media Partners, China Media Capital, Discovery Communications, Liberty Global, MoraBanc Group, Motorsport Network, Qualcomm Ventures</t>
        </is>
      </c>
      <c r="AX184" s="188" t="n">
        <v>7.0</v>
      </c>
      <c r="AY184" s="189" t="inlineStr">
        <is>
          <t/>
        </is>
      </c>
      <c r="AZ184" s="190" t="inlineStr">
        <is>
          <t>Amura Capital</t>
        </is>
      </c>
      <c r="BA184" s="191" t="inlineStr">
        <is>
          <t/>
        </is>
      </c>
      <c r="BB184" s="192" t="inlineStr">
        <is>
          <t>Causeway Media Partners (www.causewaymp.com), China Media Capital (www.chinamediacapital.com), Discovery Communications (www.corporate.discovery.com), Liberty Global (www.libertyglobal.com), MoraBanc Group (www.morabanc.ad), Motorsport Network (www.motorsportnetwork.com), Qualcomm Ventures (www.qualcommventures.com)</t>
        </is>
      </c>
      <c r="BC184" s="193" t="inlineStr">
        <is>
          <t/>
        </is>
      </c>
      <c r="BD184" s="194" t="inlineStr">
        <is>
          <t/>
        </is>
      </c>
      <c r="BE184" s="195" t="inlineStr">
        <is>
          <t/>
        </is>
      </c>
      <c r="BF184" s="196" t="inlineStr">
        <is>
          <t/>
        </is>
      </c>
      <c r="BG184" s="197" t="n">
        <v>41773.0</v>
      </c>
      <c r="BH184" s="198" t="n">
        <v>50.0</v>
      </c>
      <c r="BI184" s="199" t="inlineStr">
        <is>
          <t>Actual</t>
        </is>
      </c>
      <c r="BJ184" s="200" t="inlineStr">
        <is>
          <t/>
        </is>
      </c>
      <c r="BK184" s="201" t="inlineStr">
        <is>
          <t/>
        </is>
      </c>
      <c r="BL184" s="202" t="inlineStr">
        <is>
          <t>Early Stage VC</t>
        </is>
      </c>
      <c r="BM184" s="203" t="inlineStr">
        <is>
          <t/>
        </is>
      </c>
      <c r="BN184" s="204" t="inlineStr">
        <is>
          <t/>
        </is>
      </c>
      <c r="BO184" s="205" t="inlineStr">
        <is>
          <t>Venture Capital</t>
        </is>
      </c>
      <c r="BP184" s="206" t="inlineStr">
        <is>
          <t/>
        </is>
      </c>
      <c r="BQ184" s="207" t="inlineStr">
        <is>
          <t/>
        </is>
      </c>
      <c r="BR184" s="208" t="inlineStr">
        <is>
          <t/>
        </is>
      </c>
      <c r="BS184" s="209" t="inlineStr">
        <is>
          <t>Completed</t>
        </is>
      </c>
      <c r="BT184" s="210" t="n">
        <v>42780.0</v>
      </c>
      <c r="BU184" s="211" t="inlineStr">
        <is>
          <t/>
        </is>
      </c>
      <c r="BV184" s="212" t="inlineStr">
        <is>
          <t/>
        </is>
      </c>
      <c r="BW184" s="213" t="inlineStr">
        <is>
          <t/>
        </is>
      </c>
      <c r="BX184" s="214" t="inlineStr">
        <is>
          <t/>
        </is>
      </c>
      <c r="BY184" s="215" t="inlineStr">
        <is>
          <t>PE Growth/Expansion</t>
        </is>
      </c>
      <c r="BZ184" s="216" t="inlineStr">
        <is>
          <t/>
        </is>
      </c>
      <c r="CA184" s="217" t="inlineStr">
        <is>
          <t/>
        </is>
      </c>
      <c r="CB184" s="218" t="inlineStr">
        <is>
          <t>Private Equity</t>
        </is>
      </c>
      <c r="CC184" s="219" t="inlineStr">
        <is>
          <t/>
        </is>
      </c>
      <c r="CD184" s="220" t="inlineStr">
        <is>
          <t/>
        </is>
      </c>
      <c r="CE184" s="221" t="inlineStr">
        <is>
          <t/>
        </is>
      </c>
      <c r="CF184" s="222" t="inlineStr">
        <is>
          <t>Completed</t>
        </is>
      </c>
      <c r="CG184" s="223" t="inlineStr">
        <is>
          <t>-0,14%</t>
        </is>
      </c>
      <c r="CH184" s="224" t="inlineStr">
        <is>
          <t>13</t>
        </is>
      </c>
      <c r="CI184" s="225" t="inlineStr">
        <is>
          <t>-0,01%</t>
        </is>
      </c>
      <c r="CJ184" s="226" t="inlineStr">
        <is>
          <t>-4,29%</t>
        </is>
      </c>
      <c r="CK184" s="227" t="inlineStr">
        <is>
          <t>-1,06%</t>
        </is>
      </c>
      <c r="CL184" s="228" t="inlineStr">
        <is>
          <t>9</t>
        </is>
      </c>
      <c r="CM184" s="229" t="inlineStr">
        <is>
          <t>0,55%</t>
        </is>
      </c>
      <c r="CN184" s="230" t="inlineStr">
        <is>
          <t>91</t>
        </is>
      </c>
      <c r="CO184" s="231" t="inlineStr">
        <is>
          <t>-3,10%</t>
        </is>
      </c>
      <c r="CP184" s="232" t="inlineStr">
        <is>
          <t>11</t>
        </is>
      </c>
      <c r="CQ184" s="233" t="inlineStr">
        <is>
          <t>0,98%</t>
        </is>
      </c>
      <c r="CR184" s="234" t="inlineStr">
        <is>
          <t>88</t>
        </is>
      </c>
      <c r="CS184" s="235" t="inlineStr">
        <is>
          <t>0,54%</t>
        </is>
      </c>
      <c r="CT184" s="236" t="inlineStr">
        <is>
          <t>88</t>
        </is>
      </c>
      <c r="CU184" s="237" t="inlineStr">
        <is>
          <t>0,57%</t>
        </is>
      </c>
      <c r="CV184" s="238" t="inlineStr">
        <is>
          <t>93</t>
        </is>
      </c>
      <c r="CW184" s="239" t="inlineStr">
        <is>
          <t>160,72x</t>
        </is>
      </c>
      <c r="CX184" s="240" t="inlineStr">
        <is>
          <t>98</t>
        </is>
      </c>
      <c r="CY184" s="241" t="inlineStr">
        <is>
          <t>3,33x</t>
        </is>
      </c>
      <c r="CZ184" s="242" t="inlineStr">
        <is>
          <t>2,12%</t>
        </is>
      </c>
      <c r="DA184" s="243" t="inlineStr">
        <is>
          <t>109,91x</t>
        </is>
      </c>
      <c r="DB184" s="244" t="inlineStr">
        <is>
          <t>98</t>
        </is>
      </c>
      <c r="DC184" s="245" t="inlineStr">
        <is>
          <t>372,03x</t>
        </is>
      </c>
      <c r="DD184" s="246" t="inlineStr">
        <is>
          <t>99</t>
        </is>
      </c>
      <c r="DE184" s="247" t="inlineStr">
        <is>
          <t>99,60x</t>
        </is>
      </c>
      <c r="DF184" s="248" t="inlineStr">
        <is>
          <t>96</t>
        </is>
      </c>
      <c r="DG184" s="249" t="inlineStr">
        <is>
          <t>120,22x</t>
        </is>
      </c>
      <c r="DH184" s="250" t="inlineStr">
        <is>
          <t>99</t>
        </is>
      </c>
      <c r="DI184" s="251" t="inlineStr">
        <is>
          <t>378,49x</t>
        </is>
      </c>
      <c r="DJ184" s="252" t="inlineStr">
        <is>
          <t>98</t>
        </is>
      </c>
      <c r="DK184" s="253" t="inlineStr">
        <is>
          <t>365,56x</t>
        </is>
      </c>
      <c r="DL184" s="254" t="inlineStr">
        <is>
          <t>100</t>
        </is>
      </c>
      <c r="DM184" s="255" t="inlineStr">
        <is>
          <t>69.892</t>
        </is>
      </c>
      <c r="DN184" s="256" t="inlineStr">
        <is>
          <t>-25.909</t>
        </is>
      </c>
      <c r="DO184" s="257" t="inlineStr">
        <is>
          <t>-27,04%</t>
        </is>
      </c>
      <c r="DP184" s="258" t="inlineStr">
        <is>
          <t>301.889</t>
        </is>
      </c>
      <c r="DQ184" s="259" t="inlineStr">
        <is>
          <t>546</t>
        </is>
      </c>
      <c r="DR184" s="260" t="inlineStr">
        <is>
          <t>0,18%</t>
        </is>
      </c>
      <c r="DS184" s="261" t="inlineStr">
        <is>
          <t>4.322</t>
        </is>
      </c>
      <c r="DT184" s="262" t="inlineStr">
        <is>
          <t>24</t>
        </is>
      </c>
      <c r="DU184" s="263" t="inlineStr">
        <is>
          <t>0,56%</t>
        </is>
      </c>
      <c r="DV184" s="264" t="inlineStr">
        <is>
          <t>125.328</t>
        </is>
      </c>
      <c r="DW184" s="265" t="inlineStr">
        <is>
          <t>186</t>
        </is>
      </c>
      <c r="DX184" s="266" t="inlineStr">
        <is>
          <t>0,15%</t>
        </is>
      </c>
      <c r="DY184" s="267" t="inlineStr">
        <is>
          <t>PitchBook Research</t>
        </is>
      </c>
      <c r="DZ184" s="786">
        <f>HYPERLINK("https://my.pitchbook.com?c=63186-04", "View company online")</f>
      </c>
    </row>
    <row r="185">
      <c r="A185" s="9" t="inlineStr">
        <is>
          <t>61037-92</t>
        </is>
      </c>
      <c r="B185" s="10" t="inlineStr">
        <is>
          <t>Foundry Innovation &amp; Research 1</t>
        </is>
      </c>
      <c r="C185" s="11" t="inlineStr">
        <is>
          <t/>
        </is>
      </c>
      <c r="D185" s="12" t="inlineStr">
        <is>
          <t>FIRE1</t>
        </is>
      </c>
      <c r="E185" s="13" t="inlineStr">
        <is>
          <t>61037-92</t>
        </is>
      </c>
      <c r="F185" s="14" t="inlineStr">
        <is>
          <t>Developer of remote monitoring devices. The company focuses on developing novel therapeutic and remote monitoring devices.</t>
        </is>
      </c>
      <c r="G185" s="15" t="inlineStr">
        <is>
          <t>Healthcare</t>
        </is>
      </c>
      <c r="H185" s="16" t="inlineStr">
        <is>
          <t>Healthcare Devices and Supplies</t>
        </is>
      </c>
      <c r="I185" s="17" t="inlineStr">
        <is>
          <t>Therapeutic Devices</t>
        </is>
      </c>
      <c r="J185" s="18" t="inlineStr">
        <is>
          <t>Therapeutic Devices*</t>
        </is>
      </c>
      <c r="K185" s="19" t="inlineStr">
        <is>
          <t/>
        </is>
      </c>
      <c r="L185" s="20" t="inlineStr">
        <is>
          <t>Venture Capital-Backed</t>
        </is>
      </c>
      <c r="M185" s="21" t="n">
        <v>6.62</v>
      </c>
      <c r="N185" s="22" t="inlineStr">
        <is>
          <t>Startup</t>
        </is>
      </c>
      <c r="O185" s="23" t="inlineStr">
        <is>
          <t>Privately Held (backing)</t>
        </is>
      </c>
      <c r="P185" s="24" t="inlineStr">
        <is>
          <t>Venture Capital</t>
        </is>
      </c>
      <c r="Q185" s="25" t="inlineStr">
        <is>
          <t>www.fire1foundry.com</t>
        </is>
      </c>
      <c r="R185" s="26" t="inlineStr">
        <is>
          <t/>
        </is>
      </c>
      <c r="S185" s="27" t="inlineStr">
        <is>
          <t/>
        </is>
      </c>
      <c r="T185" s="28" t="inlineStr">
        <is>
          <t/>
        </is>
      </c>
      <c r="U185" s="29" t="n">
        <v>2013.0</v>
      </c>
      <c r="V185" s="30" t="inlineStr">
        <is>
          <t/>
        </is>
      </c>
      <c r="W185" s="31" t="inlineStr">
        <is>
          <t/>
        </is>
      </c>
      <c r="X185" s="32" t="inlineStr">
        <is>
          <t/>
        </is>
      </c>
      <c r="Y185" s="33" t="inlineStr">
        <is>
          <t/>
        </is>
      </c>
      <c r="Z185" s="34" t="inlineStr">
        <is>
          <t/>
        </is>
      </c>
      <c r="AA185" s="35" t="inlineStr">
        <is>
          <t/>
        </is>
      </c>
      <c r="AB185" s="36" t="inlineStr">
        <is>
          <t/>
        </is>
      </c>
      <c r="AC185" s="37" t="inlineStr">
        <is>
          <t/>
        </is>
      </c>
      <c r="AD185" s="38" t="inlineStr">
        <is>
          <t/>
        </is>
      </c>
      <c r="AE185" s="39" t="inlineStr">
        <is>
          <t>134950-96P</t>
        </is>
      </c>
      <c r="AF185" s="40" t="inlineStr">
        <is>
          <t>Conor Hanley</t>
        </is>
      </c>
      <c r="AG185" s="41" t="inlineStr">
        <is>
          <t>Chief Executive Officer &amp; President</t>
        </is>
      </c>
      <c r="AH185" s="42" t="inlineStr">
        <is>
          <t>conor@fire1foundry.com</t>
        </is>
      </c>
      <c r="AI185" s="43" t="inlineStr">
        <is>
          <t/>
        </is>
      </c>
      <c r="AJ185" s="44" t="inlineStr">
        <is>
          <t>Dublin, Ireland</t>
        </is>
      </c>
      <c r="AK185" s="45" t="inlineStr">
        <is>
          <t>NexusUCD</t>
        </is>
      </c>
      <c r="AL185" s="46" t="inlineStr">
        <is>
          <t/>
        </is>
      </c>
      <c r="AM185" s="47" t="inlineStr">
        <is>
          <t>Dublin</t>
        </is>
      </c>
      <c r="AN185" s="48" t="inlineStr">
        <is>
          <t/>
        </is>
      </c>
      <c r="AO185" s="49" t="inlineStr">
        <is>
          <t/>
        </is>
      </c>
      <c r="AP185" s="50" t="inlineStr">
        <is>
          <t>Ireland</t>
        </is>
      </c>
      <c r="AQ185" s="51" t="inlineStr">
        <is>
          <t/>
        </is>
      </c>
      <c r="AR185" s="52" t="inlineStr">
        <is>
          <t/>
        </is>
      </c>
      <c r="AS185" s="53" t="inlineStr">
        <is>
          <t/>
        </is>
      </c>
      <c r="AT185" s="54" t="inlineStr">
        <is>
          <t>Europe</t>
        </is>
      </c>
      <c r="AU185" s="55" t="inlineStr">
        <is>
          <t>Western Europe</t>
        </is>
      </c>
      <c r="AV185" s="56" t="inlineStr">
        <is>
          <t>The company raised $7.5 million of Series B venture funding from Lightstone Ventures, New Enterprise Associates and Medtronic on April 12, 2016.</t>
        </is>
      </c>
      <c r="AW185" s="57" t="inlineStr">
        <is>
          <t>Lightstone Ventures, Medtronic, Medtronic Ventures, New Enterprise Associates, The Foundry</t>
        </is>
      </c>
      <c r="AX185" s="58" t="n">
        <v>5.0</v>
      </c>
      <c r="AY185" s="59" t="inlineStr">
        <is>
          <t/>
        </is>
      </c>
      <c r="AZ185" s="60" t="inlineStr">
        <is>
          <t/>
        </is>
      </c>
      <c r="BA185" s="61" t="inlineStr">
        <is>
          <t/>
        </is>
      </c>
      <c r="BB185" s="62" t="inlineStr">
        <is>
          <t>Lightstone Ventures (www.lightstonevc.com), Medtronic (www.medtronic.com), Medtronic Ventures (www.covidienventures.com), New Enterprise Associates (www.nea.com), The Foundry (www.thefoundry.com)</t>
        </is>
      </c>
      <c r="BC185" s="63" t="inlineStr">
        <is>
          <t/>
        </is>
      </c>
      <c r="BD185" s="64" t="inlineStr">
        <is>
          <t/>
        </is>
      </c>
      <c r="BE185" s="65" t="inlineStr">
        <is>
          <t>Wilson Sonsini Goodrich &amp; Rosati (Legal Advisor)</t>
        </is>
      </c>
      <c r="BF185" s="66" t="inlineStr">
        <is>
          <t/>
        </is>
      </c>
      <c r="BG185" s="67" t="inlineStr">
        <is>
          <t/>
        </is>
      </c>
      <c r="BH185" s="68" t="inlineStr">
        <is>
          <t/>
        </is>
      </c>
      <c r="BI185" s="69" t="inlineStr">
        <is>
          <t/>
        </is>
      </c>
      <c r="BJ185" s="70" t="inlineStr">
        <is>
          <t/>
        </is>
      </c>
      <c r="BK185" s="71" t="inlineStr">
        <is>
          <t/>
        </is>
      </c>
      <c r="BL185" s="72" t="inlineStr">
        <is>
          <t>Seed Round</t>
        </is>
      </c>
      <c r="BM185" s="73" t="inlineStr">
        <is>
          <t>Seed</t>
        </is>
      </c>
      <c r="BN185" s="74" t="inlineStr">
        <is>
          <t/>
        </is>
      </c>
      <c r="BO185" s="75" t="inlineStr">
        <is>
          <t>Venture Capital</t>
        </is>
      </c>
      <c r="BP185" s="76" t="inlineStr">
        <is>
          <t/>
        </is>
      </c>
      <c r="BQ185" s="77" t="inlineStr">
        <is>
          <t/>
        </is>
      </c>
      <c r="BR185" s="78" t="inlineStr">
        <is>
          <t/>
        </is>
      </c>
      <c r="BS185" s="79" t="inlineStr">
        <is>
          <t>Completed</t>
        </is>
      </c>
      <c r="BT185" s="80" t="n">
        <v>42472.0</v>
      </c>
      <c r="BU185" s="81" t="n">
        <v>6.62</v>
      </c>
      <c r="BV185" s="82" t="inlineStr">
        <is>
          <t>Actual</t>
        </is>
      </c>
      <c r="BW185" s="83" t="inlineStr">
        <is>
          <t/>
        </is>
      </c>
      <c r="BX185" s="84" t="inlineStr">
        <is>
          <t/>
        </is>
      </c>
      <c r="BY185" s="85" t="inlineStr">
        <is>
          <t>Early Stage VC</t>
        </is>
      </c>
      <c r="BZ185" s="86" t="inlineStr">
        <is>
          <t>Series B</t>
        </is>
      </c>
      <c r="CA185" s="87" t="inlineStr">
        <is>
          <t/>
        </is>
      </c>
      <c r="CB185" s="88" t="inlineStr">
        <is>
          <t>Venture Capital</t>
        </is>
      </c>
      <c r="CC185" s="89" t="inlineStr">
        <is>
          <t/>
        </is>
      </c>
      <c r="CD185" s="90" t="inlineStr">
        <is>
          <t/>
        </is>
      </c>
      <c r="CE185" s="91" t="inlineStr">
        <is>
          <t/>
        </is>
      </c>
      <c r="CF185" s="92" t="inlineStr">
        <is>
          <t>Completed</t>
        </is>
      </c>
      <c r="CG185" s="93" t="inlineStr">
        <is>
          <t>0,00%</t>
        </is>
      </c>
      <c r="CH185" s="94" t="inlineStr">
        <is>
          <t>23</t>
        </is>
      </c>
      <c r="CI185" s="95" t="inlineStr">
        <is>
          <t>0,00%</t>
        </is>
      </c>
      <c r="CJ185" s="96" t="inlineStr">
        <is>
          <t>0,00%</t>
        </is>
      </c>
      <c r="CK185" s="97" t="inlineStr">
        <is>
          <t>0,00%</t>
        </is>
      </c>
      <c r="CL185" s="98" t="inlineStr">
        <is>
          <t>18</t>
        </is>
      </c>
      <c r="CM185" s="99" t="inlineStr">
        <is>
          <t/>
        </is>
      </c>
      <c r="CN185" s="100" t="inlineStr">
        <is>
          <t/>
        </is>
      </c>
      <c r="CO185" s="101" t="inlineStr">
        <is>
          <t>0,00%</t>
        </is>
      </c>
      <c r="CP185" s="102" t="inlineStr">
        <is>
          <t>26</t>
        </is>
      </c>
      <c r="CQ185" s="103" t="inlineStr">
        <is>
          <t>0,00%</t>
        </is>
      </c>
      <c r="CR185" s="104" t="inlineStr">
        <is>
          <t>13</t>
        </is>
      </c>
      <c r="CS185" s="105" t="inlineStr">
        <is>
          <t/>
        </is>
      </c>
      <c r="CT185" s="106" t="inlineStr">
        <is>
          <t/>
        </is>
      </c>
      <c r="CU185" s="107" t="inlineStr">
        <is>
          <t/>
        </is>
      </c>
      <c r="CV185" s="108" t="inlineStr">
        <is>
          <t/>
        </is>
      </c>
      <c r="CW185" s="109" t="inlineStr">
        <is>
          <t>0,34x</t>
        </is>
      </c>
      <c r="CX185" s="110" t="inlineStr">
        <is>
          <t>26</t>
        </is>
      </c>
      <c r="CY185" s="111" t="inlineStr">
        <is>
          <t>0,00x</t>
        </is>
      </c>
      <c r="CZ185" s="112" t="inlineStr">
        <is>
          <t>1,35%</t>
        </is>
      </c>
      <c r="DA185" s="113" t="inlineStr">
        <is>
          <t>0,34x</t>
        </is>
      </c>
      <c r="DB185" s="114" t="inlineStr">
        <is>
          <t>29</t>
        </is>
      </c>
      <c r="DC185" s="115" t="inlineStr">
        <is>
          <t/>
        </is>
      </c>
      <c r="DD185" s="116" t="inlineStr">
        <is>
          <t/>
        </is>
      </c>
      <c r="DE185" s="117" t="inlineStr">
        <is>
          <t>0,34x</t>
        </is>
      </c>
      <c r="DF185" s="118" t="inlineStr">
        <is>
          <t>28</t>
        </is>
      </c>
      <c r="DG185" s="119" t="inlineStr">
        <is>
          <t>0,33x</t>
        </is>
      </c>
      <c r="DH185" s="120" t="inlineStr">
        <is>
          <t>28</t>
        </is>
      </c>
      <c r="DI185" s="121" t="inlineStr">
        <is>
          <t/>
        </is>
      </c>
      <c r="DJ185" s="122" t="inlineStr">
        <is>
          <t/>
        </is>
      </c>
      <c r="DK185" s="123" t="inlineStr">
        <is>
          <t/>
        </is>
      </c>
      <c r="DL185" s="124" t="inlineStr">
        <is>
          <t/>
        </is>
      </c>
      <c r="DM185" s="125" t="inlineStr">
        <is>
          <t>217</t>
        </is>
      </c>
      <c r="DN185" s="126" t="inlineStr">
        <is>
          <t>-19</t>
        </is>
      </c>
      <c r="DO185" s="127" t="inlineStr">
        <is>
          <t>-8,05%</t>
        </is>
      </c>
      <c r="DP185" s="128" t="inlineStr">
        <is>
          <t/>
        </is>
      </c>
      <c r="DQ185" s="129" t="inlineStr">
        <is>
          <t/>
        </is>
      </c>
      <c r="DR185" s="130" t="inlineStr">
        <is>
          <t/>
        </is>
      </c>
      <c r="DS185" s="131" t="inlineStr">
        <is>
          <t>12</t>
        </is>
      </c>
      <c r="DT185" s="132" t="inlineStr">
        <is>
          <t>0</t>
        </is>
      </c>
      <c r="DU185" s="133" t="inlineStr">
        <is>
          <t>0,00%</t>
        </is>
      </c>
      <c r="DV185" s="134" t="inlineStr">
        <is>
          <t/>
        </is>
      </c>
      <c r="DW185" s="135" t="inlineStr">
        <is>
          <t/>
        </is>
      </c>
      <c r="DX185" s="136" t="inlineStr">
        <is>
          <t/>
        </is>
      </c>
      <c r="DY185" s="137" t="inlineStr">
        <is>
          <t>PitchBook Research</t>
        </is>
      </c>
      <c r="DZ185" s="785">
        <f>HYPERLINK("https://my.pitchbook.com?c=61037-92", "View company online")</f>
      </c>
    </row>
    <row r="186">
      <c r="A186" s="139" t="inlineStr">
        <is>
          <t>168373-54</t>
        </is>
      </c>
      <c r="B186" s="140" t="inlineStr">
        <is>
          <t>Foxintelligence</t>
        </is>
      </c>
      <c r="C186" s="141" t="inlineStr">
        <is>
          <t/>
        </is>
      </c>
      <c r="D186" s="142" t="inlineStr">
        <is>
          <t/>
        </is>
      </c>
      <c r="E186" s="143" t="inlineStr">
        <is>
          <t>168373-54</t>
        </is>
      </c>
      <c r="F186" s="144" t="inlineStr">
        <is>
          <t>Developer of a market intelligence platform designed to measure e-commerce's activity. The company's market intelligence platform collects and measures all aspects of every online purchase made by consumers through their application by which they can access users' order confirmation emails using aggregated and anonymized data , enabling businesses to get customer insights based on market trends.</t>
        </is>
      </c>
      <c r="G186" s="145" t="inlineStr">
        <is>
          <t>Information Technology</t>
        </is>
      </c>
      <c r="H186" s="146" t="inlineStr">
        <is>
          <t>Software</t>
        </is>
      </c>
      <c r="I186" s="147" t="inlineStr">
        <is>
          <t>Business/Productivity Software</t>
        </is>
      </c>
      <c r="J186" s="148" t="inlineStr">
        <is>
          <t>Business/Productivity Software*; Application Software</t>
        </is>
      </c>
      <c r="K186" s="149" t="inlineStr">
        <is>
          <t>E-Commerce</t>
        </is>
      </c>
      <c r="L186" s="150" t="inlineStr">
        <is>
          <t>Venture Capital-Backed</t>
        </is>
      </c>
      <c r="M186" s="151" t="n">
        <v>7.0</v>
      </c>
      <c r="N186" s="152" t="inlineStr">
        <is>
          <t>Startup</t>
        </is>
      </c>
      <c r="O186" s="153" t="inlineStr">
        <is>
          <t>Privately Held (backing)</t>
        </is>
      </c>
      <c r="P186" s="154" t="inlineStr">
        <is>
          <t>Venture Capital</t>
        </is>
      </c>
      <c r="Q186" s="155" t="inlineStr">
        <is>
          <t>www.foxintelligence.fr</t>
        </is>
      </c>
      <c r="R186" s="156" t="inlineStr">
        <is>
          <t/>
        </is>
      </c>
      <c r="S186" s="157" t="inlineStr">
        <is>
          <t/>
        </is>
      </c>
      <c r="T186" s="158" t="inlineStr">
        <is>
          <t/>
        </is>
      </c>
      <c r="U186" s="159" t="n">
        <v>2016.0</v>
      </c>
      <c r="V186" s="160" t="inlineStr">
        <is>
          <t/>
        </is>
      </c>
      <c r="W186" s="161" t="inlineStr">
        <is>
          <t/>
        </is>
      </c>
      <c r="X186" s="162" t="inlineStr">
        <is>
          <t/>
        </is>
      </c>
      <c r="Y186" s="163" t="inlineStr">
        <is>
          <t/>
        </is>
      </c>
      <c r="Z186" s="164" t="inlineStr">
        <is>
          <t/>
        </is>
      </c>
      <c r="AA186" s="165" t="inlineStr">
        <is>
          <t/>
        </is>
      </c>
      <c r="AB186" s="166" t="inlineStr">
        <is>
          <t/>
        </is>
      </c>
      <c r="AC186" s="167" t="inlineStr">
        <is>
          <t/>
        </is>
      </c>
      <c r="AD186" s="168" t="inlineStr">
        <is>
          <t/>
        </is>
      </c>
      <c r="AE186" s="169" t="inlineStr">
        <is>
          <t>64444-87P</t>
        </is>
      </c>
      <c r="AF186" s="170" t="inlineStr">
        <is>
          <t>Edouard Nattée</t>
        </is>
      </c>
      <c r="AG186" s="171" t="inlineStr">
        <is>
          <t>Founder &amp; Chief Executive Officer</t>
        </is>
      </c>
      <c r="AH186" s="172" t="inlineStr">
        <is>
          <t>edouard@foxintelligence.fr</t>
        </is>
      </c>
      <c r="AI186" s="173" t="inlineStr">
        <is>
          <t>+33 (0)1 72 60 71 62</t>
        </is>
      </c>
      <c r="AJ186" s="174" t="inlineStr">
        <is>
          <t>Paris, France</t>
        </is>
      </c>
      <c r="AK186" s="175" t="inlineStr">
        <is>
          <t>15, rue Tiquetonne</t>
        </is>
      </c>
      <c r="AL186" s="176" t="inlineStr">
        <is>
          <t/>
        </is>
      </c>
      <c r="AM186" s="177" t="inlineStr">
        <is>
          <t>Paris</t>
        </is>
      </c>
      <c r="AN186" s="178" t="inlineStr">
        <is>
          <t/>
        </is>
      </c>
      <c r="AO186" s="179" t="inlineStr">
        <is>
          <t>75002</t>
        </is>
      </c>
      <c r="AP186" s="180" t="inlineStr">
        <is>
          <t>France</t>
        </is>
      </c>
      <c r="AQ186" s="181" t="inlineStr">
        <is>
          <t>+33 (0)1 72 60 71 62</t>
        </is>
      </c>
      <c r="AR186" s="182" t="inlineStr">
        <is>
          <t/>
        </is>
      </c>
      <c r="AS186" s="183" t="inlineStr">
        <is>
          <t>contact@misterfox.co</t>
        </is>
      </c>
      <c r="AT186" s="184" t="inlineStr">
        <is>
          <t>Europe</t>
        </is>
      </c>
      <c r="AU186" s="185" t="inlineStr">
        <is>
          <t>Western Europe</t>
        </is>
      </c>
      <c r="AV186" s="186" t="inlineStr">
        <is>
          <t>The company raised EUR 6 million of venture funding from Daphni, Global Founders Capital and eFounders on July 9, 2017. Iron Capital Partners, Kima Ventures, LeStudio VC and 8 other individual investors also participated in the round. The company will use the funds to to expand operations. Earlier, the company raised EUR 1 million of venture funding from Daphni, Partech Ventures and Kima Ventures on November 21, 2016. The Studio, Global Founders Capital, Renaud Visage and other undisclosed individual investors also participated in the round.</t>
        </is>
      </c>
      <c r="AW186" s="187" t="inlineStr">
        <is>
          <t>Cyril Grislain, Daphni, eFounders, Global Founders Capital, Grégoire Boutin, Iron Capital Partners, Kima Ventures, Laurence Parisot, LeStudio VC, Norbert Furnion, Partech Ventures, Patrice Thiry, Philippe Dufour, Renaud Visage, Tamim Jabr, The Studio</t>
        </is>
      </c>
      <c r="AX186" s="188" t="n">
        <v>16.0</v>
      </c>
      <c r="AY186" s="189" t="inlineStr">
        <is>
          <t/>
        </is>
      </c>
      <c r="AZ186" s="190" t="inlineStr">
        <is>
          <t/>
        </is>
      </c>
      <c r="BA186" s="191" t="inlineStr">
        <is>
          <t/>
        </is>
      </c>
      <c r="BB186" s="192" t="inlineStr">
        <is>
          <t>Daphni (www.daphni.com), eFounders (www.efounders.co), Global Founders Capital (www.globalfounders.vc), Iron Capital Partners (www.ironcapitalpartners.com), Kima Ventures (www.kimaventures.com), LeStudio VC (www.lestudio.vc), Partech Ventures (www.partechventures.com), The Studio (thestudioliverpool.uk)</t>
        </is>
      </c>
      <c r="BC186" s="193" t="inlineStr">
        <is>
          <t/>
        </is>
      </c>
      <c r="BD186" s="194" t="inlineStr">
        <is>
          <t/>
        </is>
      </c>
      <c r="BE186" s="195" t="inlineStr">
        <is>
          <t/>
        </is>
      </c>
      <c r="BF186" s="196" t="inlineStr">
        <is>
          <t/>
        </is>
      </c>
      <c r="BG186" s="197" t="n">
        <v>42695.0</v>
      </c>
      <c r="BH186" s="198" t="n">
        <v>1.0</v>
      </c>
      <c r="BI186" s="199" t="inlineStr">
        <is>
          <t>Actual</t>
        </is>
      </c>
      <c r="BJ186" s="200" t="inlineStr">
        <is>
          <t/>
        </is>
      </c>
      <c r="BK186" s="201" t="inlineStr">
        <is>
          <t/>
        </is>
      </c>
      <c r="BL186" s="202" t="inlineStr">
        <is>
          <t>Early Stage VC</t>
        </is>
      </c>
      <c r="BM186" s="203" t="inlineStr">
        <is>
          <t/>
        </is>
      </c>
      <c r="BN186" s="204" t="inlineStr">
        <is>
          <t/>
        </is>
      </c>
      <c r="BO186" s="205" t="inlineStr">
        <is>
          <t>Venture Capital</t>
        </is>
      </c>
      <c r="BP186" s="206" t="inlineStr">
        <is>
          <t/>
        </is>
      </c>
      <c r="BQ186" s="207" t="inlineStr">
        <is>
          <t/>
        </is>
      </c>
      <c r="BR186" s="208" t="inlineStr">
        <is>
          <t/>
        </is>
      </c>
      <c r="BS186" s="209" t="inlineStr">
        <is>
          <t>Completed</t>
        </is>
      </c>
      <c r="BT186" s="210" t="n">
        <v>42925.0</v>
      </c>
      <c r="BU186" s="211" t="n">
        <v>6.0</v>
      </c>
      <c r="BV186" s="212" t="inlineStr">
        <is>
          <t>Actual</t>
        </is>
      </c>
      <c r="BW186" s="213" t="inlineStr">
        <is>
          <t/>
        </is>
      </c>
      <c r="BX186" s="214" t="inlineStr">
        <is>
          <t/>
        </is>
      </c>
      <c r="BY186" s="215" t="inlineStr">
        <is>
          <t>Early Stage VC</t>
        </is>
      </c>
      <c r="BZ186" s="216" t="inlineStr">
        <is>
          <t/>
        </is>
      </c>
      <c r="CA186" s="217" t="inlineStr">
        <is>
          <t/>
        </is>
      </c>
      <c r="CB186" s="218" t="inlineStr">
        <is>
          <t>Venture Capital</t>
        </is>
      </c>
      <c r="CC186" s="219" t="inlineStr">
        <is>
          <t/>
        </is>
      </c>
      <c r="CD186" s="220" t="inlineStr">
        <is>
          <t/>
        </is>
      </c>
      <c r="CE186" s="221" t="inlineStr">
        <is>
          <t/>
        </is>
      </c>
      <c r="CF186" s="222" t="inlineStr">
        <is>
          <t>Completed</t>
        </is>
      </c>
      <c r="CG186" s="223" t="inlineStr">
        <is>
          <t>-9,03%</t>
        </is>
      </c>
      <c r="CH186" s="224" t="inlineStr">
        <is>
          <t>1</t>
        </is>
      </c>
      <c r="CI186" s="225" t="inlineStr">
        <is>
          <t>0,00%</t>
        </is>
      </c>
      <c r="CJ186" s="226" t="inlineStr">
        <is>
          <t>0,00%</t>
        </is>
      </c>
      <c r="CK186" s="227" t="inlineStr">
        <is>
          <t>-9,03%</t>
        </is>
      </c>
      <c r="CL186" s="228" t="inlineStr">
        <is>
          <t>1</t>
        </is>
      </c>
      <c r="CM186" s="229" t="inlineStr">
        <is>
          <t/>
        </is>
      </c>
      <c r="CN186" s="230" t="inlineStr">
        <is>
          <t/>
        </is>
      </c>
      <c r="CO186" s="231" t="inlineStr">
        <is>
          <t>-9,03%</t>
        </is>
      </c>
      <c r="CP186" s="232" t="inlineStr">
        <is>
          <t>2</t>
        </is>
      </c>
      <c r="CQ186" s="233" t="inlineStr">
        <is>
          <t/>
        </is>
      </c>
      <c r="CR186" s="234" t="inlineStr">
        <is>
          <t/>
        </is>
      </c>
      <c r="CS186" s="235" t="inlineStr">
        <is>
          <t/>
        </is>
      </c>
      <c r="CT186" s="236" t="inlineStr">
        <is>
          <t/>
        </is>
      </c>
      <c r="CU186" s="237" t="inlineStr">
        <is>
          <t/>
        </is>
      </c>
      <c r="CV186" s="238" t="inlineStr">
        <is>
          <t/>
        </is>
      </c>
      <c r="CW186" s="239" t="inlineStr">
        <is>
          <t>1,01x</t>
        </is>
      </c>
      <c r="CX186" s="240" t="inlineStr">
        <is>
          <t>49</t>
        </is>
      </c>
      <c r="CY186" s="241" t="inlineStr">
        <is>
          <t>0,00x</t>
        </is>
      </c>
      <c r="CZ186" s="242" t="inlineStr">
        <is>
          <t>0,00%</t>
        </is>
      </c>
      <c r="DA186" s="243" t="inlineStr">
        <is>
          <t>1,01x</t>
        </is>
      </c>
      <c r="DB186" s="244" t="inlineStr">
        <is>
          <t>52</t>
        </is>
      </c>
      <c r="DC186" s="245" t="inlineStr">
        <is>
          <t/>
        </is>
      </c>
      <c r="DD186" s="246" t="inlineStr">
        <is>
          <t/>
        </is>
      </c>
      <c r="DE186" s="247" t="inlineStr">
        <is>
          <t>1,01x</t>
        </is>
      </c>
      <c r="DF186" s="248" t="inlineStr">
        <is>
          <t>51</t>
        </is>
      </c>
      <c r="DG186" s="249" t="inlineStr">
        <is>
          <t/>
        </is>
      </c>
      <c r="DH186" s="250" t="inlineStr">
        <is>
          <t/>
        </is>
      </c>
      <c r="DI186" s="251" t="inlineStr">
        <is>
          <t/>
        </is>
      </c>
      <c r="DJ186" s="252" t="inlineStr">
        <is>
          <t/>
        </is>
      </c>
      <c r="DK186" s="253" t="inlineStr">
        <is>
          <t/>
        </is>
      </c>
      <c r="DL186" s="254" t="inlineStr">
        <is>
          <t/>
        </is>
      </c>
      <c r="DM186" s="255" t="inlineStr">
        <is>
          <t>803</t>
        </is>
      </c>
      <c r="DN186" s="256" t="inlineStr">
        <is>
          <t>-538</t>
        </is>
      </c>
      <c r="DO186" s="257" t="inlineStr">
        <is>
          <t>-40,12%</t>
        </is>
      </c>
      <c r="DP186" s="258" t="inlineStr">
        <is>
          <t/>
        </is>
      </c>
      <c r="DQ186" s="259" t="inlineStr">
        <is>
          <t/>
        </is>
      </c>
      <c r="DR186" s="260" t="inlineStr">
        <is>
          <t/>
        </is>
      </c>
      <c r="DS186" s="261" t="inlineStr">
        <is>
          <t/>
        </is>
      </c>
      <c r="DT186" s="262" t="inlineStr">
        <is>
          <t/>
        </is>
      </c>
      <c r="DU186" s="263" t="inlineStr">
        <is>
          <t/>
        </is>
      </c>
      <c r="DV186" s="264" t="inlineStr">
        <is>
          <t/>
        </is>
      </c>
      <c r="DW186" s="265" t="inlineStr">
        <is>
          <t/>
        </is>
      </c>
      <c r="DX186" s="266" t="inlineStr">
        <is>
          <t/>
        </is>
      </c>
      <c r="DY186" s="267" t="inlineStr">
        <is>
          <t>PitchBook Research</t>
        </is>
      </c>
      <c r="DZ186" s="786">
        <f>HYPERLINK("https://my.pitchbook.com?c=168373-54", "View company online")</f>
      </c>
    </row>
    <row r="187">
      <c r="A187" s="9" t="inlineStr">
        <is>
          <t>149608-63</t>
        </is>
      </c>
      <c r="B187" s="10" t="inlineStr">
        <is>
          <t>Freeline Therapeutics</t>
        </is>
      </c>
      <c r="C187" s="11" t="inlineStr">
        <is>
          <t/>
        </is>
      </c>
      <c r="D187" s="12" t="inlineStr">
        <is>
          <t/>
        </is>
      </c>
      <c r="E187" s="13" t="inlineStr">
        <is>
          <t>149608-63</t>
        </is>
      </c>
      <c r="F187" s="14" t="inlineStr">
        <is>
          <t>Developer of transformation liver directed gene therapy. The company is focused on the development and commercialisation of gene therapies for bleeding and other debilitating disorders based on a next-generation AAV (Adeno-associated virus) gene therapy platform.</t>
        </is>
      </c>
      <c r="G187" s="15" t="inlineStr">
        <is>
          <t>Healthcare</t>
        </is>
      </c>
      <c r="H187" s="16" t="inlineStr">
        <is>
          <t>Pharmaceuticals and Biotechnology</t>
        </is>
      </c>
      <c r="I187" s="17" t="inlineStr">
        <is>
          <t>Biotechnology</t>
        </is>
      </c>
      <c r="J187" s="18" t="inlineStr">
        <is>
          <t>Biotechnology*; Pharmaceuticals</t>
        </is>
      </c>
      <c r="K187" s="19" t="inlineStr">
        <is>
          <t>Life Sciences</t>
        </is>
      </c>
      <c r="L187" s="20" t="inlineStr">
        <is>
          <t>Venture Capital-Backed</t>
        </is>
      </c>
      <c r="M187" s="21" t="n">
        <v>32.94</v>
      </c>
      <c r="N187" s="22" t="inlineStr">
        <is>
          <t>Startup</t>
        </is>
      </c>
      <c r="O187" s="23" t="inlineStr">
        <is>
          <t>Privately Held (backing)</t>
        </is>
      </c>
      <c r="P187" s="24" t="inlineStr">
        <is>
          <t>Venture Capital</t>
        </is>
      </c>
      <c r="Q187" s="25" t="inlineStr">
        <is>
          <t>www.freelinetx.com</t>
        </is>
      </c>
      <c r="R187" s="26" t="n">
        <v>11.0</v>
      </c>
      <c r="S187" s="27" t="inlineStr">
        <is>
          <t/>
        </is>
      </c>
      <c r="T187" s="28" t="inlineStr">
        <is>
          <t/>
        </is>
      </c>
      <c r="U187" s="29" t="n">
        <v>2015.0</v>
      </c>
      <c r="V187" s="30" t="inlineStr">
        <is>
          <t/>
        </is>
      </c>
      <c r="W187" s="31" t="inlineStr">
        <is>
          <t/>
        </is>
      </c>
      <c r="X187" s="32" t="inlineStr">
        <is>
          <t/>
        </is>
      </c>
      <c r="Y187" s="33" t="inlineStr">
        <is>
          <t/>
        </is>
      </c>
      <c r="Z187" s="34" t="inlineStr">
        <is>
          <t/>
        </is>
      </c>
      <c r="AA187" s="35" t="inlineStr">
        <is>
          <t/>
        </is>
      </c>
      <c r="AB187" s="36" t="inlineStr">
        <is>
          <t/>
        </is>
      </c>
      <c r="AC187" s="37" t="inlineStr">
        <is>
          <t/>
        </is>
      </c>
      <c r="AD187" s="38" t="inlineStr">
        <is>
          <t/>
        </is>
      </c>
      <c r="AE187" s="39" t="inlineStr">
        <is>
          <t>63772-03P</t>
        </is>
      </c>
      <c r="AF187" s="40" t="inlineStr">
        <is>
          <t>Christian Groendahl</t>
        </is>
      </c>
      <c r="AG187" s="41" t="inlineStr">
        <is>
          <t>Chief Executive Officer &amp; Board Member</t>
        </is>
      </c>
      <c r="AH187" s="42" t="inlineStr">
        <is>
          <t>christian.groendahl@freelinetx.com</t>
        </is>
      </c>
      <c r="AI187" s="43" t="inlineStr">
        <is>
          <t>+44 (0)20 7794 4227</t>
        </is>
      </c>
      <c r="AJ187" s="44" t="inlineStr">
        <is>
          <t>London, United Kingdom</t>
        </is>
      </c>
      <c r="AK187" s="45" t="inlineStr">
        <is>
          <t>UCL Royal Free Medical School</t>
        </is>
      </c>
      <c r="AL187" s="46" t="inlineStr">
        <is>
          <t>Pond Street</t>
        </is>
      </c>
      <c r="AM187" s="47" t="inlineStr">
        <is>
          <t>London</t>
        </is>
      </c>
      <c r="AN187" s="48" t="inlineStr">
        <is>
          <t>England</t>
        </is>
      </c>
      <c r="AO187" s="49" t="inlineStr">
        <is>
          <t>NW3 2QG</t>
        </is>
      </c>
      <c r="AP187" s="50" t="inlineStr">
        <is>
          <t>United Kingdom</t>
        </is>
      </c>
      <c r="AQ187" s="51" t="inlineStr">
        <is>
          <t>+44 (0)20 7794 4227</t>
        </is>
      </c>
      <c r="AR187" s="52" t="inlineStr">
        <is>
          <t>+44 (0)20 7611 2032</t>
        </is>
      </c>
      <c r="AS187" s="53" t="inlineStr">
        <is>
          <t>contact@freelinetx.com</t>
        </is>
      </c>
      <c r="AT187" s="54" t="inlineStr">
        <is>
          <t>Europe</t>
        </is>
      </c>
      <c r="AU187" s="55" t="inlineStr">
        <is>
          <t>Western Europe</t>
        </is>
      </c>
      <c r="AV187" s="56" t="inlineStr">
        <is>
          <t>The company raised GBP 26 million of Series A venture funding from Syncona Partners and University College London (UCL) on June 20, 2016. UCL made an investment of up to GBP 1 million alongside Syncona’s GBP 25 million Series A financing.</t>
        </is>
      </c>
      <c r="AW187" s="57" t="inlineStr">
        <is>
          <t>Albion Capital, Syncona, University College London</t>
        </is>
      </c>
      <c r="AX187" s="58" t="n">
        <v>3.0</v>
      </c>
      <c r="AY187" s="59" t="inlineStr">
        <is>
          <t/>
        </is>
      </c>
      <c r="AZ187" s="60" t="inlineStr">
        <is>
          <t/>
        </is>
      </c>
      <c r="BA187" s="61" t="inlineStr">
        <is>
          <t/>
        </is>
      </c>
      <c r="BB187" s="62" t="inlineStr">
        <is>
          <t>Syncona (www.synconaltd.com), University College London (www.ucl.ac.uk)</t>
        </is>
      </c>
      <c r="BC187" s="63" t="inlineStr">
        <is>
          <t/>
        </is>
      </c>
      <c r="BD187" s="64" t="inlineStr">
        <is>
          <t/>
        </is>
      </c>
      <c r="BE187" s="65" t="inlineStr">
        <is>
          <t/>
        </is>
      </c>
      <c r="BF187" s="66" t="inlineStr">
        <is>
          <t/>
        </is>
      </c>
      <c r="BG187" s="67" t="n">
        <v>42541.0</v>
      </c>
      <c r="BH187" s="68" t="n">
        <v>32.94</v>
      </c>
      <c r="BI187" s="69" t="inlineStr">
        <is>
          <t>Actual</t>
        </is>
      </c>
      <c r="BJ187" s="70" t="inlineStr">
        <is>
          <t/>
        </is>
      </c>
      <c r="BK187" s="71" t="inlineStr">
        <is>
          <t/>
        </is>
      </c>
      <c r="BL187" s="72" t="inlineStr">
        <is>
          <t>Early Stage VC</t>
        </is>
      </c>
      <c r="BM187" s="73" t="inlineStr">
        <is>
          <t>Series A</t>
        </is>
      </c>
      <c r="BN187" s="74" t="inlineStr">
        <is>
          <t/>
        </is>
      </c>
      <c r="BO187" s="75" t="inlineStr">
        <is>
          <t>Venture Capital</t>
        </is>
      </c>
      <c r="BP187" s="76" t="inlineStr">
        <is>
          <t/>
        </is>
      </c>
      <c r="BQ187" s="77" t="inlineStr">
        <is>
          <t/>
        </is>
      </c>
      <c r="BR187" s="78" t="inlineStr">
        <is>
          <t/>
        </is>
      </c>
      <c r="BS187" s="79" t="inlineStr">
        <is>
          <t>Completed</t>
        </is>
      </c>
      <c r="BT187" s="80" t="n">
        <v>42541.0</v>
      </c>
      <c r="BU187" s="81" t="n">
        <v>32.94</v>
      </c>
      <c r="BV187" s="82" t="inlineStr">
        <is>
          <t>Actual</t>
        </is>
      </c>
      <c r="BW187" s="83" t="inlineStr">
        <is>
          <t/>
        </is>
      </c>
      <c r="BX187" s="84" t="inlineStr">
        <is>
          <t/>
        </is>
      </c>
      <c r="BY187" s="85" t="inlineStr">
        <is>
          <t>Early Stage VC</t>
        </is>
      </c>
      <c r="BZ187" s="86" t="inlineStr">
        <is>
          <t>Series A</t>
        </is>
      </c>
      <c r="CA187" s="87" t="inlineStr">
        <is>
          <t/>
        </is>
      </c>
      <c r="CB187" s="88" t="inlineStr">
        <is>
          <t>Venture Capital</t>
        </is>
      </c>
      <c r="CC187" s="89" t="inlineStr">
        <is>
          <t/>
        </is>
      </c>
      <c r="CD187" s="90" t="inlineStr">
        <is>
          <t/>
        </is>
      </c>
      <c r="CE187" s="91" t="inlineStr">
        <is>
          <t/>
        </is>
      </c>
      <c r="CF187" s="92" t="inlineStr">
        <is>
          <t>Completed</t>
        </is>
      </c>
      <c r="CG187" s="93" t="inlineStr">
        <is>
          <t>0,00%</t>
        </is>
      </c>
      <c r="CH187" s="94" t="inlineStr">
        <is>
          <t>23</t>
        </is>
      </c>
      <c r="CI187" s="95" t="inlineStr">
        <is>
          <t>0,00%</t>
        </is>
      </c>
      <c r="CJ187" s="96" t="inlineStr">
        <is>
          <t>0,00%</t>
        </is>
      </c>
      <c r="CK187" s="97" t="inlineStr">
        <is>
          <t>0,00%</t>
        </is>
      </c>
      <c r="CL187" s="98" t="inlineStr">
        <is>
          <t>18</t>
        </is>
      </c>
      <c r="CM187" s="99" t="inlineStr">
        <is>
          <t/>
        </is>
      </c>
      <c r="CN187" s="100" t="inlineStr">
        <is>
          <t/>
        </is>
      </c>
      <c r="CO187" s="101" t="inlineStr">
        <is>
          <t>0,00%</t>
        </is>
      </c>
      <c r="CP187" s="102" t="inlineStr">
        <is>
          <t>26</t>
        </is>
      </c>
      <c r="CQ187" s="103" t="inlineStr">
        <is>
          <t>0,00%</t>
        </is>
      </c>
      <c r="CR187" s="104" t="inlineStr">
        <is>
          <t>13</t>
        </is>
      </c>
      <c r="CS187" s="105" t="inlineStr">
        <is>
          <t/>
        </is>
      </c>
      <c r="CT187" s="106" t="inlineStr">
        <is>
          <t/>
        </is>
      </c>
      <c r="CU187" s="107" t="inlineStr">
        <is>
          <t/>
        </is>
      </c>
      <c r="CV187" s="108" t="inlineStr">
        <is>
          <t/>
        </is>
      </c>
      <c r="CW187" s="109" t="inlineStr">
        <is>
          <t>0,53x</t>
        </is>
      </c>
      <c r="CX187" s="110" t="inlineStr">
        <is>
          <t>35</t>
        </is>
      </c>
      <c r="CY187" s="111" t="inlineStr">
        <is>
          <t>-0,04x</t>
        </is>
      </c>
      <c r="CZ187" s="112" t="inlineStr">
        <is>
          <t>-7,78%</t>
        </is>
      </c>
      <c r="DA187" s="113" t="inlineStr">
        <is>
          <t>0,53x</t>
        </is>
      </c>
      <c r="DB187" s="114" t="inlineStr">
        <is>
          <t>37</t>
        </is>
      </c>
      <c r="DC187" s="115" t="inlineStr">
        <is>
          <t/>
        </is>
      </c>
      <c r="DD187" s="116" t="inlineStr">
        <is>
          <t/>
        </is>
      </c>
      <c r="DE187" s="117" t="inlineStr">
        <is>
          <t>0,33x</t>
        </is>
      </c>
      <c r="DF187" s="118" t="inlineStr">
        <is>
          <t>28</t>
        </is>
      </c>
      <c r="DG187" s="119" t="inlineStr">
        <is>
          <t>0,72x</t>
        </is>
      </c>
      <c r="DH187" s="120" t="inlineStr">
        <is>
          <t>43</t>
        </is>
      </c>
      <c r="DI187" s="121" t="inlineStr">
        <is>
          <t/>
        </is>
      </c>
      <c r="DJ187" s="122" t="inlineStr">
        <is>
          <t/>
        </is>
      </c>
      <c r="DK187" s="123" t="inlineStr">
        <is>
          <t/>
        </is>
      </c>
      <c r="DL187" s="124" t="inlineStr">
        <is>
          <t/>
        </is>
      </c>
      <c r="DM187" s="125" t="inlineStr">
        <is>
          <t>201</t>
        </is>
      </c>
      <c r="DN187" s="126" t="inlineStr">
        <is>
          <t>2</t>
        </is>
      </c>
      <c r="DO187" s="127" t="inlineStr">
        <is>
          <t>1,01%</t>
        </is>
      </c>
      <c r="DP187" s="128" t="inlineStr">
        <is>
          <t/>
        </is>
      </c>
      <c r="DQ187" s="129" t="inlineStr">
        <is>
          <t/>
        </is>
      </c>
      <c r="DR187" s="130" t="inlineStr">
        <is>
          <t/>
        </is>
      </c>
      <c r="DS187" s="131" t="inlineStr">
        <is>
          <t>27</t>
        </is>
      </c>
      <c r="DT187" s="132" t="inlineStr">
        <is>
          <t>-3</t>
        </is>
      </c>
      <c r="DU187" s="133" t="inlineStr">
        <is>
          <t>-10,00%</t>
        </is>
      </c>
      <c r="DV187" s="134" t="inlineStr">
        <is>
          <t/>
        </is>
      </c>
      <c r="DW187" s="135" t="inlineStr">
        <is>
          <t/>
        </is>
      </c>
      <c r="DX187" s="136" t="inlineStr">
        <is>
          <t/>
        </is>
      </c>
      <c r="DY187" s="137" t="inlineStr">
        <is>
          <t>PitchBook Research</t>
        </is>
      </c>
      <c r="DZ187" s="785">
        <f>HYPERLINK("https://my.pitchbook.com?c=149608-63", "View company online")</f>
      </c>
    </row>
    <row r="188">
      <c r="A188" s="139" t="inlineStr">
        <is>
          <t>128464-57</t>
        </is>
      </c>
      <c r="B188" s="140" t="inlineStr">
        <is>
          <t>Frichti</t>
        </is>
      </c>
      <c r="C188" s="141" t="inlineStr">
        <is>
          <t/>
        </is>
      </c>
      <c r="D188" s="142" t="inlineStr">
        <is>
          <t/>
        </is>
      </c>
      <c r="E188" s="143" t="inlineStr">
        <is>
          <t>128464-57</t>
        </is>
      </c>
      <c r="F188" s="144" t="inlineStr">
        <is>
          <t>Provider of an online food delivery platform designed to connect consumers to restaurants. The company's online food delivery platform cooks the meals, takes the orders and makes the deliveries in-house, enabling consumers to eat a variety of food products without having to cook.</t>
        </is>
      </c>
      <c r="G188" s="145" t="inlineStr">
        <is>
          <t>Consumer Products and Services (B2C)</t>
        </is>
      </c>
      <c r="H188" s="146" t="inlineStr">
        <is>
          <t>Services (Non-Financial)</t>
        </is>
      </c>
      <c r="I188" s="147" t="inlineStr">
        <is>
          <t>Other Services (B2C Non-Financial)</t>
        </is>
      </c>
      <c r="J188" s="148" t="inlineStr">
        <is>
          <t>Other Services (B2C Non-Financial)*; Social/Platform Software</t>
        </is>
      </c>
      <c r="K188" s="149" t="inlineStr">
        <is>
          <t/>
        </is>
      </c>
      <c r="L188" s="150" t="inlineStr">
        <is>
          <t>Venture Capital-Backed</t>
        </is>
      </c>
      <c r="M188" s="151" t="n">
        <v>43.57</v>
      </c>
      <c r="N188" s="152" t="inlineStr">
        <is>
          <t>Generating Revenue</t>
        </is>
      </c>
      <c r="O188" s="153" t="inlineStr">
        <is>
          <t>Privately Held (backing)</t>
        </is>
      </c>
      <c r="P188" s="154" t="inlineStr">
        <is>
          <t>Venture Capital</t>
        </is>
      </c>
      <c r="Q188" s="155" t="inlineStr">
        <is>
          <t>www.frichti.co</t>
        </is>
      </c>
      <c r="R188" s="156" t="n">
        <v>300.0</v>
      </c>
      <c r="S188" s="157" t="inlineStr">
        <is>
          <t/>
        </is>
      </c>
      <c r="T188" s="158" t="inlineStr">
        <is>
          <t/>
        </is>
      </c>
      <c r="U188" s="159" t="n">
        <v>2015.0</v>
      </c>
      <c r="V188" s="160" t="inlineStr">
        <is>
          <t/>
        </is>
      </c>
      <c r="W188" s="161" t="inlineStr">
        <is>
          <t/>
        </is>
      </c>
      <c r="X188" s="162" t="inlineStr">
        <is>
          <t/>
        </is>
      </c>
      <c r="Y188" s="163" t="n">
        <v>49.99901</v>
      </c>
      <c r="Z188" s="164" t="inlineStr">
        <is>
          <t/>
        </is>
      </c>
      <c r="AA188" s="165" t="inlineStr">
        <is>
          <t/>
        </is>
      </c>
      <c r="AB188" s="166" t="inlineStr">
        <is>
          <t/>
        </is>
      </c>
      <c r="AC188" s="167" t="inlineStr">
        <is>
          <t/>
        </is>
      </c>
      <c r="AD188" s="168" t="inlineStr">
        <is>
          <t>FY 2017</t>
        </is>
      </c>
      <c r="AE188" s="169" t="inlineStr">
        <is>
          <t>119483-74P</t>
        </is>
      </c>
      <c r="AF188" s="170" t="inlineStr">
        <is>
          <t>Julia Bijaoui</t>
        </is>
      </c>
      <c r="AG188" s="171" t="inlineStr">
        <is>
          <t>President, Co-Founder &amp; Chief Executive Officer</t>
        </is>
      </c>
      <c r="AH188" s="172" t="inlineStr">
        <is>
          <t>julia@frichti.co</t>
        </is>
      </c>
      <c r="AI188" s="173" t="inlineStr">
        <is>
          <t>+33 (0)8 11 53 48 09</t>
        </is>
      </c>
      <c r="AJ188" s="174" t="inlineStr">
        <is>
          <t>Paris, France</t>
        </is>
      </c>
      <c r="AK188" s="175" t="inlineStr">
        <is>
          <t>12 bis rue Girardon</t>
        </is>
      </c>
      <c r="AL188" s="176" t="inlineStr">
        <is>
          <t/>
        </is>
      </c>
      <c r="AM188" s="177" t="inlineStr">
        <is>
          <t>Paris</t>
        </is>
      </c>
      <c r="AN188" s="178" t="inlineStr">
        <is>
          <t/>
        </is>
      </c>
      <c r="AO188" s="179" t="inlineStr">
        <is>
          <t>75018</t>
        </is>
      </c>
      <c r="AP188" s="180" t="inlineStr">
        <is>
          <t>France</t>
        </is>
      </c>
      <c r="AQ188" s="181" t="inlineStr">
        <is>
          <t>+33 (0)8 11 53 48 09</t>
        </is>
      </c>
      <c r="AR188" s="182" t="inlineStr">
        <is>
          <t/>
        </is>
      </c>
      <c r="AS188" s="183" t="inlineStr">
        <is>
          <t>hello@frichti.co</t>
        </is>
      </c>
      <c r="AT188" s="184" t="inlineStr">
        <is>
          <t>Europe</t>
        </is>
      </c>
      <c r="AU188" s="185" t="inlineStr">
        <is>
          <t>Western Europe</t>
        </is>
      </c>
      <c r="AV188" s="186" t="inlineStr">
        <is>
          <t>The company raised $33.7 million of venture funding from lead investors Verlinvest and Felix Capital on May 23, 2017. IdInvest Partners, Alven Capital Partners and other undisclosed investors also participated. The company plans to use the new funding to expand its coverage from beyond Paris into other major European cities. The company has raised $48 million to date.</t>
        </is>
      </c>
      <c r="AW188" s="187" t="inlineStr">
        <is>
          <t>Alven Capital Partners, Celine Lazorthes, Ce´line Orjubin, Felix Capital, IdInvest Partners, Pierre Valade, Verlinvest</t>
        </is>
      </c>
      <c r="AX188" s="188" t="n">
        <v>7.0</v>
      </c>
      <c r="AY188" s="189" t="inlineStr">
        <is>
          <t/>
        </is>
      </c>
      <c r="AZ188" s="190" t="inlineStr">
        <is>
          <t/>
        </is>
      </c>
      <c r="BA188" s="191" t="inlineStr">
        <is>
          <t/>
        </is>
      </c>
      <c r="BB188" s="192" t="inlineStr">
        <is>
          <t>Alven Capital Partners (www.alven.co), Felix Capital (www.felixcap.com), IdInvest Partners (www.idinvest.com), Verlinvest (www.verlinvest.be)</t>
        </is>
      </c>
      <c r="BC188" s="193" t="inlineStr">
        <is>
          <t/>
        </is>
      </c>
      <c r="BD188" s="194" t="inlineStr">
        <is>
          <t/>
        </is>
      </c>
      <c r="BE188" s="195" t="inlineStr">
        <is>
          <t/>
        </is>
      </c>
      <c r="BF188" s="196" t="inlineStr">
        <is>
          <t>Jones Day (Legal Advisor)</t>
        </is>
      </c>
      <c r="BG188" s="197" t="n">
        <v>42318.0</v>
      </c>
      <c r="BH188" s="198" t="n">
        <v>1.0</v>
      </c>
      <c r="BI188" s="199" t="inlineStr">
        <is>
          <t>Actual</t>
        </is>
      </c>
      <c r="BJ188" s="200" t="inlineStr">
        <is>
          <t/>
        </is>
      </c>
      <c r="BK188" s="201" t="inlineStr">
        <is>
          <t/>
        </is>
      </c>
      <c r="BL188" s="202" t="inlineStr">
        <is>
          <t>Early Stage VC</t>
        </is>
      </c>
      <c r="BM188" s="203" t="inlineStr">
        <is>
          <t/>
        </is>
      </c>
      <c r="BN188" s="204" t="inlineStr">
        <is>
          <t/>
        </is>
      </c>
      <c r="BO188" s="205" t="inlineStr">
        <is>
          <t>Venture Capital</t>
        </is>
      </c>
      <c r="BP188" s="206" t="inlineStr">
        <is>
          <t/>
        </is>
      </c>
      <c r="BQ188" s="207" t="inlineStr">
        <is>
          <t/>
        </is>
      </c>
      <c r="BR188" s="208" t="inlineStr">
        <is>
          <t/>
        </is>
      </c>
      <c r="BS188" s="209" t="inlineStr">
        <is>
          <t>Completed</t>
        </is>
      </c>
      <c r="BT188" s="210" t="n">
        <v>42878.0</v>
      </c>
      <c r="BU188" s="211" t="n">
        <v>30.51</v>
      </c>
      <c r="BV188" s="212" t="inlineStr">
        <is>
          <t>Actual</t>
        </is>
      </c>
      <c r="BW188" s="213" t="inlineStr">
        <is>
          <t/>
        </is>
      </c>
      <c r="BX188" s="214" t="inlineStr">
        <is>
          <t/>
        </is>
      </c>
      <c r="BY188" s="215" t="inlineStr">
        <is>
          <t>Early Stage VC</t>
        </is>
      </c>
      <c r="BZ188" s="216" t="inlineStr">
        <is>
          <t/>
        </is>
      </c>
      <c r="CA188" s="217" t="inlineStr">
        <is>
          <t/>
        </is>
      </c>
      <c r="CB188" s="218" t="inlineStr">
        <is>
          <t>Venture Capital</t>
        </is>
      </c>
      <c r="CC188" s="219" t="inlineStr">
        <is>
          <t/>
        </is>
      </c>
      <c r="CD188" s="220" t="inlineStr">
        <is>
          <t/>
        </is>
      </c>
      <c r="CE188" s="221" t="inlineStr">
        <is>
          <t/>
        </is>
      </c>
      <c r="CF188" s="222" t="inlineStr">
        <is>
          <t>Completed</t>
        </is>
      </c>
      <c r="CG188" s="223" t="inlineStr">
        <is>
          <t>-1,29%</t>
        </is>
      </c>
      <c r="CH188" s="224" t="inlineStr">
        <is>
          <t>4</t>
        </is>
      </c>
      <c r="CI188" s="225" t="inlineStr">
        <is>
          <t>-0,11%</t>
        </is>
      </c>
      <c r="CJ188" s="226" t="inlineStr">
        <is>
          <t>-8,92%</t>
        </is>
      </c>
      <c r="CK188" s="227" t="inlineStr">
        <is>
          <t>-3,27%</t>
        </is>
      </c>
      <c r="CL188" s="228" t="inlineStr">
        <is>
          <t>3</t>
        </is>
      </c>
      <c r="CM188" s="229" t="inlineStr">
        <is>
          <t>0,69%</t>
        </is>
      </c>
      <c r="CN188" s="230" t="inlineStr">
        <is>
          <t>93</t>
        </is>
      </c>
      <c r="CO188" s="231" t="inlineStr">
        <is>
          <t>-6,50%</t>
        </is>
      </c>
      <c r="CP188" s="232" t="inlineStr">
        <is>
          <t>4</t>
        </is>
      </c>
      <c r="CQ188" s="233" t="inlineStr">
        <is>
          <t>-0,05%</t>
        </is>
      </c>
      <c r="CR188" s="234" t="inlineStr">
        <is>
          <t>12</t>
        </is>
      </c>
      <c r="CS188" s="235" t="inlineStr">
        <is>
          <t>1,01%</t>
        </is>
      </c>
      <c r="CT188" s="236" t="inlineStr">
        <is>
          <t>95</t>
        </is>
      </c>
      <c r="CU188" s="237" t="inlineStr">
        <is>
          <t>0,36%</t>
        </is>
      </c>
      <c r="CV188" s="238" t="inlineStr">
        <is>
          <t>87</t>
        </is>
      </c>
      <c r="CW188" s="239" t="inlineStr">
        <is>
          <t>34,76x</t>
        </is>
      </c>
      <c r="CX188" s="240" t="inlineStr">
        <is>
          <t>94</t>
        </is>
      </c>
      <c r="CY188" s="241" t="inlineStr">
        <is>
          <t>0,52x</t>
        </is>
      </c>
      <c r="CZ188" s="242" t="inlineStr">
        <is>
          <t>1,51%</t>
        </is>
      </c>
      <c r="DA188" s="243" t="inlineStr">
        <is>
          <t>34,73x</t>
        </is>
      </c>
      <c r="DB188" s="244" t="inlineStr">
        <is>
          <t>95</t>
        </is>
      </c>
      <c r="DC188" s="245" t="inlineStr">
        <is>
          <t>34,78x</t>
        </is>
      </c>
      <c r="DD188" s="246" t="inlineStr">
        <is>
          <t>93</t>
        </is>
      </c>
      <c r="DE188" s="247" t="inlineStr">
        <is>
          <t>65,13x</t>
        </is>
      </c>
      <c r="DF188" s="248" t="inlineStr">
        <is>
          <t>94</t>
        </is>
      </c>
      <c r="DG188" s="249" t="inlineStr">
        <is>
          <t>4,33x</t>
        </is>
      </c>
      <c r="DH188" s="250" t="inlineStr">
        <is>
          <t>77</t>
        </is>
      </c>
      <c r="DI188" s="251" t="inlineStr">
        <is>
          <t>62,74x</t>
        </is>
      </c>
      <c r="DJ188" s="252" t="inlineStr">
        <is>
          <t>94</t>
        </is>
      </c>
      <c r="DK188" s="253" t="inlineStr">
        <is>
          <t>6,82x</t>
        </is>
      </c>
      <c r="DL188" s="254" t="inlineStr">
        <is>
          <t>82</t>
        </is>
      </c>
      <c r="DM188" s="255" t="inlineStr">
        <is>
          <t>41.287</t>
        </is>
      </c>
      <c r="DN188" s="256" t="inlineStr">
        <is>
          <t>-3.693</t>
        </is>
      </c>
      <c r="DO188" s="257" t="inlineStr">
        <is>
          <t>-8,21%</t>
        </is>
      </c>
      <c r="DP188" s="258" t="inlineStr">
        <is>
          <t>49.971</t>
        </is>
      </c>
      <c r="DQ188" s="259" t="inlineStr">
        <is>
          <t>366</t>
        </is>
      </c>
      <c r="DR188" s="260" t="inlineStr">
        <is>
          <t>0,74%</t>
        </is>
      </c>
      <c r="DS188" s="261" t="inlineStr">
        <is>
          <t>155</t>
        </is>
      </c>
      <c r="DT188" s="262" t="inlineStr">
        <is>
          <t>0</t>
        </is>
      </c>
      <c r="DU188" s="263" t="inlineStr">
        <is>
          <t>0,00%</t>
        </is>
      </c>
      <c r="DV188" s="264" t="inlineStr">
        <is>
          <t>2.335</t>
        </is>
      </c>
      <c r="DW188" s="265" t="inlineStr">
        <is>
          <t>10</t>
        </is>
      </c>
      <c r="DX188" s="266" t="inlineStr">
        <is>
          <t>0,43%</t>
        </is>
      </c>
      <c r="DY188" s="267" t="inlineStr">
        <is>
          <t>PitchBook Research</t>
        </is>
      </c>
      <c r="DZ188" s="786">
        <f>HYPERLINK("https://my.pitchbook.com?c=128464-57", "View company online")</f>
      </c>
    </row>
    <row r="189">
      <c r="A189" s="9" t="inlineStr">
        <is>
          <t>169226-29</t>
        </is>
      </c>
      <c r="B189" s="10" t="inlineStr">
        <is>
          <t>Frontier Car Group</t>
        </is>
      </c>
      <c r="C189" s="11" t="inlineStr">
        <is>
          <t/>
        </is>
      </c>
      <c r="D189" s="12" t="inlineStr">
        <is>
          <t/>
        </is>
      </c>
      <c r="E189" s="13" t="inlineStr">
        <is>
          <t>169226-29</t>
        </is>
      </c>
      <c r="F189" s="14" t="inlineStr">
        <is>
          <t>Operator of a car auctioning platform. The company runs an online marketplace enabling users to buy and sell pre-owned cars.</t>
        </is>
      </c>
      <c r="G189" s="15" t="inlineStr">
        <is>
          <t>Consumer Products and Services (B2C)</t>
        </is>
      </c>
      <c r="H189" s="16" t="inlineStr">
        <is>
          <t>Media</t>
        </is>
      </c>
      <c r="I189" s="17" t="inlineStr">
        <is>
          <t>Information Services (B2C)</t>
        </is>
      </c>
      <c r="J189" s="18" t="inlineStr">
        <is>
          <t>Information Services (B2C)*; Internet Retail</t>
        </is>
      </c>
      <c r="K189" s="19" t="inlineStr">
        <is>
          <t>E-Commerce</t>
        </is>
      </c>
      <c r="L189" s="20" t="inlineStr">
        <is>
          <t>Venture Capital-Backed</t>
        </is>
      </c>
      <c r="M189" s="21" t="n">
        <v>20.56</v>
      </c>
      <c r="N189" s="22" t="inlineStr">
        <is>
          <t>Startup</t>
        </is>
      </c>
      <c r="O189" s="23" t="inlineStr">
        <is>
          <t>Privately Held (backing)</t>
        </is>
      </c>
      <c r="P189" s="24" t="inlineStr">
        <is>
          <t>Venture Capital</t>
        </is>
      </c>
      <c r="Q189" s="25" t="inlineStr">
        <is>
          <t>www.frontiercargroup.com</t>
        </is>
      </c>
      <c r="R189" s="26" t="n">
        <v>200.0</v>
      </c>
      <c r="S189" s="27" t="inlineStr">
        <is>
          <t/>
        </is>
      </c>
      <c r="T189" s="28" t="inlineStr">
        <is>
          <t/>
        </is>
      </c>
      <c r="U189" s="29" t="n">
        <v>2016.0</v>
      </c>
      <c r="V189" s="30" t="inlineStr">
        <is>
          <t/>
        </is>
      </c>
      <c r="W189" s="31" t="inlineStr">
        <is>
          <t/>
        </is>
      </c>
      <c r="X189" s="32" t="inlineStr">
        <is>
          <t/>
        </is>
      </c>
      <c r="Y189" s="33" t="inlineStr">
        <is>
          <t/>
        </is>
      </c>
      <c r="Z189" s="34" t="inlineStr">
        <is>
          <t/>
        </is>
      </c>
      <c r="AA189" s="35" t="inlineStr">
        <is>
          <t/>
        </is>
      </c>
      <c r="AB189" s="36" t="inlineStr">
        <is>
          <t/>
        </is>
      </c>
      <c r="AC189" s="37" t="inlineStr">
        <is>
          <t/>
        </is>
      </c>
      <c r="AD189" s="38" t="inlineStr">
        <is>
          <t/>
        </is>
      </c>
      <c r="AE189" s="39" t="inlineStr">
        <is>
          <t>43394-86P</t>
        </is>
      </c>
      <c r="AF189" s="40" t="inlineStr">
        <is>
          <t>Sujay Tyle</t>
        </is>
      </c>
      <c r="AG189" s="41" t="inlineStr">
        <is>
          <t>Co-Founder</t>
        </is>
      </c>
      <c r="AH189" s="42" t="inlineStr">
        <is>
          <t/>
        </is>
      </c>
      <c r="AI189" s="43" t="inlineStr">
        <is>
          <t>+234 (0)906 368 1035</t>
        </is>
      </c>
      <c r="AJ189" s="44" t="inlineStr">
        <is>
          <t>Berlin, Germany</t>
        </is>
      </c>
      <c r="AK189" s="45" t="inlineStr">
        <is>
          <t/>
        </is>
      </c>
      <c r="AL189" s="46" t="inlineStr">
        <is>
          <t/>
        </is>
      </c>
      <c r="AM189" s="47" t="inlineStr">
        <is>
          <t>Berlin</t>
        </is>
      </c>
      <c r="AN189" s="48" t="inlineStr">
        <is>
          <t/>
        </is>
      </c>
      <c r="AO189" s="49" t="inlineStr">
        <is>
          <t/>
        </is>
      </c>
      <c r="AP189" s="50" t="inlineStr">
        <is>
          <t>Germany</t>
        </is>
      </c>
      <c r="AQ189" s="51" t="inlineStr">
        <is>
          <t/>
        </is>
      </c>
      <c r="AR189" s="52" t="inlineStr">
        <is>
          <t/>
        </is>
      </c>
      <c r="AS189" s="53" t="inlineStr">
        <is>
          <t/>
        </is>
      </c>
      <c r="AT189" s="54" t="inlineStr">
        <is>
          <t>Europe</t>
        </is>
      </c>
      <c r="AU189" s="55" t="inlineStr">
        <is>
          <t>Western Europe</t>
        </is>
      </c>
      <c r="AV189" s="56" t="inlineStr">
        <is>
          <t>The company raised $22 million of Series A venture funding lead by Balderton Capital, EchoVC and TPG Growth on April 10, 2017. Kima Ventures, Partech Ventures, NEA, Troy Capital Partners and Tekton Ventures also participated in this round. The company intends to use the funds to build and grow businesses in the countries it already operates.</t>
        </is>
      </c>
      <c r="AW189" s="57" t="inlineStr">
        <is>
          <t>Balderton Capital, EchoVC Partners, Kima Ventures, NEA, Partech Ventures, Tekton Ventures, TPG Growth, Troy Capital Partners</t>
        </is>
      </c>
      <c r="AX189" s="58" t="n">
        <v>8.0</v>
      </c>
      <c r="AY189" s="59" t="inlineStr">
        <is>
          <t/>
        </is>
      </c>
      <c r="AZ189" s="60" t="inlineStr">
        <is>
          <t/>
        </is>
      </c>
      <c r="BA189" s="61" t="inlineStr">
        <is>
          <t/>
        </is>
      </c>
      <c r="BB189" s="62" t="inlineStr">
        <is>
          <t>Balderton Capital (www.balderton.com), EchoVC Partners (www.echovc.com), Kima Ventures (www.kimaventures.com), NEA (www.nea-fast.com), Partech Ventures (www.partechventures.com), Tekton Ventures (www.tektonventures.com), TPG Growth (www.tpggrowth.com), Troy Capital Partners (www.troycapitalpartners.com)</t>
        </is>
      </c>
      <c r="BC189" s="63" t="inlineStr">
        <is>
          <t/>
        </is>
      </c>
      <c r="BD189" s="64" t="inlineStr">
        <is>
          <t/>
        </is>
      </c>
      <c r="BE189" s="65" t="inlineStr">
        <is>
          <t>Orrick Herrington &amp; Sutcliffe (Legal Advisor)</t>
        </is>
      </c>
      <c r="BF189" s="66" t="inlineStr">
        <is>
          <t>Orrick Herrington &amp; Sutcliffe (Legal Advisor)</t>
        </is>
      </c>
      <c r="BG189" s="67" t="n">
        <v>42835.0</v>
      </c>
      <c r="BH189" s="68" t="n">
        <v>20.56</v>
      </c>
      <c r="BI189" s="69" t="inlineStr">
        <is>
          <t>Actual</t>
        </is>
      </c>
      <c r="BJ189" s="70" t="inlineStr">
        <is>
          <t/>
        </is>
      </c>
      <c r="BK189" s="71" t="inlineStr">
        <is>
          <t/>
        </is>
      </c>
      <c r="BL189" s="72" t="inlineStr">
        <is>
          <t>Early Stage VC</t>
        </is>
      </c>
      <c r="BM189" s="73" t="inlineStr">
        <is>
          <t>Series A</t>
        </is>
      </c>
      <c r="BN189" s="74" t="inlineStr">
        <is>
          <t/>
        </is>
      </c>
      <c r="BO189" s="75" t="inlineStr">
        <is>
          <t>Venture Capital</t>
        </is>
      </c>
      <c r="BP189" s="76" t="inlineStr">
        <is>
          <t/>
        </is>
      </c>
      <c r="BQ189" s="77" t="inlineStr">
        <is>
          <t/>
        </is>
      </c>
      <c r="BR189" s="78" t="inlineStr">
        <is>
          <t/>
        </is>
      </c>
      <c r="BS189" s="79" t="inlineStr">
        <is>
          <t>Completed</t>
        </is>
      </c>
      <c r="BT189" s="80" t="n">
        <v>42835.0</v>
      </c>
      <c r="BU189" s="81" t="n">
        <v>20.56</v>
      </c>
      <c r="BV189" s="82" t="inlineStr">
        <is>
          <t>Actual</t>
        </is>
      </c>
      <c r="BW189" s="83" t="inlineStr">
        <is>
          <t/>
        </is>
      </c>
      <c r="BX189" s="84" t="inlineStr">
        <is>
          <t/>
        </is>
      </c>
      <c r="BY189" s="85" t="inlineStr">
        <is>
          <t>Early Stage VC</t>
        </is>
      </c>
      <c r="BZ189" s="86" t="inlineStr">
        <is>
          <t>Series A</t>
        </is>
      </c>
      <c r="CA189" s="87" t="inlineStr">
        <is>
          <t/>
        </is>
      </c>
      <c r="CB189" s="88" t="inlineStr">
        <is>
          <t>Venture Capital</t>
        </is>
      </c>
      <c r="CC189" s="89" t="inlineStr">
        <is>
          <t/>
        </is>
      </c>
      <c r="CD189" s="90" t="inlineStr">
        <is>
          <t/>
        </is>
      </c>
      <c r="CE189" s="91" t="inlineStr">
        <is>
          <t/>
        </is>
      </c>
      <c r="CF189" s="92" t="inlineStr">
        <is>
          <t>Completed</t>
        </is>
      </c>
      <c r="CG189" s="93" t="inlineStr">
        <is>
          <t>0,18%</t>
        </is>
      </c>
      <c r="CH189" s="94" t="inlineStr">
        <is>
          <t>77</t>
        </is>
      </c>
      <c r="CI189" s="95" t="inlineStr">
        <is>
          <t>-0,71%</t>
        </is>
      </c>
      <c r="CJ189" s="96" t="inlineStr">
        <is>
          <t>-79,81%</t>
        </is>
      </c>
      <c r="CK189" s="97" t="inlineStr">
        <is>
          <t>0,36%</t>
        </is>
      </c>
      <c r="CL189" s="98" t="inlineStr">
        <is>
          <t>83</t>
        </is>
      </c>
      <c r="CM189" s="99" t="inlineStr">
        <is>
          <t>0,00%</t>
        </is>
      </c>
      <c r="CN189" s="100" t="inlineStr">
        <is>
          <t>19</t>
        </is>
      </c>
      <c r="CO189" s="101" t="inlineStr">
        <is>
          <t>0,24%</t>
        </is>
      </c>
      <c r="CP189" s="102" t="inlineStr">
        <is>
          <t>80</t>
        </is>
      </c>
      <c r="CQ189" s="103" t="inlineStr">
        <is>
          <t>0,48%</t>
        </is>
      </c>
      <c r="CR189" s="104" t="inlineStr">
        <is>
          <t>86</t>
        </is>
      </c>
      <c r="CS189" s="105" t="inlineStr">
        <is>
          <t>0,00%</t>
        </is>
      </c>
      <c r="CT189" s="106" t="inlineStr">
        <is>
          <t>18</t>
        </is>
      </c>
      <c r="CU189" s="107" t="inlineStr">
        <is>
          <t/>
        </is>
      </c>
      <c r="CV189" s="108" t="inlineStr">
        <is>
          <t/>
        </is>
      </c>
      <c r="CW189" s="109" t="inlineStr">
        <is>
          <t>1,44x</t>
        </is>
      </c>
      <c r="CX189" s="110" t="inlineStr">
        <is>
          <t>57</t>
        </is>
      </c>
      <c r="CY189" s="111" t="inlineStr">
        <is>
          <t>-1,45x</t>
        </is>
      </c>
      <c r="CZ189" s="112" t="inlineStr">
        <is>
          <t>-50,22%</t>
        </is>
      </c>
      <c r="DA189" s="113" t="inlineStr">
        <is>
          <t>2,84x</t>
        </is>
      </c>
      <c r="DB189" s="114" t="inlineStr">
        <is>
          <t>72</t>
        </is>
      </c>
      <c r="DC189" s="115" t="inlineStr">
        <is>
          <t>0,04x</t>
        </is>
      </c>
      <c r="DD189" s="116" t="inlineStr">
        <is>
          <t>7</t>
        </is>
      </c>
      <c r="DE189" s="117" t="inlineStr">
        <is>
          <t>1,68x</t>
        </is>
      </c>
      <c r="DF189" s="118" t="inlineStr">
        <is>
          <t>60</t>
        </is>
      </c>
      <c r="DG189" s="119" t="inlineStr">
        <is>
          <t>4,00x</t>
        </is>
      </c>
      <c r="DH189" s="120" t="inlineStr">
        <is>
          <t>76</t>
        </is>
      </c>
      <c r="DI189" s="121" t="inlineStr">
        <is>
          <t>0,04x</t>
        </is>
      </c>
      <c r="DJ189" s="122" t="inlineStr">
        <is>
          <t>7</t>
        </is>
      </c>
      <c r="DK189" s="123" t="inlineStr">
        <is>
          <t/>
        </is>
      </c>
      <c r="DL189" s="124" t="inlineStr">
        <is>
          <t/>
        </is>
      </c>
      <c r="DM189" s="125" t="inlineStr">
        <is>
          <t>1.064</t>
        </is>
      </c>
      <c r="DN189" s="126" t="inlineStr">
        <is>
          <t>-94</t>
        </is>
      </c>
      <c r="DO189" s="127" t="inlineStr">
        <is>
          <t>-8,12%</t>
        </is>
      </c>
      <c r="DP189" s="128" t="inlineStr">
        <is>
          <t>33</t>
        </is>
      </c>
      <c r="DQ189" s="129" t="inlineStr">
        <is>
          <t>0</t>
        </is>
      </c>
      <c r="DR189" s="130" t="inlineStr">
        <is>
          <t>0,00%</t>
        </is>
      </c>
      <c r="DS189" s="131" t="inlineStr">
        <is>
          <t>147</t>
        </is>
      </c>
      <c r="DT189" s="132" t="inlineStr">
        <is>
          <t>-5</t>
        </is>
      </c>
      <c r="DU189" s="133" t="inlineStr">
        <is>
          <t>-3,29%</t>
        </is>
      </c>
      <c r="DV189" s="134" t="inlineStr">
        <is>
          <t>19</t>
        </is>
      </c>
      <c r="DW189" s="135" t="inlineStr">
        <is>
          <t>2</t>
        </is>
      </c>
      <c r="DX189" s="136" t="inlineStr">
        <is>
          <t>11,76%</t>
        </is>
      </c>
      <c r="DY189" s="137" t="inlineStr">
        <is>
          <t>PitchBook Research</t>
        </is>
      </c>
      <c r="DZ189" s="785">
        <f>HYPERLINK("https://my.pitchbook.com?c=169226-29", "View company online")</f>
      </c>
    </row>
    <row r="190">
      <c r="A190" s="139" t="inlineStr">
        <is>
          <t>98891-65</t>
        </is>
      </c>
      <c r="B190" s="140" t="inlineStr">
        <is>
          <t>F-star Alpha</t>
        </is>
      </c>
      <c r="C190" s="141" t="inlineStr">
        <is>
          <t/>
        </is>
      </c>
      <c r="D190" s="142" t="inlineStr">
        <is>
          <t/>
        </is>
      </c>
      <c r="E190" s="143" t="inlineStr">
        <is>
          <t>98891-65</t>
        </is>
      </c>
      <c r="F190" s="144" t="inlineStr">
        <is>
          <t>Developer of biospecific antibody products. The company provides genetic predictive bio-markers and other targeted therapies in development for the treatment of breast and gastric cancer.</t>
        </is>
      </c>
      <c r="G190" s="145" t="inlineStr">
        <is>
          <t>Healthcare</t>
        </is>
      </c>
      <c r="H190" s="146" t="inlineStr">
        <is>
          <t>Pharmaceuticals and Biotechnology</t>
        </is>
      </c>
      <c r="I190" s="147" t="inlineStr">
        <is>
          <t>Biotechnology</t>
        </is>
      </c>
      <c r="J190" s="148" t="inlineStr">
        <is>
          <t>Biotechnology*; Drug Discovery; Pharmaceuticals</t>
        </is>
      </c>
      <c r="K190" s="149" t="inlineStr">
        <is>
          <t>Life Sciences, Oncology</t>
        </is>
      </c>
      <c r="L190" s="150" t="inlineStr">
        <is>
          <t>Venture Capital-Backed</t>
        </is>
      </c>
      <c r="M190" s="151" t="n">
        <v>9.4</v>
      </c>
      <c r="N190" s="152" t="inlineStr">
        <is>
          <t>Startup</t>
        </is>
      </c>
      <c r="O190" s="153" t="inlineStr">
        <is>
          <t>Privately Held (backing)</t>
        </is>
      </c>
      <c r="P190" s="154" t="inlineStr">
        <is>
          <t>Venture Capital, M&amp;A</t>
        </is>
      </c>
      <c r="Q190" s="155" t="inlineStr">
        <is>
          <t/>
        </is>
      </c>
      <c r="R190" s="156" t="inlineStr">
        <is>
          <t/>
        </is>
      </c>
      <c r="S190" s="157" t="inlineStr">
        <is>
          <t/>
        </is>
      </c>
      <c r="T190" s="158" t="inlineStr">
        <is>
          <t/>
        </is>
      </c>
      <c r="U190" s="159" t="n">
        <v>2013.0</v>
      </c>
      <c r="V190" s="160" t="inlineStr">
        <is>
          <t/>
        </is>
      </c>
      <c r="W190" s="161" t="inlineStr">
        <is>
          <t/>
        </is>
      </c>
      <c r="X190" s="162" t="inlineStr">
        <is>
          <t/>
        </is>
      </c>
      <c r="Y190" s="163" t="n">
        <v>12.52469</v>
      </c>
      <c r="Z190" s="164" t="inlineStr">
        <is>
          <t/>
        </is>
      </c>
      <c r="AA190" s="165" t="inlineStr">
        <is>
          <t/>
        </is>
      </c>
      <c r="AB190" s="166" t="inlineStr">
        <is>
          <t/>
        </is>
      </c>
      <c r="AC190" s="167" t="inlineStr">
        <is>
          <t/>
        </is>
      </c>
      <c r="AD190" s="168" t="inlineStr">
        <is>
          <t>FY 2014</t>
        </is>
      </c>
      <c r="AE190" s="169" t="inlineStr">
        <is>
          <t>41325-22P</t>
        </is>
      </c>
      <c r="AF190" s="170" t="inlineStr">
        <is>
          <t>John Haurum</t>
        </is>
      </c>
      <c r="AG190" s="171" t="inlineStr">
        <is>
          <t>Chief Executive Officer</t>
        </is>
      </c>
      <c r="AH190" s="172" t="inlineStr">
        <is>
          <t>john.haurum@f-star.com</t>
        </is>
      </c>
      <c r="AI190" s="173" t="inlineStr">
        <is>
          <t/>
        </is>
      </c>
      <c r="AJ190" s="174" t="inlineStr">
        <is>
          <t>Netherlands</t>
        </is>
      </c>
      <c r="AK190" s="175" t="inlineStr">
        <is>
          <t/>
        </is>
      </c>
      <c r="AL190" s="176" t="inlineStr">
        <is>
          <t/>
        </is>
      </c>
      <c r="AM190" s="177" t="inlineStr">
        <is>
          <t/>
        </is>
      </c>
      <c r="AN190" s="178" t="inlineStr">
        <is>
          <t/>
        </is>
      </c>
      <c r="AO190" s="179" t="inlineStr">
        <is>
          <t/>
        </is>
      </c>
      <c r="AP190" s="180" t="inlineStr">
        <is>
          <t>Netherlands</t>
        </is>
      </c>
      <c r="AQ190" s="181" t="inlineStr">
        <is>
          <t/>
        </is>
      </c>
      <c r="AR190" s="182" t="inlineStr">
        <is>
          <t/>
        </is>
      </c>
      <c r="AS190" s="183" t="inlineStr">
        <is>
          <t/>
        </is>
      </c>
      <c r="AT190" s="184" t="inlineStr">
        <is>
          <t>Europe</t>
        </is>
      </c>
      <c r="AU190" s="185" t="inlineStr">
        <is>
          <t>Western Europe</t>
        </is>
      </c>
      <c r="AV190" s="186" t="inlineStr">
        <is>
          <t>The company was in talks to be acquired by Bristol-Myers Squibb Company (NYSE : BMY) for $475 million on October 28, 2014. Subsequently the deal was cancelled. Previously, the company raised EUR 9.4 million of Series A venture funding from Atlas Venture, Aescap Venture and TVM Capital on October 23, 2013. SR One, MP Healthcare Venture Management, and MS Ventures also participated in the round.</t>
        </is>
      </c>
      <c r="AW190" s="187" t="inlineStr">
        <is>
          <t>Aescap Venture, Atlas Venture, F-star, Merck Ventures, MP Healthcare Venture Management, SR One, TVM Capital, TVM Capital Life Science</t>
        </is>
      </c>
      <c r="AX190" s="188" t="n">
        <v>8.0</v>
      </c>
      <c r="AY190" s="189" t="inlineStr">
        <is>
          <t/>
        </is>
      </c>
      <c r="AZ190" s="190" t="inlineStr">
        <is>
          <t/>
        </is>
      </c>
      <c r="BA190" s="191" t="inlineStr">
        <is>
          <t>Bristol-Myers Squibb</t>
        </is>
      </c>
      <c r="BB190" s="192" t="inlineStr">
        <is>
          <t>Aescap Venture (www.aescap.com), Atlas Venture (www.atlasventure.com), F-star (www.f-star.com), Merck Ventures (www.merck-ventures.com), MP Healthcare Venture Management (www.mp-healthcare.com), SR One (www.srone.com), TVM Capital (www.tvm-capital.com), TVM Capital Life Science (www.tvm-lifescience.com)</t>
        </is>
      </c>
      <c r="BC190" s="193" t="inlineStr">
        <is>
          <t/>
        </is>
      </c>
      <c r="BD190" s="194" t="inlineStr">
        <is>
          <t>Bristol-Myers Squibb (www.bms.com)</t>
        </is>
      </c>
      <c r="BE190" s="195" t="inlineStr">
        <is>
          <t>Kirkland &amp; Ellis (Legal Advisor)</t>
        </is>
      </c>
      <c r="BF190" s="196" t="inlineStr">
        <is>
          <t>Kirkland &amp; Ellis (Legal Advisor)</t>
        </is>
      </c>
      <c r="BG190" s="197" t="n">
        <v>41570.0</v>
      </c>
      <c r="BH190" s="198" t="n">
        <v>9.4</v>
      </c>
      <c r="BI190" s="199" t="inlineStr">
        <is>
          <t>Actual</t>
        </is>
      </c>
      <c r="BJ190" s="200" t="inlineStr">
        <is>
          <t/>
        </is>
      </c>
      <c r="BK190" s="201" t="inlineStr">
        <is>
          <t/>
        </is>
      </c>
      <c r="BL190" s="202" t="inlineStr">
        <is>
          <t>Early Stage VC</t>
        </is>
      </c>
      <c r="BM190" s="203" t="inlineStr">
        <is>
          <t>Series A</t>
        </is>
      </c>
      <c r="BN190" s="204" t="inlineStr">
        <is>
          <t/>
        </is>
      </c>
      <c r="BO190" s="205" t="inlineStr">
        <is>
          <t>Venture Capital</t>
        </is>
      </c>
      <c r="BP190" s="206" t="inlineStr">
        <is>
          <t/>
        </is>
      </c>
      <c r="BQ190" s="207" t="inlineStr">
        <is>
          <t/>
        </is>
      </c>
      <c r="BR190" s="208" t="inlineStr">
        <is>
          <t/>
        </is>
      </c>
      <c r="BS190" s="209" t="inlineStr">
        <is>
          <t>Completed</t>
        </is>
      </c>
      <c r="BT190" s="210" t="n">
        <v>41940.0</v>
      </c>
      <c r="BU190" s="211" t="n">
        <v>374.84</v>
      </c>
      <c r="BV190" s="212" t="inlineStr">
        <is>
          <t>Actual</t>
        </is>
      </c>
      <c r="BW190" s="213" t="n">
        <v>374.84</v>
      </c>
      <c r="BX190" s="214" t="inlineStr">
        <is>
          <t>Actual</t>
        </is>
      </c>
      <c r="BY190" s="215" t="inlineStr">
        <is>
          <t>Merger/Acquisition</t>
        </is>
      </c>
      <c r="BZ190" s="216" t="inlineStr">
        <is>
          <t>Corporate Divestiture</t>
        </is>
      </c>
      <c r="CA190" s="217" t="inlineStr">
        <is>
          <t/>
        </is>
      </c>
      <c r="CB190" s="218" t="inlineStr">
        <is>
          <t>Corporate</t>
        </is>
      </c>
      <c r="CC190" s="219" t="inlineStr">
        <is>
          <t/>
        </is>
      </c>
      <c r="CD190" s="220" t="inlineStr">
        <is>
          <t/>
        </is>
      </c>
      <c r="CE190" s="221" t="inlineStr">
        <is>
          <t/>
        </is>
      </c>
      <c r="CF190" s="222" t="inlineStr">
        <is>
          <t>Failed/Cancelled</t>
        </is>
      </c>
      <c r="CG190" s="223" t="inlineStr">
        <is>
          <t/>
        </is>
      </c>
      <c r="CH190" s="224" t="inlineStr">
        <is>
          <t/>
        </is>
      </c>
      <c r="CI190" s="225" t="inlineStr">
        <is>
          <t/>
        </is>
      </c>
      <c r="CJ190" s="226" t="inlineStr">
        <is>
          <t/>
        </is>
      </c>
      <c r="CK190" s="227" t="inlineStr">
        <is>
          <t/>
        </is>
      </c>
      <c r="CL190" s="228" t="inlineStr">
        <is>
          <t/>
        </is>
      </c>
      <c r="CM190" s="229" t="inlineStr">
        <is>
          <t/>
        </is>
      </c>
      <c r="CN190" s="230" t="inlineStr">
        <is>
          <t/>
        </is>
      </c>
      <c r="CO190" s="231" t="inlineStr">
        <is>
          <t/>
        </is>
      </c>
      <c r="CP190" s="232" t="inlineStr">
        <is>
          <t/>
        </is>
      </c>
      <c r="CQ190" s="233" t="inlineStr">
        <is>
          <t/>
        </is>
      </c>
      <c r="CR190" s="234" t="inlineStr">
        <is>
          <t/>
        </is>
      </c>
      <c r="CS190" s="235" t="inlineStr">
        <is>
          <t/>
        </is>
      </c>
      <c r="CT190" s="236" t="inlineStr">
        <is>
          <t/>
        </is>
      </c>
      <c r="CU190" s="237" t="inlineStr">
        <is>
          <t/>
        </is>
      </c>
      <c r="CV190" s="238" t="inlineStr">
        <is>
          <t/>
        </is>
      </c>
      <c r="CW190" s="239" t="inlineStr">
        <is>
          <t/>
        </is>
      </c>
      <c r="CX190" s="240" t="inlineStr">
        <is>
          <t/>
        </is>
      </c>
      <c r="CY190" s="241" t="inlineStr">
        <is>
          <t/>
        </is>
      </c>
      <c r="CZ190" s="242" t="inlineStr">
        <is>
          <t/>
        </is>
      </c>
      <c r="DA190" s="243" t="inlineStr">
        <is>
          <t/>
        </is>
      </c>
      <c r="DB190" s="244" t="inlineStr">
        <is>
          <t/>
        </is>
      </c>
      <c r="DC190" s="245" t="inlineStr">
        <is>
          <t/>
        </is>
      </c>
      <c r="DD190" s="246" t="inlineStr">
        <is>
          <t/>
        </is>
      </c>
      <c r="DE190" s="247" t="inlineStr">
        <is>
          <t/>
        </is>
      </c>
      <c r="DF190" s="248" t="inlineStr">
        <is>
          <t/>
        </is>
      </c>
      <c r="DG190" s="249" t="inlineStr">
        <is>
          <t/>
        </is>
      </c>
      <c r="DH190" s="250" t="inlineStr">
        <is>
          <t/>
        </is>
      </c>
      <c r="DI190" s="251" t="inlineStr">
        <is>
          <t/>
        </is>
      </c>
      <c r="DJ190" s="252" t="inlineStr">
        <is>
          <t/>
        </is>
      </c>
      <c r="DK190" s="253" t="inlineStr">
        <is>
          <t/>
        </is>
      </c>
      <c r="DL190" s="254" t="inlineStr">
        <is>
          <t/>
        </is>
      </c>
      <c r="DM190" s="255" t="inlineStr">
        <is>
          <t/>
        </is>
      </c>
      <c r="DN190" s="256" t="inlineStr">
        <is>
          <t/>
        </is>
      </c>
      <c r="DO190" s="257" t="inlineStr">
        <is>
          <t/>
        </is>
      </c>
      <c r="DP190" s="258" t="inlineStr">
        <is>
          <t/>
        </is>
      </c>
      <c r="DQ190" s="259" t="inlineStr">
        <is>
          <t/>
        </is>
      </c>
      <c r="DR190" s="260" t="inlineStr">
        <is>
          <t/>
        </is>
      </c>
      <c r="DS190" s="261" t="inlineStr">
        <is>
          <t/>
        </is>
      </c>
      <c r="DT190" s="262" t="inlineStr">
        <is>
          <t/>
        </is>
      </c>
      <c r="DU190" s="263" t="inlineStr">
        <is>
          <t/>
        </is>
      </c>
      <c r="DV190" s="264" t="inlineStr">
        <is>
          <t/>
        </is>
      </c>
      <c r="DW190" s="265" t="inlineStr">
        <is>
          <t/>
        </is>
      </c>
      <c r="DX190" s="266" t="inlineStr">
        <is>
          <t/>
        </is>
      </c>
      <c r="DY190" s="267" t="inlineStr">
        <is>
          <t>PitchBook Research</t>
        </is>
      </c>
      <c r="DZ190" s="786">
        <f>HYPERLINK("https://my.pitchbook.com?c=98891-65", "View company online")</f>
      </c>
    </row>
    <row r="191">
      <c r="A191" s="9" t="inlineStr">
        <is>
          <t>61474-60</t>
        </is>
      </c>
      <c r="B191" s="10" t="inlineStr">
        <is>
          <t>Fuel 3D Technologies</t>
        </is>
      </c>
      <c r="C191" s="11" t="inlineStr">
        <is>
          <t/>
        </is>
      </c>
      <c r="D191" s="12" t="inlineStr">
        <is>
          <t>Fuel3D</t>
        </is>
      </c>
      <c r="E191" s="13" t="inlineStr">
        <is>
          <t>61474-60</t>
        </is>
      </c>
      <c r="F191" s="14" t="inlineStr">
        <is>
          <t>Provider of three dimensional (3D) scanning services. The company offers a handheld scanner, point and shoot 3D scanning system for 3D modeling applications, art, animation and game development.</t>
        </is>
      </c>
      <c r="G191" s="15" t="inlineStr">
        <is>
          <t>Information Technology</t>
        </is>
      </c>
      <c r="H191" s="16" t="inlineStr">
        <is>
          <t>Computer Hardware</t>
        </is>
      </c>
      <c r="I191" s="17" t="inlineStr">
        <is>
          <t>Electronic Equipment and Instruments</t>
        </is>
      </c>
      <c r="J191" s="18" t="inlineStr">
        <is>
          <t>Electronic Equipment and Instruments*; Electronic Components; Multimedia and Design Software</t>
        </is>
      </c>
      <c r="K191" s="19" t="inlineStr">
        <is>
          <t/>
        </is>
      </c>
      <c r="L191" s="20" t="inlineStr">
        <is>
          <t>Venture Capital-Backed</t>
        </is>
      </c>
      <c r="M191" s="21" t="n">
        <v>7.75</v>
      </c>
      <c r="N191" s="22" t="inlineStr">
        <is>
          <t>Generating Revenue</t>
        </is>
      </c>
      <c r="O191" s="23" t="inlineStr">
        <is>
          <t>Privately Held (backing)</t>
        </is>
      </c>
      <c r="P191" s="24" t="inlineStr">
        <is>
          <t>Venture Capital</t>
        </is>
      </c>
      <c r="Q191" s="25" t="inlineStr">
        <is>
          <t>www.fuel-3d.com</t>
        </is>
      </c>
      <c r="R191" s="26" t="n">
        <v>26.0</v>
      </c>
      <c r="S191" s="27" t="inlineStr">
        <is>
          <t/>
        </is>
      </c>
      <c r="T191" s="28" t="inlineStr">
        <is>
          <t/>
        </is>
      </c>
      <c r="U191" s="29" t="n">
        <v>2013.0</v>
      </c>
      <c r="V191" s="30" t="inlineStr">
        <is>
          <t/>
        </is>
      </c>
      <c r="W191" s="31" t="inlineStr">
        <is>
          <t/>
        </is>
      </c>
      <c r="X191" s="32" t="inlineStr">
        <is>
          <t/>
        </is>
      </c>
      <c r="Y191" s="33" t="inlineStr">
        <is>
          <t/>
        </is>
      </c>
      <c r="Z191" s="34" t="inlineStr">
        <is>
          <t/>
        </is>
      </c>
      <c r="AA191" s="35" t="n">
        <v>-6.28411</v>
      </c>
      <c r="AB191" s="36" t="inlineStr">
        <is>
          <t/>
        </is>
      </c>
      <c r="AC191" s="37" t="n">
        <v>-0.67067</v>
      </c>
      <c r="AD191" s="38" t="inlineStr">
        <is>
          <t>FY 2015</t>
        </is>
      </c>
      <c r="AE191" s="39" t="inlineStr">
        <is>
          <t>72528-85P</t>
        </is>
      </c>
      <c r="AF191" s="40" t="inlineStr">
        <is>
          <t>Neil Cameron</t>
        </is>
      </c>
      <c r="AG191" s="41" t="inlineStr">
        <is>
          <t>Chief Financial Officer</t>
        </is>
      </c>
      <c r="AH191" s="42" t="inlineStr">
        <is>
          <t>ncameron@parkwalkadvisors.com</t>
        </is>
      </c>
      <c r="AI191" s="43" t="inlineStr">
        <is>
          <t>+44 (0)20 7759 2293</t>
        </is>
      </c>
      <c r="AJ191" s="44" t="inlineStr">
        <is>
          <t>Oxfordshire, United Kingdom</t>
        </is>
      </c>
      <c r="AK191" s="45" t="inlineStr">
        <is>
          <t>Unit 2 Douglas Court, Seymour Business Park</t>
        </is>
      </c>
      <c r="AL191" s="46" t="inlineStr">
        <is>
          <t>Station Road, Chinnor</t>
        </is>
      </c>
      <c r="AM191" s="47" t="inlineStr">
        <is>
          <t>Oxfordshire</t>
        </is>
      </c>
      <c r="AN191" s="48" t="inlineStr">
        <is>
          <t>England</t>
        </is>
      </c>
      <c r="AO191" s="49" t="inlineStr">
        <is>
          <t>OX39 4HA</t>
        </is>
      </c>
      <c r="AP191" s="50" t="inlineStr">
        <is>
          <t>United Kingdom</t>
        </is>
      </c>
      <c r="AQ191" s="51" t="inlineStr">
        <is>
          <t>+44 (0)84 4870 8659</t>
        </is>
      </c>
      <c r="AR191" s="52" t="inlineStr">
        <is>
          <t/>
        </is>
      </c>
      <c r="AS191" s="53" t="inlineStr">
        <is>
          <t>info@fuel-3d.com</t>
        </is>
      </c>
      <c r="AT191" s="54" t="inlineStr">
        <is>
          <t>Europe</t>
        </is>
      </c>
      <c r="AU191" s="55" t="inlineStr">
        <is>
          <t>Western Europe</t>
        </is>
      </c>
      <c r="AV191" s="56" t="inlineStr">
        <is>
          <t>The company received an EUR 1.71 million grant from Horizon 2020 on December 11, 2015.</t>
        </is>
      </c>
      <c r="AW191" s="57" t="inlineStr">
        <is>
          <t>Chimera Partners, Horizon 2020, Individual Investor, In-Q-Tel, Mark Jaffray, MTI Partners, Oxford Spin-out Equity Management, Parkwalk Advisors</t>
        </is>
      </c>
      <c r="AX191" s="58" t="n">
        <v>8.0</v>
      </c>
      <c r="AY191" s="59" t="inlineStr">
        <is>
          <t/>
        </is>
      </c>
      <c r="AZ191" s="60" t="inlineStr">
        <is>
          <t/>
        </is>
      </c>
      <c r="BA191" s="61" t="inlineStr">
        <is>
          <t/>
        </is>
      </c>
      <c r="BB191" s="62" t="inlineStr">
        <is>
          <t>In-Q-Tel (www.iqt.org), MTI Partners (www.mtiventures.com), Oxford Spin-out Equity Management (www.osem.ox.ac.uk), Parkwalk Advisors (www.parkwalkadvisors.com)</t>
        </is>
      </c>
      <c r="BC191" s="63" t="inlineStr">
        <is>
          <t/>
        </is>
      </c>
      <c r="BD191" s="64" t="inlineStr">
        <is>
          <t/>
        </is>
      </c>
      <c r="BE191" s="65" t="inlineStr">
        <is>
          <t>Moore Stephens International (Auditor)</t>
        </is>
      </c>
      <c r="BF191" s="66" t="inlineStr">
        <is>
          <t>Kickstarter (Lead Manager or Arranger)</t>
        </is>
      </c>
      <c r="BG191" s="67" t="n">
        <v>41521.0</v>
      </c>
      <c r="BH191" s="68" t="n">
        <v>0.24</v>
      </c>
      <c r="BI191" s="69" t="inlineStr">
        <is>
          <t>Actual</t>
        </is>
      </c>
      <c r="BJ191" s="70" t="inlineStr">
        <is>
          <t/>
        </is>
      </c>
      <c r="BK191" s="71" t="inlineStr">
        <is>
          <t/>
        </is>
      </c>
      <c r="BL191" s="72" t="inlineStr">
        <is>
          <t>Product Crowdfunding</t>
        </is>
      </c>
      <c r="BM191" s="73" t="inlineStr">
        <is>
          <t/>
        </is>
      </c>
      <c r="BN191" s="74" t="inlineStr">
        <is>
          <t/>
        </is>
      </c>
      <c r="BO191" s="75" t="inlineStr">
        <is>
          <t>Individual</t>
        </is>
      </c>
      <c r="BP191" s="76" t="inlineStr">
        <is>
          <t/>
        </is>
      </c>
      <c r="BQ191" s="77" t="inlineStr">
        <is>
          <t/>
        </is>
      </c>
      <c r="BR191" s="78" t="inlineStr">
        <is>
          <t/>
        </is>
      </c>
      <c r="BS191" s="79" t="inlineStr">
        <is>
          <t>Completed</t>
        </is>
      </c>
      <c r="BT191" s="80" t="n">
        <v>42349.0</v>
      </c>
      <c r="BU191" s="81" t="n">
        <v>1.71</v>
      </c>
      <c r="BV191" s="82" t="inlineStr">
        <is>
          <t>Actual</t>
        </is>
      </c>
      <c r="BW191" s="83" t="inlineStr">
        <is>
          <t/>
        </is>
      </c>
      <c r="BX191" s="84" t="inlineStr">
        <is>
          <t/>
        </is>
      </c>
      <c r="BY191" s="85" t="inlineStr">
        <is>
          <t>Grant</t>
        </is>
      </c>
      <c r="BZ191" s="86" t="inlineStr">
        <is>
          <t/>
        </is>
      </c>
      <c r="CA191" s="87" t="inlineStr">
        <is>
          <t/>
        </is>
      </c>
      <c r="CB191" s="88" t="inlineStr">
        <is>
          <t>Other</t>
        </is>
      </c>
      <c r="CC191" s="89" t="inlineStr">
        <is>
          <t/>
        </is>
      </c>
      <c r="CD191" s="90" t="inlineStr">
        <is>
          <t/>
        </is>
      </c>
      <c r="CE191" s="91" t="inlineStr">
        <is>
          <t/>
        </is>
      </c>
      <c r="CF191" s="92" t="inlineStr">
        <is>
          <t>Completed</t>
        </is>
      </c>
      <c r="CG191" s="93" t="inlineStr">
        <is>
          <t>0,45%</t>
        </is>
      </c>
      <c r="CH191" s="94" t="inlineStr">
        <is>
          <t>83</t>
        </is>
      </c>
      <c r="CI191" s="95" t="inlineStr">
        <is>
          <t>0,07%</t>
        </is>
      </c>
      <c r="CJ191" s="96" t="inlineStr">
        <is>
          <t>16,78%</t>
        </is>
      </c>
      <c r="CK191" s="97" t="inlineStr">
        <is>
          <t>0,88%</t>
        </is>
      </c>
      <c r="CL191" s="98" t="inlineStr">
        <is>
          <t>86</t>
        </is>
      </c>
      <c r="CM191" s="99" t="inlineStr">
        <is>
          <t>0,02%</t>
        </is>
      </c>
      <c r="CN191" s="100" t="inlineStr">
        <is>
          <t>46</t>
        </is>
      </c>
      <c r="CO191" s="101" t="inlineStr">
        <is>
          <t>1,93%</t>
        </is>
      </c>
      <c r="CP191" s="102" t="inlineStr">
        <is>
          <t>89</t>
        </is>
      </c>
      <c r="CQ191" s="103" t="inlineStr">
        <is>
          <t>-0,17%</t>
        </is>
      </c>
      <c r="CR191" s="104" t="inlineStr">
        <is>
          <t>11</t>
        </is>
      </c>
      <c r="CS191" s="105" t="inlineStr">
        <is>
          <t>0,03%</t>
        </is>
      </c>
      <c r="CT191" s="106" t="inlineStr">
        <is>
          <t>45</t>
        </is>
      </c>
      <c r="CU191" s="107" t="inlineStr">
        <is>
          <t>0,02%</t>
        </is>
      </c>
      <c r="CV191" s="108" t="inlineStr">
        <is>
          <t>57</t>
        </is>
      </c>
      <c r="CW191" s="109" t="inlineStr">
        <is>
          <t>8,24x</t>
        </is>
      </c>
      <c r="CX191" s="110" t="inlineStr">
        <is>
          <t>85</t>
        </is>
      </c>
      <c r="CY191" s="111" t="inlineStr">
        <is>
          <t>0,12x</t>
        </is>
      </c>
      <c r="CZ191" s="112" t="inlineStr">
        <is>
          <t>1,51%</t>
        </is>
      </c>
      <c r="DA191" s="113" t="inlineStr">
        <is>
          <t>10,23x</t>
        </is>
      </c>
      <c r="DB191" s="114" t="inlineStr">
        <is>
          <t>88</t>
        </is>
      </c>
      <c r="DC191" s="115" t="inlineStr">
        <is>
          <t>6,26x</t>
        </is>
      </c>
      <c r="DD191" s="116" t="inlineStr">
        <is>
          <t>79</t>
        </is>
      </c>
      <c r="DE191" s="117" t="inlineStr">
        <is>
          <t>5,70x</t>
        </is>
      </c>
      <c r="DF191" s="118" t="inlineStr">
        <is>
          <t>78</t>
        </is>
      </c>
      <c r="DG191" s="119" t="inlineStr">
        <is>
          <t>14,75x</t>
        </is>
      </c>
      <c r="DH191" s="120" t="inlineStr">
        <is>
          <t>90</t>
        </is>
      </c>
      <c r="DI191" s="121" t="inlineStr">
        <is>
          <t>3,50x</t>
        </is>
      </c>
      <c r="DJ191" s="122" t="inlineStr">
        <is>
          <t>70</t>
        </is>
      </c>
      <c r="DK191" s="123" t="inlineStr">
        <is>
          <t>9,02x</t>
        </is>
      </c>
      <c r="DL191" s="124" t="inlineStr">
        <is>
          <t>85</t>
        </is>
      </c>
      <c r="DM191" s="125" t="inlineStr">
        <is>
          <t>3.473</t>
        </is>
      </c>
      <c r="DN191" s="126" t="inlineStr">
        <is>
          <t>103</t>
        </is>
      </c>
      <c r="DO191" s="127" t="inlineStr">
        <is>
          <t>3,06%</t>
        </is>
      </c>
      <c r="DP191" s="128" t="inlineStr">
        <is>
          <t>2.798</t>
        </is>
      </c>
      <c r="DQ191" s="129" t="inlineStr">
        <is>
          <t>1</t>
        </is>
      </c>
      <c r="DR191" s="130" t="inlineStr">
        <is>
          <t>0,04%</t>
        </is>
      </c>
      <c r="DS191" s="131" t="inlineStr">
        <is>
          <t>533</t>
        </is>
      </c>
      <c r="DT191" s="132" t="inlineStr">
        <is>
          <t>-18</t>
        </is>
      </c>
      <c r="DU191" s="133" t="inlineStr">
        <is>
          <t>-3,27%</t>
        </is>
      </c>
      <c r="DV191" s="134" t="inlineStr">
        <is>
          <t>3.093</t>
        </is>
      </c>
      <c r="DW191" s="135" t="inlineStr">
        <is>
          <t>-2</t>
        </is>
      </c>
      <c r="DX191" s="136" t="inlineStr">
        <is>
          <t>-0,06%</t>
        </is>
      </c>
      <c r="DY191" s="137" t="inlineStr">
        <is>
          <t>PitchBook Research</t>
        </is>
      </c>
      <c r="DZ191" s="785">
        <f>HYPERLINK("https://my.pitchbook.com?c=61474-60", "View company online")</f>
      </c>
    </row>
    <row r="192">
      <c r="A192" s="139" t="inlineStr">
        <is>
          <t>85080-25</t>
        </is>
      </c>
      <c r="B192" s="140" t="inlineStr">
        <is>
          <t>Funderbeam</t>
        </is>
      </c>
      <c r="C192" s="141" t="inlineStr">
        <is>
          <t/>
        </is>
      </c>
      <c r="D192" s="142" t="inlineStr">
        <is>
          <t/>
        </is>
      </c>
      <c r="E192" s="143" t="inlineStr">
        <is>
          <t>85080-25</t>
        </is>
      </c>
      <c r="F192" s="144" t="inlineStr">
        <is>
          <t>Developer of an online subscription platform designed to specialize in purchasing and collecting non-performing private consumer debt portfolios. The company's online subscription platform aims to bring data-driven transparency with the help of logic, methods and tools of traditional financial markets, enabling growth companies to get support during and after their funding round.</t>
        </is>
      </c>
      <c r="G192" s="145" t="inlineStr">
        <is>
          <t>Information Technology</t>
        </is>
      </c>
      <c r="H192" s="146" t="inlineStr">
        <is>
          <t>Software</t>
        </is>
      </c>
      <c r="I192" s="147" t="inlineStr">
        <is>
          <t>Financial Software</t>
        </is>
      </c>
      <c r="J192" s="148" t="inlineStr">
        <is>
          <t>Financial Software*</t>
        </is>
      </c>
      <c r="K192" s="149" t="inlineStr">
        <is>
          <t>FinTech</t>
        </is>
      </c>
      <c r="L192" s="150" t="inlineStr">
        <is>
          <t>Venture Capital-Backed</t>
        </is>
      </c>
      <c r="M192" s="151" t="n">
        <v>6.59</v>
      </c>
      <c r="N192" s="152" t="inlineStr">
        <is>
          <t>Generating Revenue</t>
        </is>
      </c>
      <c r="O192" s="153" t="inlineStr">
        <is>
          <t>Privately Held (backing)</t>
        </is>
      </c>
      <c r="P192" s="154" t="inlineStr">
        <is>
          <t>Venture Capital</t>
        </is>
      </c>
      <c r="Q192" s="155" t="inlineStr">
        <is>
          <t>markets.funderbeam.com</t>
        </is>
      </c>
      <c r="R192" s="156" t="n">
        <v>25.0</v>
      </c>
      <c r="S192" s="157" t="inlineStr">
        <is>
          <t/>
        </is>
      </c>
      <c r="T192" s="158" t="inlineStr">
        <is>
          <t/>
        </is>
      </c>
      <c r="U192" s="159" t="n">
        <v>2013.0</v>
      </c>
      <c r="V192" s="160" t="inlineStr">
        <is>
          <t/>
        </is>
      </c>
      <c r="W192" s="161" t="inlineStr">
        <is>
          <t/>
        </is>
      </c>
      <c r="X192" s="162" t="inlineStr">
        <is>
          <t/>
        </is>
      </c>
      <c r="Y192" s="163" t="inlineStr">
        <is>
          <t/>
        </is>
      </c>
      <c r="Z192" s="164" t="inlineStr">
        <is>
          <t/>
        </is>
      </c>
      <c r="AA192" s="165" t="inlineStr">
        <is>
          <t/>
        </is>
      </c>
      <c r="AB192" s="166" t="inlineStr">
        <is>
          <t/>
        </is>
      </c>
      <c r="AC192" s="167" t="inlineStr">
        <is>
          <t/>
        </is>
      </c>
      <c r="AD192" s="168" t="inlineStr">
        <is>
          <t/>
        </is>
      </c>
      <c r="AE192" s="169" t="inlineStr">
        <is>
          <t>97324-30P</t>
        </is>
      </c>
      <c r="AF192" s="170" t="inlineStr">
        <is>
          <t>Kaidi Ruusalepp</t>
        </is>
      </c>
      <c r="AG192" s="171" t="inlineStr">
        <is>
          <t>Co-Founder &amp; Chief Executive Officer</t>
        </is>
      </c>
      <c r="AH192" s="172" t="inlineStr">
        <is>
          <t>kaidi.ruusalepp@funderbeam.com</t>
        </is>
      </c>
      <c r="AI192" s="173" t="inlineStr">
        <is>
          <t/>
        </is>
      </c>
      <c r="AJ192" s="174" t="inlineStr">
        <is>
          <t>London, United Kingdom</t>
        </is>
      </c>
      <c r="AK192" s="175" t="inlineStr">
        <is>
          <t>41 Corsham Street</t>
        </is>
      </c>
      <c r="AL192" s="176" t="inlineStr">
        <is>
          <t/>
        </is>
      </c>
      <c r="AM192" s="177" t="inlineStr">
        <is>
          <t>London</t>
        </is>
      </c>
      <c r="AN192" s="178" t="inlineStr">
        <is>
          <t>England</t>
        </is>
      </c>
      <c r="AO192" s="179" t="inlineStr">
        <is>
          <t>N1 6RD</t>
        </is>
      </c>
      <c r="AP192" s="180" t="inlineStr">
        <is>
          <t>United Kingdom</t>
        </is>
      </c>
      <c r="AQ192" s="181" t="inlineStr">
        <is>
          <t/>
        </is>
      </c>
      <c r="AR192" s="182" t="inlineStr">
        <is>
          <t/>
        </is>
      </c>
      <c r="AS192" s="183" t="inlineStr">
        <is>
          <t>hello@funderbeam.com</t>
        </is>
      </c>
      <c r="AT192" s="184" t="inlineStr">
        <is>
          <t>Europe</t>
        </is>
      </c>
      <c r="AU192" s="185" t="inlineStr">
        <is>
          <t>Western Europe</t>
        </is>
      </c>
      <c r="AV192" s="186" t="inlineStr">
        <is>
          <t>The company raised $2.15 million of convertible debt financing from Mistletoe Technologies on March 29, 2017. The company which $7.36 million in total funding to date, intends to use the funds to expand their services in Japan and elsewhere in Asia-Pacific. Previously, the company raised $448,000 of seed funding from FBM SPV1 on November 28, 2016.</t>
        </is>
      </c>
      <c r="AW192" s="187" t="inlineStr">
        <is>
          <t>3TS Capital Partners, David Braben, David Cummings, Draper Associates, FBM SPV1, IQ Capital Partners, Jaan Tallinn, Kaidi Ruusalepp, Kei Aar, Mistletoe, Pascal Isbell, Richard Parsonson, Rockspring, Thomson Reuters</t>
        </is>
      </c>
      <c r="AX192" s="188" t="n">
        <v>14.0</v>
      </c>
      <c r="AY192" s="189" t="inlineStr">
        <is>
          <t/>
        </is>
      </c>
      <c r="AZ192" s="190" t="inlineStr">
        <is>
          <t/>
        </is>
      </c>
      <c r="BA192" s="191" t="inlineStr">
        <is>
          <t/>
        </is>
      </c>
      <c r="BB192" s="192" t="inlineStr">
        <is>
          <t>3TS Capital Partners (www.3tscapital.com), David Cummings (davidcummings.org), Draper Associates (www.draper.vc), IQ Capital Partners (www.iqcapital.vc), Mistletoe (www.mistletoe.co), Rockspring (www.rockspring.co.uk), Thomson Reuters (www.thomsonreuters.com)</t>
        </is>
      </c>
      <c r="BC192" s="193" t="inlineStr">
        <is>
          <t/>
        </is>
      </c>
      <c r="BD192" s="194" t="inlineStr">
        <is>
          <t/>
        </is>
      </c>
      <c r="BE192" s="195" t="inlineStr">
        <is>
          <t/>
        </is>
      </c>
      <c r="BF192" s="196" t="inlineStr">
        <is>
          <t/>
        </is>
      </c>
      <c r="BG192" s="197" t="n">
        <v>41470.0</v>
      </c>
      <c r="BH192" s="198" t="n">
        <v>0.02</v>
      </c>
      <c r="BI192" s="199" t="inlineStr">
        <is>
          <t>Actual</t>
        </is>
      </c>
      <c r="BJ192" s="200" t="inlineStr">
        <is>
          <t/>
        </is>
      </c>
      <c r="BK192" s="201" t="inlineStr">
        <is>
          <t/>
        </is>
      </c>
      <c r="BL192" s="202" t="inlineStr">
        <is>
          <t>Seed Round</t>
        </is>
      </c>
      <c r="BM192" s="203" t="inlineStr">
        <is>
          <t>Seed</t>
        </is>
      </c>
      <c r="BN192" s="204" t="inlineStr">
        <is>
          <t/>
        </is>
      </c>
      <c r="BO192" s="205" t="inlineStr">
        <is>
          <t>Individual</t>
        </is>
      </c>
      <c r="BP192" s="206" t="inlineStr">
        <is>
          <t/>
        </is>
      </c>
      <c r="BQ192" s="207" t="inlineStr">
        <is>
          <t/>
        </is>
      </c>
      <c r="BR192" s="208" t="inlineStr">
        <is>
          <t/>
        </is>
      </c>
      <c r="BS192" s="209" t="inlineStr">
        <is>
          <t>Completed</t>
        </is>
      </c>
      <c r="BT192" s="210" t="n">
        <v>42823.0</v>
      </c>
      <c r="BU192" s="211" t="n">
        <v>2.01</v>
      </c>
      <c r="BV192" s="212" t="inlineStr">
        <is>
          <t>Actual</t>
        </is>
      </c>
      <c r="BW192" s="213" t="inlineStr">
        <is>
          <t/>
        </is>
      </c>
      <c r="BX192" s="214" t="inlineStr">
        <is>
          <t/>
        </is>
      </c>
      <c r="BY192" s="215" t="inlineStr">
        <is>
          <t>Convertible Debt</t>
        </is>
      </c>
      <c r="BZ192" s="216" t="inlineStr">
        <is>
          <t/>
        </is>
      </c>
      <c r="CA192" s="217" t="inlineStr">
        <is>
          <t/>
        </is>
      </c>
      <c r="CB192" s="218" t="inlineStr">
        <is>
          <t>Debt</t>
        </is>
      </c>
      <c r="CC192" s="219" t="inlineStr">
        <is>
          <t>Convertible Debt</t>
        </is>
      </c>
      <c r="CD192" s="220" t="inlineStr">
        <is>
          <t/>
        </is>
      </c>
      <c r="CE192" s="221" t="inlineStr">
        <is>
          <t/>
        </is>
      </c>
      <c r="CF192" s="222" t="inlineStr">
        <is>
          <t>Completed</t>
        </is>
      </c>
      <c r="CG192" s="223" t="inlineStr">
        <is>
          <t>-2,55%</t>
        </is>
      </c>
      <c r="CH192" s="224" t="inlineStr">
        <is>
          <t>2</t>
        </is>
      </c>
      <c r="CI192" s="225" t="inlineStr">
        <is>
          <t>0,00%</t>
        </is>
      </c>
      <c r="CJ192" s="226" t="inlineStr">
        <is>
          <t>0,02%</t>
        </is>
      </c>
      <c r="CK192" s="227" t="inlineStr">
        <is>
          <t>-5,98%</t>
        </is>
      </c>
      <c r="CL192" s="228" t="inlineStr">
        <is>
          <t>1</t>
        </is>
      </c>
      <c r="CM192" s="229" t="inlineStr">
        <is>
          <t>0,88%</t>
        </is>
      </c>
      <c r="CN192" s="230" t="inlineStr">
        <is>
          <t>95</t>
        </is>
      </c>
      <c r="CO192" s="231" t="inlineStr">
        <is>
          <t>-5,98%</t>
        </is>
      </c>
      <c r="CP192" s="232" t="inlineStr">
        <is>
          <t>5</t>
        </is>
      </c>
      <c r="CQ192" s="233" t="inlineStr">
        <is>
          <t/>
        </is>
      </c>
      <c r="CR192" s="234" t="inlineStr">
        <is>
          <t/>
        </is>
      </c>
      <c r="CS192" s="235" t="inlineStr">
        <is>
          <t>1,30%</t>
        </is>
      </c>
      <c r="CT192" s="236" t="inlineStr">
        <is>
          <t>96</t>
        </is>
      </c>
      <c r="CU192" s="237" t="inlineStr">
        <is>
          <t>0,46%</t>
        </is>
      </c>
      <c r="CV192" s="238" t="inlineStr">
        <is>
          <t>91</t>
        </is>
      </c>
      <c r="CW192" s="239" t="inlineStr">
        <is>
          <t>11,86x</t>
        </is>
      </c>
      <c r="CX192" s="240" t="inlineStr">
        <is>
          <t>88</t>
        </is>
      </c>
      <c r="CY192" s="241" t="inlineStr">
        <is>
          <t>0,12x</t>
        </is>
      </c>
      <c r="CZ192" s="242" t="inlineStr">
        <is>
          <t>1,06%</t>
        </is>
      </c>
      <c r="DA192" s="243" t="inlineStr">
        <is>
          <t>14,25x</t>
        </is>
      </c>
      <c r="DB192" s="244" t="inlineStr">
        <is>
          <t>90</t>
        </is>
      </c>
      <c r="DC192" s="245" t="inlineStr">
        <is>
          <t>9,47x</t>
        </is>
      </c>
      <c r="DD192" s="246" t="inlineStr">
        <is>
          <t>83</t>
        </is>
      </c>
      <c r="DE192" s="247" t="inlineStr">
        <is>
          <t>14,25x</t>
        </is>
      </c>
      <c r="DF192" s="248" t="inlineStr">
        <is>
          <t>86</t>
        </is>
      </c>
      <c r="DG192" s="249" t="inlineStr">
        <is>
          <t/>
        </is>
      </c>
      <c r="DH192" s="250" t="inlineStr">
        <is>
          <t/>
        </is>
      </c>
      <c r="DI192" s="251" t="inlineStr">
        <is>
          <t>6,56x</t>
        </is>
      </c>
      <c r="DJ192" s="252" t="inlineStr">
        <is>
          <t>78</t>
        </is>
      </c>
      <c r="DK192" s="253" t="inlineStr">
        <is>
          <t>12,38x</t>
        </is>
      </c>
      <c r="DL192" s="254" t="inlineStr">
        <is>
          <t>88</t>
        </is>
      </c>
      <c r="DM192" s="255" t="inlineStr">
        <is>
          <t>9.223</t>
        </is>
      </c>
      <c r="DN192" s="256" t="inlineStr">
        <is>
          <t>-1.376</t>
        </is>
      </c>
      <c r="DO192" s="257" t="inlineStr">
        <is>
          <t>-12,98%</t>
        </is>
      </c>
      <c r="DP192" s="258" t="inlineStr">
        <is>
          <t>5.211</t>
        </is>
      </c>
      <c r="DQ192" s="259" t="inlineStr">
        <is>
          <t>63</t>
        </is>
      </c>
      <c r="DR192" s="260" t="inlineStr">
        <is>
          <t>1,22%</t>
        </is>
      </c>
      <c r="DS192" s="261" t="inlineStr">
        <is>
          <t/>
        </is>
      </c>
      <c r="DT192" s="262" t="inlineStr">
        <is>
          <t/>
        </is>
      </c>
      <c r="DU192" s="263" t="inlineStr">
        <is>
          <t/>
        </is>
      </c>
      <c r="DV192" s="264" t="inlineStr">
        <is>
          <t>4.242</t>
        </is>
      </c>
      <c r="DW192" s="265" t="inlineStr">
        <is>
          <t>18</t>
        </is>
      </c>
      <c r="DX192" s="266" t="inlineStr">
        <is>
          <t>0,43%</t>
        </is>
      </c>
      <c r="DY192" s="267" t="inlineStr">
        <is>
          <t>PitchBook Research</t>
        </is>
      </c>
      <c r="DZ192" s="786">
        <f>HYPERLINK("https://my.pitchbook.com?c=85080-25", "View company online")</f>
      </c>
    </row>
    <row r="193">
      <c r="A193" s="9" t="inlineStr">
        <is>
          <t>99412-84</t>
        </is>
      </c>
      <c r="B193" s="10" t="inlineStr">
        <is>
          <t>Future Finance</t>
        </is>
      </c>
      <c r="C193" s="11" t="inlineStr">
        <is>
          <t/>
        </is>
      </c>
      <c r="D193" s="12" t="inlineStr">
        <is>
          <t/>
        </is>
      </c>
      <c r="E193" s="13" t="inlineStr">
        <is>
          <t>99412-84</t>
        </is>
      </c>
      <c r="F193" s="14" t="inlineStr">
        <is>
          <t>Provider of loan facilities designed to help students achieve their dreams. The company's loan facilities include student education loans that can be used to pay for tuition fees and living expenses for undergraduate and postgraduate studies, enabling students to find a new way to fund their university education.</t>
        </is>
      </c>
      <c r="G193" s="15" t="inlineStr">
        <is>
          <t>Financial Services</t>
        </is>
      </c>
      <c r="H193" s="16" t="inlineStr">
        <is>
          <t>Other Financial Services</t>
        </is>
      </c>
      <c r="I193" s="17" t="inlineStr">
        <is>
          <t>Consumer Finance</t>
        </is>
      </c>
      <c r="J193" s="18" t="inlineStr">
        <is>
          <t>Consumer Finance*; Other Financial Services</t>
        </is>
      </c>
      <c r="K193" s="19" t="inlineStr">
        <is>
          <t/>
        </is>
      </c>
      <c r="L193" s="20" t="inlineStr">
        <is>
          <t>Venture Capital-Backed</t>
        </is>
      </c>
      <c r="M193" s="21" t="n">
        <v>202.97</v>
      </c>
      <c r="N193" s="22" t="inlineStr">
        <is>
          <t>Generating Revenue</t>
        </is>
      </c>
      <c r="O193" s="23" t="inlineStr">
        <is>
          <t>Privately Held (backing)</t>
        </is>
      </c>
      <c r="P193" s="24" t="inlineStr">
        <is>
          <t>Venture Capital</t>
        </is>
      </c>
      <c r="Q193" s="25" t="inlineStr">
        <is>
          <t>www.futurefinance.com</t>
        </is>
      </c>
      <c r="R193" s="26" t="n">
        <v>38.0</v>
      </c>
      <c r="S193" s="27" t="inlineStr">
        <is>
          <t/>
        </is>
      </c>
      <c r="T193" s="28" t="inlineStr">
        <is>
          <t/>
        </is>
      </c>
      <c r="U193" s="29" t="n">
        <v>2013.0</v>
      </c>
      <c r="V193" s="30" t="inlineStr">
        <is>
          <t/>
        </is>
      </c>
      <c r="W193" s="31" t="inlineStr">
        <is>
          <t/>
        </is>
      </c>
      <c r="X193" s="32" t="inlineStr">
        <is>
          <t/>
        </is>
      </c>
      <c r="Y193" s="33" t="inlineStr">
        <is>
          <t/>
        </is>
      </c>
      <c r="Z193" s="34" t="inlineStr">
        <is>
          <t/>
        </is>
      </c>
      <c r="AA193" s="35" t="inlineStr">
        <is>
          <t/>
        </is>
      </c>
      <c r="AB193" s="36" t="inlineStr">
        <is>
          <t/>
        </is>
      </c>
      <c r="AC193" s="37" t="inlineStr">
        <is>
          <t/>
        </is>
      </c>
      <c r="AD193" s="38" t="inlineStr">
        <is>
          <t/>
        </is>
      </c>
      <c r="AE193" s="39" t="inlineStr">
        <is>
          <t>100627-48P</t>
        </is>
      </c>
      <c r="AF193" s="40" t="inlineStr">
        <is>
          <t>Brian Norton</t>
        </is>
      </c>
      <c r="AG193" s="41" t="inlineStr">
        <is>
          <t>Co-Founder, Chief Executive Officer &amp; Board Member</t>
        </is>
      </c>
      <c r="AH193" s="42" t="inlineStr">
        <is>
          <t>brian@ridgeroadpartners.com</t>
        </is>
      </c>
      <c r="AI193" s="43" t="inlineStr">
        <is>
          <t>+1 (972) 771-7577</t>
        </is>
      </c>
      <c r="AJ193" s="44" t="inlineStr">
        <is>
          <t>Dublin, Ireland</t>
        </is>
      </c>
      <c r="AK193" s="45" t="inlineStr">
        <is>
          <t>6th Floor, College House</t>
        </is>
      </c>
      <c r="AL193" s="46" t="inlineStr">
        <is>
          <t>2/3 Townsend Street</t>
        </is>
      </c>
      <c r="AM193" s="47" t="inlineStr">
        <is>
          <t>Dublin</t>
        </is>
      </c>
      <c r="AN193" s="48" t="inlineStr">
        <is>
          <t/>
        </is>
      </c>
      <c r="AO193" s="49" t="inlineStr">
        <is>
          <t>2</t>
        </is>
      </c>
      <c r="AP193" s="50" t="inlineStr">
        <is>
          <t>Ireland</t>
        </is>
      </c>
      <c r="AQ193" s="51" t="inlineStr">
        <is>
          <t/>
        </is>
      </c>
      <c r="AR193" s="52" t="inlineStr">
        <is>
          <t/>
        </is>
      </c>
      <c r="AS193" s="53" t="inlineStr">
        <is>
          <t>hello@futurefinance.com</t>
        </is>
      </c>
      <c r="AT193" s="54" t="inlineStr">
        <is>
          <t>Europe</t>
        </is>
      </c>
      <c r="AU193" s="55" t="inlineStr">
        <is>
          <t>Western Europe</t>
        </is>
      </c>
      <c r="AV193" s="56" t="inlineStr">
        <is>
          <t>The company raised $58.20 million of venture funding from undisclosed investors on July 28, 2017.</t>
        </is>
      </c>
      <c r="AW193" s="57" t="inlineStr">
        <is>
          <t>1/0 Capital, Colchis Capital Management, DW Partners, Fenway Summer Ventures, Invus Financial Advisors, KCK Group, QED Investors, Ridge Road Capital Partners, S-Cubed Capital, The Blackstone Group</t>
        </is>
      </c>
      <c r="AX193" s="58" t="n">
        <v>10.0</v>
      </c>
      <c r="AY193" s="59" t="inlineStr">
        <is>
          <t/>
        </is>
      </c>
      <c r="AZ193" s="60" t="inlineStr">
        <is>
          <t/>
        </is>
      </c>
      <c r="BA193" s="61" t="inlineStr">
        <is>
          <t/>
        </is>
      </c>
      <c r="BB193" s="62" t="inlineStr">
        <is>
          <t>Colchis Capital Management (www.colchiscapital.com), DW Partners (www.dwpartners.com), Fenway Summer Ventures (www.fenwaysummer.com), QED Investors (www.qedinvestors.com), Ridge Road Capital Partners (www.ridgeroadpartners.com), S-Cubed Capital (www.scubedcap.com), The Blackstone Group (www.blackstone.com)</t>
        </is>
      </c>
      <c r="BC193" s="63" t="inlineStr">
        <is>
          <t/>
        </is>
      </c>
      <c r="BD193" s="64" t="inlineStr">
        <is>
          <t/>
        </is>
      </c>
      <c r="BE193" s="65" t="inlineStr">
        <is>
          <t>Goldman Sachs (GSAM Private Credit Group) (Debt Financing)</t>
        </is>
      </c>
      <c r="BF193" s="66" t="inlineStr">
        <is>
          <t>Goldman Sachs (GSAM Private Credit Group), Sparring Partners Capital (Advisor)</t>
        </is>
      </c>
      <c r="BG193" s="67" t="n">
        <v>42075.0</v>
      </c>
      <c r="BH193" s="68" t="inlineStr">
        <is>
          <t/>
        </is>
      </c>
      <c r="BI193" s="69" t="inlineStr">
        <is>
          <t/>
        </is>
      </c>
      <c r="BJ193" s="70" t="inlineStr">
        <is>
          <t/>
        </is>
      </c>
      <c r="BK193" s="71" t="inlineStr">
        <is>
          <t/>
        </is>
      </c>
      <c r="BL193" s="72" t="inlineStr">
        <is>
          <t>Early Stage VC</t>
        </is>
      </c>
      <c r="BM193" s="73" t="inlineStr">
        <is>
          <t/>
        </is>
      </c>
      <c r="BN193" s="74" t="inlineStr">
        <is>
          <t/>
        </is>
      </c>
      <c r="BO193" s="75" t="inlineStr">
        <is>
          <t>Venture Capital</t>
        </is>
      </c>
      <c r="BP193" s="76" t="inlineStr">
        <is>
          <t/>
        </is>
      </c>
      <c r="BQ193" s="77" t="inlineStr">
        <is>
          <t/>
        </is>
      </c>
      <c r="BR193" s="78" t="inlineStr">
        <is>
          <t/>
        </is>
      </c>
      <c r="BS193" s="79" t="inlineStr">
        <is>
          <t>Completed</t>
        </is>
      </c>
      <c r="BT193" s="80" t="n">
        <v>42944.0</v>
      </c>
      <c r="BU193" s="81" t="n">
        <v>50.55</v>
      </c>
      <c r="BV193" s="82" t="inlineStr">
        <is>
          <t>Actual</t>
        </is>
      </c>
      <c r="BW193" s="83" t="inlineStr">
        <is>
          <t/>
        </is>
      </c>
      <c r="BX193" s="84" t="inlineStr">
        <is>
          <t/>
        </is>
      </c>
      <c r="BY193" s="85" t="inlineStr">
        <is>
          <t>Early Stage VC</t>
        </is>
      </c>
      <c r="BZ193" s="86" t="inlineStr">
        <is>
          <t/>
        </is>
      </c>
      <c r="CA193" s="87" t="inlineStr">
        <is>
          <t/>
        </is>
      </c>
      <c r="CB193" s="88" t="inlineStr">
        <is>
          <t>Venture Capital</t>
        </is>
      </c>
      <c r="CC193" s="89" t="inlineStr">
        <is>
          <t/>
        </is>
      </c>
      <c r="CD193" s="90" t="inlineStr">
        <is>
          <t/>
        </is>
      </c>
      <c r="CE193" s="91" t="inlineStr">
        <is>
          <t/>
        </is>
      </c>
      <c r="CF193" s="92" t="inlineStr">
        <is>
          <t>Completed</t>
        </is>
      </c>
      <c r="CG193" s="93" t="inlineStr">
        <is>
          <t>2,96%</t>
        </is>
      </c>
      <c r="CH193" s="94" t="inlineStr">
        <is>
          <t>96</t>
        </is>
      </c>
      <c r="CI193" s="95" t="inlineStr">
        <is>
          <t>0,00%</t>
        </is>
      </c>
      <c r="CJ193" s="96" t="inlineStr">
        <is>
          <t>0,04%</t>
        </is>
      </c>
      <c r="CK193" s="97" t="inlineStr">
        <is>
          <t>5,97%</t>
        </is>
      </c>
      <c r="CL193" s="98" t="inlineStr">
        <is>
          <t>97</t>
        </is>
      </c>
      <c r="CM193" s="99" t="inlineStr">
        <is>
          <t>-0,04%</t>
        </is>
      </c>
      <c r="CN193" s="100" t="inlineStr">
        <is>
          <t>9</t>
        </is>
      </c>
      <c r="CO193" s="101" t="inlineStr">
        <is>
          <t>5,97%</t>
        </is>
      </c>
      <c r="CP193" s="102" t="inlineStr">
        <is>
          <t>97</t>
        </is>
      </c>
      <c r="CQ193" s="103" t="inlineStr">
        <is>
          <t/>
        </is>
      </c>
      <c r="CR193" s="104" t="inlineStr">
        <is>
          <t/>
        </is>
      </c>
      <c r="CS193" s="105" t="inlineStr">
        <is>
          <t>-0,04%</t>
        </is>
      </c>
      <c r="CT193" s="106" t="inlineStr">
        <is>
          <t>8</t>
        </is>
      </c>
      <c r="CU193" s="107" t="inlineStr">
        <is>
          <t>-0,03%</t>
        </is>
      </c>
      <c r="CV193" s="108" t="inlineStr">
        <is>
          <t>15</t>
        </is>
      </c>
      <c r="CW193" s="109" t="inlineStr">
        <is>
          <t>36,38x</t>
        </is>
      </c>
      <c r="CX193" s="110" t="inlineStr">
        <is>
          <t>95</t>
        </is>
      </c>
      <c r="CY193" s="111" t="inlineStr">
        <is>
          <t>0,31x</t>
        </is>
      </c>
      <c r="CZ193" s="112" t="inlineStr">
        <is>
          <t>0,85%</t>
        </is>
      </c>
      <c r="DA193" s="113" t="inlineStr">
        <is>
          <t>42,40x</t>
        </is>
      </c>
      <c r="DB193" s="114" t="inlineStr">
        <is>
          <t>96</t>
        </is>
      </c>
      <c r="DC193" s="115" t="inlineStr">
        <is>
          <t>30,36x</t>
        </is>
      </c>
      <c r="DD193" s="116" t="inlineStr">
        <is>
          <t>92</t>
        </is>
      </c>
      <c r="DE193" s="117" t="inlineStr">
        <is>
          <t>42,40x</t>
        </is>
      </c>
      <c r="DF193" s="118" t="inlineStr">
        <is>
          <t>93</t>
        </is>
      </c>
      <c r="DG193" s="119" t="inlineStr">
        <is>
          <t/>
        </is>
      </c>
      <c r="DH193" s="120" t="inlineStr">
        <is>
          <t/>
        </is>
      </c>
      <c r="DI193" s="121" t="inlineStr">
        <is>
          <t>44,15x</t>
        </is>
      </c>
      <c r="DJ193" s="122" t="inlineStr">
        <is>
          <t>92</t>
        </is>
      </c>
      <c r="DK193" s="123" t="inlineStr">
        <is>
          <t>16,57x</t>
        </is>
      </c>
      <c r="DL193" s="124" t="inlineStr">
        <is>
          <t>90</t>
        </is>
      </c>
      <c r="DM193" s="125" t="inlineStr">
        <is>
          <t>25.393</t>
        </is>
      </c>
      <c r="DN193" s="126" t="inlineStr">
        <is>
          <t>2.049</t>
        </is>
      </c>
      <c r="DO193" s="127" t="inlineStr">
        <is>
          <t>8,78%</t>
        </is>
      </c>
      <c r="DP193" s="128" t="inlineStr">
        <is>
          <t>35.282</t>
        </is>
      </c>
      <c r="DQ193" s="129" t="inlineStr">
        <is>
          <t>-11</t>
        </is>
      </c>
      <c r="DR193" s="130" t="inlineStr">
        <is>
          <t>-0,03%</t>
        </is>
      </c>
      <c r="DS193" s="131" t="inlineStr">
        <is>
          <t/>
        </is>
      </c>
      <c r="DT193" s="132" t="inlineStr">
        <is>
          <t/>
        </is>
      </c>
      <c r="DU193" s="133" t="inlineStr">
        <is>
          <t/>
        </is>
      </c>
      <c r="DV193" s="134" t="inlineStr">
        <is>
          <t>5.682</t>
        </is>
      </c>
      <c r="DW193" s="135" t="inlineStr">
        <is>
          <t>-2</t>
        </is>
      </c>
      <c r="DX193" s="136" t="inlineStr">
        <is>
          <t>-0,04%</t>
        </is>
      </c>
      <c r="DY193" s="137" t="inlineStr">
        <is>
          <t>PitchBook Research</t>
        </is>
      </c>
      <c r="DZ193" s="785">
        <f>HYPERLINK("https://my.pitchbook.com?c=99412-84", "View company online")</f>
      </c>
    </row>
    <row r="194">
      <c r="A194" s="139" t="inlineStr">
        <is>
          <t>156077-02</t>
        </is>
      </c>
      <c r="B194" s="140" t="inlineStr">
        <is>
          <t>Gadeta</t>
        </is>
      </c>
      <c r="C194" s="141" t="inlineStr">
        <is>
          <t/>
        </is>
      </c>
      <c r="D194" s="142" t="inlineStr">
        <is>
          <t/>
        </is>
      </c>
      <c r="E194" s="143" t="inlineStr">
        <is>
          <t>156077-02</t>
        </is>
      </c>
      <c r="F194" s="144" t="inlineStr">
        <is>
          <t>Developer of innovative immunotherapies for cancer. The company is developing novel cancer immunotherapies based on the discoveries regarding the role of γδ T cell receptors (TCR’s) in the broad recognition of heamatological and solid tumour cells and their potential use for the treatment of advanced malignancies.</t>
        </is>
      </c>
      <c r="G194" s="145" t="inlineStr">
        <is>
          <t>Healthcare</t>
        </is>
      </c>
      <c r="H194" s="146" t="inlineStr">
        <is>
          <t>Pharmaceuticals and Biotechnology</t>
        </is>
      </c>
      <c r="I194" s="147" t="inlineStr">
        <is>
          <t>Biotechnology</t>
        </is>
      </c>
      <c r="J194" s="148" t="inlineStr">
        <is>
          <t>Biotechnology*</t>
        </is>
      </c>
      <c r="K194" s="149" t="inlineStr">
        <is>
          <t>Life Sciences, Oncology</t>
        </is>
      </c>
      <c r="L194" s="150" t="inlineStr">
        <is>
          <t>Venture Capital-Backed</t>
        </is>
      </c>
      <c r="M194" s="151" t="n">
        <v>7.0</v>
      </c>
      <c r="N194" s="152" t="inlineStr">
        <is>
          <t>Startup</t>
        </is>
      </c>
      <c r="O194" s="153" t="inlineStr">
        <is>
          <t>Privately Held (backing)</t>
        </is>
      </c>
      <c r="P194" s="154" t="inlineStr">
        <is>
          <t>Venture Capital</t>
        </is>
      </c>
      <c r="Q194" s="155" t="inlineStr">
        <is>
          <t>www.gadeta.nl</t>
        </is>
      </c>
      <c r="R194" s="156" t="inlineStr">
        <is>
          <t/>
        </is>
      </c>
      <c r="S194" s="157" t="inlineStr">
        <is>
          <t/>
        </is>
      </c>
      <c r="T194" s="158" t="inlineStr">
        <is>
          <t/>
        </is>
      </c>
      <c r="U194" s="159" t="n">
        <v>2015.0</v>
      </c>
      <c r="V194" s="160" t="inlineStr">
        <is>
          <t/>
        </is>
      </c>
      <c r="W194" s="161" t="inlineStr">
        <is>
          <t/>
        </is>
      </c>
      <c r="X194" s="162" t="inlineStr">
        <is>
          <t/>
        </is>
      </c>
      <c r="Y194" s="163" t="inlineStr">
        <is>
          <t/>
        </is>
      </c>
      <c r="Z194" s="164" t="inlineStr">
        <is>
          <t/>
        </is>
      </c>
      <c r="AA194" s="165" t="inlineStr">
        <is>
          <t/>
        </is>
      </c>
      <c r="AB194" s="166" t="inlineStr">
        <is>
          <t/>
        </is>
      </c>
      <c r="AC194" s="167" t="inlineStr">
        <is>
          <t/>
        </is>
      </c>
      <c r="AD194" s="168" t="inlineStr">
        <is>
          <t/>
        </is>
      </c>
      <c r="AE194" s="169" t="inlineStr">
        <is>
          <t>49752-28P</t>
        </is>
      </c>
      <c r="AF194" s="170" t="inlineStr">
        <is>
          <t>Guido Maertens</t>
        </is>
      </c>
      <c r="AG194" s="171" t="inlineStr">
        <is>
          <t>Chief Financial Officer</t>
        </is>
      </c>
      <c r="AH194" s="172" t="inlineStr">
        <is>
          <t>guido@gadeta.nl</t>
        </is>
      </c>
      <c r="AI194" s="173" t="inlineStr">
        <is>
          <t/>
        </is>
      </c>
      <c r="AJ194" s="174" t="inlineStr">
        <is>
          <t>Utrecht, Netherlands</t>
        </is>
      </c>
      <c r="AK194" s="175" t="inlineStr">
        <is>
          <t>Yalelaan 62</t>
        </is>
      </c>
      <c r="AL194" s="176" t="inlineStr">
        <is>
          <t/>
        </is>
      </c>
      <c r="AM194" s="177" t="inlineStr">
        <is>
          <t>Utrecht</t>
        </is>
      </c>
      <c r="AN194" s="178" t="inlineStr">
        <is>
          <t/>
        </is>
      </c>
      <c r="AO194" s="179" t="inlineStr">
        <is>
          <t>3585</t>
        </is>
      </c>
      <c r="AP194" s="180" t="inlineStr">
        <is>
          <t>Netherlands</t>
        </is>
      </c>
      <c r="AQ194" s="181" t="inlineStr">
        <is>
          <t/>
        </is>
      </c>
      <c r="AR194" s="182" t="inlineStr">
        <is>
          <t/>
        </is>
      </c>
      <c r="AS194" s="183" t="inlineStr">
        <is>
          <t>info@gadeta.nl</t>
        </is>
      </c>
      <c r="AT194" s="184" t="inlineStr">
        <is>
          <t>Europe</t>
        </is>
      </c>
      <c r="AU194" s="185" t="inlineStr">
        <is>
          <t>Western Europe</t>
        </is>
      </c>
      <c r="AV194" s="186" t="inlineStr">
        <is>
          <t>The company raised EUR 7 million of Series A venture funding in a deal co-led by Baxalta Ventures and Medicxi Ventures on March 29, 2016. Founders, management and Utrecht Holdings also participated in the round. The funding will be used to advance Novel Cancer Immunotherapies to the Clinic, start a Phase I/IIa clinical trial of its lead program in acute myeloid leukemia (AML) in early 2017 and to optimize a closed manufacturing system to allow for the beginning of a second clinical trial in solid tumors later in 2017.</t>
        </is>
      </c>
      <c r="AW194" s="187" t="inlineStr">
        <is>
          <t>Baxalta Ventures, Medicxi Ventures, Utrecht Holdings</t>
        </is>
      </c>
      <c r="AX194" s="188" t="n">
        <v>3.0</v>
      </c>
      <c r="AY194" s="189" t="inlineStr">
        <is>
          <t/>
        </is>
      </c>
      <c r="AZ194" s="190" t="inlineStr">
        <is>
          <t/>
        </is>
      </c>
      <c r="BA194" s="191" t="inlineStr">
        <is>
          <t/>
        </is>
      </c>
      <c r="BB194" s="192" t="inlineStr">
        <is>
          <t>Medicxi Ventures (www.medicxi.com), Utrecht Holdings (www.utrechtholdings.nl)</t>
        </is>
      </c>
      <c r="BC194" s="193" t="inlineStr">
        <is>
          <t/>
        </is>
      </c>
      <c r="BD194" s="194" t="inlineStr">
        <is>
          <t/>
        </is>
      </c>
      <c r="BE194" s="195" t="inlineStr">
        <is>
          <t>Biesheuvel Jansen advocaten (Legal Advisor)</t>
        </is>
      </c>
      <c r="BF194" s="196" t="inlineStr">
        <is>
          <t>Biesheuvel Jansen advocaten (Legal Advisor)</t>
        </is>
      </c>
      <c r="BG194" s="197" t="inlineStr">
        <is>
          <t/>
        </is>
      </c>
      <c r="BH194" s="198" t="inlineStr">
        <is>
          <t/>
        </is>
      </c>
      <c r="BI194" s="199" t="inlineStr">
        <is>
          <t/>
        </is>
      </c>
      <c r="BJ194" s="200" t="inlineStr">
        <is>
          <t/>
        </is>
      </c>
      <c r="BK194" s="201" t="inlineStr">
        <is>
          <t/>
        </is>
      </c>
      <c r="BL194" s="202" t="inlineStr">
        <is>
          <t>Seed Round</t>
        </is>
      </c>
      <c r="BM194" s="203" t="inlineStr">
        <is>
          <t>Seed</t>
        </is>
      </c>
      <c r="BN194" s="204" t="inlineStr">
        <is>
          <t/>
        </is>
      </c>
      <c r="BO194" s="205" t="inlineStr">
        <is>
          <t>Venture Capital</t>
        </is>
      </c>
      <c r="BP194" s="206" t="inlineStr">
        <is>
          <t/>
        </is>
      </c>
      <c r="BQ194" s="207" t="inlineStr">
        <is>
          <t/>
        </is>
      </c>
      <c r="BR194" s="208" t="inlineStr">
        <is>
          <t/>
        </is>
      </c>
      <c r="BS194" s="209" t="inlineStr">
        <is>
          <t>Completed</t>
        </is>
      </c>
      <c r="BT194" s="210" t="n">
        <v>42458.0</v>
      </c>
      <c r="BU194" s="211" t="n">
        <v>7.0</v>
      </c>
      <c r="BV194" s="212" t="inlineStr">
        <is>
          <t>Actual</t>
        </is>
      </c>
      <c r="BW194" s="213" t="inlineStr">
        <is>
          <t/>
        </is>
      </c>
      <c r="BX194" s="214" t="inlineStr">
        <is>
          <t/>
        </is>
      </c>
      <c r="BY194" s="215" t="inlineStr">
        <is>
          <t>Early Stage VC</t>
        </is>
      </c>
      <c r="BZ194" s="216" t="inlineStr">
        <is>
          <t>Series A</t>
        </is>
      </c>
      <c r="CA194" s="217" t="inlineStr">
        <is>
          <t/>
        </is>
      </c>
      <c r="CB194" s="218" t="inlineStr">
        <is>
          <t>Venture Capital</t>
        </is>
      </c>
      <c r="CC194" s="219" t="inlineStr">
        <is>
          <t/>
        </is>
      </c>
      <c r="CD194" s="220" t="inlineStr">
        <is>
          <t/>
        </is>
      </c>
      <c r="CE194" s="221" t="inlineStr">
        <is>
          <t/>
        </is>
      </c>
      <c r="CF194" s="222" t="inlineStr">
        <is>
          <t>Completed</t>
        </is>
      </c>
      <c r="CG194" s="223" t="inlineStr">
        <is>
          <t>0,00%</t>
        </is>
      </c>
      <c r="CH194" s="224" t="inlineStr">
        <is>
          <t>23</t>
        </is>
      </c>
      <c r="CI194" s="225" t="inlineStr">
        <is>
          <t>0,00%</t>
        </is>
      </c>
      <c r="CJ194" s="226" t="inlineStr">
        <is>
          <t>0,00%</t>
        </is>
      </c>
      <c r="CK194" s="227" t="inlineStr">
        <is>
          <t>0,00%</t>
        </is>
      </c>
      <c r="CL194" s="228" t="inlineStr">
        <is>
          <t>18</t>
        </is>
      </c>
      <c r="CM194" s="229" t="inlineStr">
        <is>
          <t/>
        </is>
      </c>
      <c r="CN194" s="230" t="inlineStr">
        <is>
          <t/>
        </is>
      </c>
      <c r="CO194" s="231" t="inlineStr">
        <is>
          <t>0,00%</t>
        </is>
      </c>
      <c r="CP194" s="232" t="inlineStr">
        <is>
          <t>26</t>
        </is>
      </c>
      <c r="CQ194" s="233" t="inlineStr">
        <is>
          <t>0,00%</t>
        </is>
      </c>
      <c r="CR194" s="234" t="inlineStr">
        <is>
          <t>13</t>
        </is>
      </c>
      <c r="CS194" s="235" t="inlineStr">
        <is>
          <t/>
        </is>
      </c>
      <c r="CT194" s="236" t="inlineStr">
        <is>
          <t/>
        </is>
      </c>
      <c r="CU194" s="237" t="inlineStr">
        <is>
          <t/>
        </is>
      </c>
      <c r="CV194" s="238" t="inlineStr">
        <is>
          <t/>
        </is>
      </c>
      <c r="CW194" s="239" t="inlineStr">
        <is>
          <t>0,48x</t>
        </is>
      </c>
      <c r="CX194" s="240" t="inlineStr">
        <is>
          <t>33</t>
        </is>
      </c>
      <c r="CY194" s="241" t="inlineStr">
        <is>
          <t>0,01x</t>
        </is>
      </c>
      <c r="CZ194" s="242" t="inlineStr">
        <is>
          <t>1,12%</t>
        </is>
      </c>
      <c r="DA194" s="243" t="inlineStr">
        <is>
          <t>0,48x</t>
        </is>
      </c>
      <c r="DB194" s="244" t="inlineStr">
        <is>
          <t>36</t>
        </is>
      </c>
      <c r="DC194" s="245" t="inlineStr">
        <is>
          <t/>
        </is>
      </c>
      <c r="DD194" s="246" t="inlineStr">
        <is>
          <t/>
        </is>
      </c>
      <c r="DE194" s="247" t="inlineStr">
        <is>
          <t>0,56x</t>
        </is>
      </c>
      <c r="DF194" s="248" t="inlineStr">
        <is>
          <t>38</t>
        </is>
      </c>
      <c r="DG194" s="249" t="inlineStr">
        <is>
          <t>0,39x</t>
        </is>
      </c>
      <c r="DH194" s="250" t="inlineStr">
        <is>
          <t>31</t>
        </is>
      </c>
      <c r="DI194" s="251" t="inlineStr">
        <is>
          <t/>
        </is>
      </c>
      <c r="DJ194" s="252" t="inlineStr">
        <is>
          <t/>
        </is>
      </c>
      <c r="DK194" s="253" t="inlineStr">
        <is>
          <t/>
        </is>
      </c>
      <c r="DL194" s="254" t="inlineStr">
        <is>
          <t/>
        </is>
      </c>
      <c r="DM194" s="255" t="inlineStr">
        <is>
          <t>353</t>
        </is>
      </c>
      <c r="DN194" s="256" t="inlineStr">
        <is>
          <t>-21</t>
        </is>
      </c>
      <c r="DO194" s="257" t="inlineStr">
        <is>
          <t>-5,61%</t>
        </is>
      </c>
      <c r="DP194" s="258" t="inlineStr">
        <is>
          <t/>
        </is>
      </c>
      <c r="DQ194" s="259" t="inlineStr">
        <is>
          <t/>
        </is>
      </c>
      <c r="DR194" s="260" t="inlineStr">
        <is>
          <t/>
        </is>
      </c>
      <c r="DS194" s="261" t="inlineStr">
        <is>
          <t>14</t>
        </is>
      </c>
      <c r="DT194" s="262" t="inlineStr">
        <is>
          <t>0</t>
        </is>
      </c>
      <c r="DU194" s="263" t="inlineStr">
        <is>
          <t>0,00%</t>
        </is>
      </c>
      <c r="DV194" s="264" t="inlineStr">
        <is>
          <t/>
        </is>
      </c>
      <c r="DW194" s="265" t="inlineStr">
        <is>
          <t/>
        </is>
      </c>
      <c r="DX194" s="266" t="inlineStr">
        <is>
          <t/>
        </is>
      </c>
      <c r="DY194" s="267" t="inlineStr">
        <is>
          <t>PitchBook Research</t>
        </is>
      </c>
      <c r="DZ194" s="786">
        <f>HYPERLINK("https://my.pitchbook.com?c=156077-02", "View company online")</f>
      </c>
    </row>
    <row r="195">
      <c r="A195" s="9" t="inlineStr">
        <is>
          <t>59230-45</t>
        </is>
      </c>
      <c r="B195" s="10" t="inlineStr">
        <is>
          <t>GamaMabs Pharma</t>
        </is>
      </c>
      <c r="C195" s="11" t="inlineStr">
        <is>
          <t/>
        </is>
      </c>
      <c r="D195" s="12" t="inlineStr">
        <is>
          <t/>
        </is>
      </c>
      <c r="E195" s="13" t="inlineStr">
        <is>
          <t>59230-45</t>
        </is>
      </c>
      <c r="F195" s="14" t="inlineStr">
        <is>
          <t>Developer of a biotechnology platform designed to develop innovative monoclonal antibodies in cancer. The company's biotechnology platform develops monoclonal antibodies with increased tumor cell killing properties which targets anti-mullerian human receptor in ovarian cancer, enabling physicians treat unaddressed specific target in gynecological cancers.</t>
        </is>
      </c>
      <c r="G195" s="15" t="inlineStr">
        <is>
          <t>Healthcare</t>
        </is>
      </c>
      <c r="H195" s="16" t="inlineStr">
        <is>
          <t>Pharmaceuticals and Biotechnology</t>
        </is>
      </c>
      <c r="I195" s="17" t="inlineStr">
        <is>
          <t>Biotechnology</t>
        </is>
      </c>
      <c r="J195" s="18" t="inlineStr">
        <is>
          <t>Biotechnology*; Other Pharmaceuticals and Biotechnology</t>
        </is>
      </c>
      <c r="K195" s="19" t="inlineStr">
        <is>
          <t>Life Sciences, Oncology</t>
        </is>
      </c>
      <c r="L195" s="20" t="inlineStr">
        <is>
          <t>Venture Capital-Backed</t>
        </is>
      </c>
      <c r="M195" s="21" t="n">
        <v>19.7</v>
      </c>
      <c r="N195" s="22" t="inlineStr">
        <is>
          <t>Generating Revenue/Not Profitable</t>
        </is>
      </c>
      <c r="O195" s="23" t="inlineStr">
        <is>
          <t>Privately Held (backing)</t>
        </is>
      </c>
      <c r="P195" s="24" t="inlineStr">
        <is>
          <t>Venture Capital</t>
        </is>
      </c>
      <c r="Q195" s="25" t="inlineStr">
        <is>
          <t>www.gamamabs.com</t>
        </is>
      </c>
      <c r="R195" s="26" t="n">
        <v>7.0</v>
      </c>
      <c r="S195" s="27" t="inlineStr">
        <is>
          <t/>
        </is>
      </c>
      <c r="T195" s="28" t="inlineStr">
        <is>
          <t/>
        </is>
      </c>
      <c r="U195" s="29" t="n">
        <v>2013.0</v>
      </c>
      <c r="V195" s="30" t="inlineStr">
        <is>
          <t/>
        </is>
      </c>
      <c r="W195" s="31" t="inlineStr">
        <is>
          <t/>
        </is>
      </c>
      <c r="X195" s="32" t="inlineStr">
        <is>
          <t/>
        </is>
      </c>
      <c r="Y195" s="33" t="inlineStr">
        <is>
          <t/>
        </is>
      </c>
      <c r="Z195" s="34" t="inlineStr">
        <is>
          <t/>
        </is>
      </c>
      <c r="AA195" s="35" t="n">
        <v>-2.29714</v>
      </c>
      <c r="AB195" s="36" t="inlineStr">
        <is>
          <t/>
        </is>
      </c>
      <c r="AC195" s="37" t="inlineStr">
        <is>
          <t/>
        </is>
      </c>
      <c r="AD195" s="38" t="inlineStr">
        <is>
          <t>FY 2014</t>
        </is>
      </c>
      <c r="AE195" s="39" t="inlineStr">
        <is>
          <t>54402-04P</t>
        </is>
      </c>
      <c r="AF195" s="40" t="inlineStr">
        <is>
          <t>Stephane Degove</t>
        </is>
      </c>
      <c r="AG195" s="41" t="inlineStr">
        <is>
          <t>Chief Executive Officer, Chief Financial Officer and Board Member</t>
        </is>
      </c>
      <c r="AH195" s="42" t="inlineStr">
        <is>
          <t>sdegove@gamamabs.com</t>
        </is>
      </c>
      <c r="AI195" s="43" t="inlineStr">
        <is>
          <t>+33 (0)1 70 96 00 67</t>
        </is>
      </c>
      <c r="AJ195" s="44" t="inlineStr">
        <is>
          <t>Toulouse, France</t>
        </is>
      </c>
      <c r="AK195" s="45" t="inlineStr">
        <is>
          <t>1 place Pierre Potier</t>
        </is>
      </c>
      <c r="AL195" s="46" t="inlineStr">
        <is>
          <t>ONCOPOLE entrée B</t>
        </is>
      </c>
      <c r="AM195" s="47" t="inlineStr">
        <is>
          <t>Toulouse</t>
        </is>
      </c>
      <c r="AN195" s="48" t="inlineStr">
        <is>
          <t/>
        </is>
      </c>
      <c r="AO195" s="49" t="inlineStr">
        <is>
          <t>50624</t>
        </is>
      </c>
      <c r="AP195" s="50" t="inlineStr">
        <is>
          <t>France</t>
        </is>
      </c>
      <c r="AQ195" s="51" t="inlineStr">
        <is>
          <t>+33 (0)5 31 61 60 69</t>
        </is>
      </c>
      <c r="AR195" s="52" t="inlineStr">
        <is>
          <t/>
        </is>
      </c>
      <c r="AS195" s="53" t="inlineStr">
        <is>
          <t>contact@gamamabs.com</t>
        </is>
      </c>
      <c r="AT195" s="54" t="inlineStr">
        <is>
          <t>Europe</t>
        </is>
      </c>
      <c r="AU195" s="55" t="inlineStr">
        <is>
          <t>Western Europe</t>
        </is>
      </c>
      <c r="AV195" s="56" t="inlineStr">
        <is>
          <t>The company raised EUR 15 million of Series B venture funding in a deal led by Edmond de Rothschild Investment Partners on December 15, 2015. Bpifrance, iXO Private Equity, Alto Invest and Institut Régional de Développement Industriel also participated in this round. The funding will be primarily used for phase I and phase II clinical trials of GM102 (3C23K), a monoclonal antibody targeting gynecological cancers.</t>
        </is>
      </c>
      <c r="AW195" s="57" t="inlineStr">
        <is>
          <t>Alto Invest, Bpifrance, CDC Enterprises, Edmond de Rothschild Investment Partners, Institut Régional de Développement Industriel, iXO Private Equity, LFB Group</t>
        </is>
      </c>
      <c r="AX195" s="58" t="n">
        <v>7.0</v>
      </c>
      <c r="AY195" s="59" t="inlineStr">
        <is>
          <t/>
        </is>
      </c>
      <c r="AZ195" s="60" t="inlineStr">
        <is>
          <t/>
        </is>
      </c>
      <c r="BA195" s="61" t="inlineStr">
        <is>
          <t/>
        </is>
      </c>
      <c r="BB195" s="62" t="inlineStr">
        <is>
          <t>Alto Invest (www.altoinvest.fr), Bpifrance (www.bpifrance.fr), CDC Enterprises (www.cdcentreprises.fr), Institut Régional de Développement Industriel (www.irdigestion.fr), iXO Private Equity (www.ixope.fr), LFB Group (www.groupe-lfb.com)</t>
        </is>
      </c>
      <c r="BC195" s="63" t="inlineStr">
        <is>
          <t/>
        </is>
      </c>
      <c r="BD195" s="64" t="inlineStr">
        <is>
          <t/>
        </is>
      </c>
      <c r="BE195" s="65" t="inlineStr">
        <is>
          <t>Chammas &amp; Marcheteau (Legal Advisor)</t>
        </is>
      </c>
      <c r="BF195" s="66" t="inlineStr">
        <is>
          <t>Chammas &amp; Marcheteau (Legal Advisor), Bpifrance</t>
        </is>
      </c>
      <c r="BG195" s="67" t="n">
        <v>41547.0</v>
      </c>
      <c r="BH195" s="68" t="n">
        <v>3.6</v>
      </c>
      <c r="BI195" s="69" t="inlineStr">
        <is>
          <t>Actual</t>
        </is>
      </c>
      <c r="BJ195" s="70" t="inlineStr">
        <is>
          <t/>
        </is>
      </c>
      <c r="BK195" s="71" t="inlineStr">
        <is>
          <t/>
        </is>
      </c>
      <c r="BL195" s="72" t="inlineStr">
        <is>
          <t>Early Stage VC</t>
        </is>
      </c>
      <c r="BM195" s="73" t="inlineStr">
        <is>
          <t>Series A</t>
        </is>
      </c>
      <c r="BN195" s="74" t="inlineStr">
        <is>
          <t/>
        </is>
      </c>
      <c r="BO195" s="75" t="inlineStr">
        <is>
          <t>Venture Capital</t>
        </is>
      </c>
      <c r="BP195" s="76" t="inlineStr">
        <is>
          <t/>
        </is>
      </c>
      <c r="BQ195" s="77" t="inlineStr">
        <is>
          <t/>
        </is>
      </c>
      <c r="BR195" s="78" t="inlineStr">
        <is>
          <t/>
        </is>
      </c>
      <c r="BS195" s="79" t="inlineStr">
        <is>
          <t>Completed</t>
        </is>
      </c>
      <c r="BT195" s="80" t="n">
        <v>42353.0</v>
      </c>
      <c r="BU195" s="81" t="n">
        <v>15.0</v>
      </c>
      <c r="BV195" s="82" t="inlineStr">
        <is>
          <t>Actual</t>
        </is>
      </c>
      <c r="BW195" s="83" t="inlineStr">
        <is>
          <t/>
        </is>
      </c>
      <c r="BX195" s="84" t="inlineStr">
        <is>
          <t/>
        </is>
      </c>
      <c r="BY195" s="85" t="inlineStr">
        <is>
          <t>Early Stage VC</t>
        </is>
      </c>
      <c r="BZ195" s="86" t="inlineStr">
        <is>
          <t>Series B</t>
        </is>
      </c>
      <c r="CA195" s="87" t="inlineStr">
        <is>
          <t/>
        </is>
      </c>
      <c r="CB195" s="88" t="inlineStr">
        <is>
          <t>Venture Capital</t>
        </is>
      </c>
      <c r="CC195" s="89" t="inlineStr">
        <is>
          <t/>
        </is>
      </c>
      <c r="CD195" s="90" t="inlineStr">
        <is>
          <t/>
        </is>
      </c>
      <c r="CE195" s="91" t="inlineStr">
        <is>
          <t/>
        </is>
      </c>
      <c r="CF195" s="92" t="inlineStr">
        <is>
          <t>Completed</t>
        </is>
      </c>
      <c r="CG195" s="93" t="inlineStr">
        <is>
          <t>0,00%</t>
        </is>
      </c>
      <c r="CH195" s="94" t="inlineStr">
        <is>
          <t>23</t>
        </is>
      </c>
      <c r="CI195" s="95" t="inlineStr">
        <is>
          <t>0,00%</t>
        </is>
      </c>
      <c r="CJ195" s="96" t="inlineStr">
        <is>
          <t>0,00%</t>
        </is>
      </c>
      <c r="CK195" s="97" t="inlineStr">
        <is>
          <t>0,00%</t>
        </is>
      </c>
      <c r="CL195" s="98" t="inlineStr">
        <is>
          <t>18</t>
        </is>
      </c>
      <c r="CM195" s="99" t="inlineStr">
        <is>
          <t/>
        </is>
      </c>
      <c r="CN195" s="100" t="inlineStr">
        <is>
          <t/>
        </is>
      </c>
      <c r="CO195" s="101" t="inlineStr">
        <is>
          <t>0,00%</t>
        </is>
      </c>
      <c r="CP195" s="102" t="inlineStr">
        <is>
          <t>26</t>
        </is>
      </c>
      <c r="CQ195" s="103" t="inlineStr">
        <is>
          <t>0,00%</t>
        </is>
      </c>
      <c r="CR195" s="104" t="inlineStr">
        <is>
          <t>13</t>
        </is>
      </c>
      <c r="CS195" s="105" t="inlineStr">
        <is>
          <t/>
        </is>
      </c>
      <c r="CT195" s="106" t="inlineStr">
        <is>
          <t/>
        </is>
      </c>
      <c r="CU195" s="107" t="inlineStr">
        <is>
          <t/>
        </is>
      </c>
      <c r="CV195" s="108" t="inlineStr">
        <is>
          <t/>
        </is>
      </c>
      <c r="CW195" s="109" t="inlineStr">
        <is>
          <t>0,75x</t>
        </is>
      </c>
      <c r="CX195" s="110" t="inlineStr">
        <is>
          <t>42</t>
        </is>
      </c>
      <c r="CY195" s="111" t="inlineStr">
        <is>
          <t>-0,01x</t>
        </is>
      </c>
      <c r="CZ195" s="112" t="inlineStr">
        <is>
          <t>-1,81%</t>
        </is>
      </c>
      <c r="DA195" s="113" t="inlineStr">
        <is>
          <t>0,75x</t>
        </is>
      </c>
      <c r="DB195" s="114" t="inlineStr">
        <is>
          <t>45</t>
        </is>
      </c>
      <c r="DC195" s="115" t="inlineStr">
        <is>
          <t/>
        </is>
      </c>
      <c r="DD195" s="116" t="inlineStr">
        <is>
          <t/>
        </is>
      </c>
      <c r="DE195" s="117" t="inlineStr">
        <is>
          <t>0,53x</t>
        </is>
      </c>
      <c r="DF195" s="118" t="inlineStr">
        <is>
          <t>37</t>
        </is>
      </c>
      <c r="DG195" s="119" t="inlineStr">
        <is>
          <t>0,97x</t>
        </is>
      </c>
      <c r="DH195" s="120" t="inlineStr">
        <is>
          <t>49</t>
        </is>
      </c>
      <c r="DI195" s="121" t="inlineStr">
        <is>
          <t/>
        </is>
      </c>
      <c r="DJ195" s="122" t="inlineStr">
        <is>
          <t/>
        </is>
      </c>
      <c r="DK195" s="123" t="inlineStr">
        <is>
          <t/>
        </is>
      </c>
      <c r="DL195" s="124" t="inlineStr">
        <is>
          <t/>
        </is>
      </c>
      <c r="DM195" s="125" t="inlineStr">
        <is>
          <t>303</t>
        </is>
      </c>
      <c r="DN195" s="126" t="inlineStr">
        <is>
          <t>68</t>
        </is>
      </c>
      <c r="DO195" s="127" t="inlineStr">
        <is>
          <t>28,94%</t>
        </is>
      </c>
      <c r="DP195" s="128" t="inlineStr">
        <is>
          <t/>
        </is>
      </c>
      <c r="DQ195" s="129" t="inlineStr">
        <is>
          <t/>
        </is>
      </c>
      <c r="DR195" s="130" t="inlineStr">
        <is>
          <t/>
        </is>
      </c>
      <c r="DS195" s="131" t="inlineStr">
        <is>
          <t>35</t>
        </is>
      </c>
      <c r="DT195" s="132" t="inlineStr">
        <is>
          <t>-2</t>
        </is>
      </c>
      <c r="DU195" s="133" t="inlineStr">
        <is>
          <t>-5,41%</t>
        </is>
      </c>
      <c r="DV195" s="134" t="inlineStr">
        <is>
          <t/>
        </is>
      </c>
      <c r="DW195" s="135" t="inlineStr">
        <is>
          <t/>
        </is>
      </c>
      <c r="DX195" s="136" t="inlineStr">
        <is>
          <t/>
        </is>
      </c>
      <c r="DY195" s="137" t="inlineStr">
        <is>
          <t>PitchBook Research</t>
        </is>
      </c>
      <c r="DZ195" s="785">
        <f>HYPERLINK("https://my.pitchbook.com?c=59230-45", "View company online")</f>
      </c>
    </row>
    <row r="196">
      <c r="A196" s="139" t="inlineStr">
        <is>
          <t>166384-00</t>
        </is>
      </c>
      <c r="B196" s="140" t="inlineStr">
        <is>
          <t>GammaDelta Therapeutics</t>
        </is>
      </c>
      <c r="C196" s="141" t="inlineStr">
        <is>
          <t/>
        </is>
      </c>
      <c r="D196" s="142" t="inlineStr">
        <is>
          <t/>
        </is>
      </c>
      <c r="E196" s="143" t="inlineStr">
        <is>
          <t>166384-00</t>
        </is>
      </c>
      <c r="F196" s="144" t="inlineStr">
        <is>
          <t>Developer of immunotherapies designed to treat cancer and auto-immune diseases. The company's immunotherapies use gamma delta T cells to exploit properties of tissue resident, enabling cancer patients to begin treatment more quickly, resulting in a higher likelihood of a successful treatment.</t>
        </is>
      </c>
      <c r="G196" s="145" t="inlineStr">
        <is>
          <t>Healthcare</t>
        </is>
      </c>
      <c r="H196" s="146" t="inlineStr">
        <is>
          <t>Pharmaceuticals and Biotechnology</t>
        </is>
      </c>
      <c r="I196" s="147" t="inlineStr">
        <is>
          <t>Biotechnology</t>
        </is>
      </c>
      <c r="J196" s="148" t="inlineStr">
        <is>
          <t>Biotechnology*; Drug Discovery</t>
        </is>
      </c>
      <c r="K196" s="149" t="inlineStr">
        <is>
          <t>Life Sciences, Oncology</t>
        </is>
      </c>
      <c r="L196" s="150" t="inlineStr">
        <is>
          <t>Venture Capital-Backed</t>
        </is>
      </c>
      <c r="M196" s="151" t="n">
        <v>25.84</v>
      </c>
      <c r="N196" s="152" t="inlineStr">
        <is>
          <t>Startup</t>
        </is>
      </c>
      <c r="O196" s="153" t="inlineStr">
        <is>
          <t>Privately Held (backing)</t>
        </is>
      </c>
      <c r="P196" s="154" t="inlineStr">
        <is>
          <t>Venture Capital</t>
        </is>
      </c>
      <c r="Q196" s="155" t="inlineStr">
        <is>
          <t>www.gammadeltatx.com</t>
        </is>
      </c>
      <c r="R196" s="156" t="inlineStr">
        <is>
          <t/>
        </is>
      </c>
      <c r="S196" s="157" t="inlineStr">
        <is>
          <t/>
        </is>
      </c>
      <c r="T196" s="158" t="inlineStr">
        <is>
          <t/>
        </is>
      </c>
      <c r="U196" s="159" t="n">
        <v>2016.0</v>
      </c>
      <c r="V196" s="160" t="inlineStr">
        <is>
          <t/>
        </is>
      </c>
      <c r="W196" s="161" t="inlineStr">
        <is>
          <t/>
        </is>
      </c>
      <c r="X196" s="162" t="inlineStr">
        <is>
          <t/>
        </is>
      </c>
      <c r="Y196" s="163" t="inlineStr">
        <is>
          <t/>
        </is>
      </c>
      <c r="Z196" s="164" t="inlineStr">
        <is>
          <t/>
        </is>
      </c>
      <c r="AA196" s="165" t="inlineStr">
        <is>
          <t/>
        </is>
      </c>
      <c r="AB196" s="166" t="inlineStr">
        <is>
          <t/>
        </is>
      </c>
      <c r="AC196" s="167" t="inlineStr">
        <is>
          <t/>
        </is>
      </c>
      <c r="AD196" s="168" t="inlineStr">
        <is>
          <t/>
        </is>
      </c>
      <c r="AE196" s="169" t="inlineStr">
        <is>
          <t>127493-65P</t>
        </is>
      </c>
      <c r="AF196" s="170" t="inlineStr">
        <is>
          <t>Raj Mehta</t>
        </is>
      </c>
      <c r="AG196" s="171" t="inlineStr">
        <is>
          <t>Director of IP, Alliance Management &amp; Business Development</t>
        </is>
      </c>
      <c r="AH196" s="172" t="inlineStr">
        <is>
          <t>raj.mehta@gammadeltatx.com</t>
        </is>
      </c>
      <c r="AI196" s="173" t="inlineStr">
        <is>
          <t>+44 (0)20 7691 1122</t>
        </is>
      </c>
      <c r="AJ196" s="174" t="inlineStr">
        <is>
          <t>London, United Kingdom</t>
        </is>
      </c>
      <c r="AK196" s="175" t="inlineStr">
        <is>
          <t>London Bioscience Innovation Centre</t>
        </is>
      </c>
      <c r="AL196" s="176" t="inlineStr">
        <is>
          <t>2 Royal College Street</t>
        </is>
      </c>
      <c r="AM196" s="177" t="inlineStr">
        <is>
          <t>London</t>
        </is>
      </c>
      <c r="AN196" s="178" t="inlineStr">
        <is>
          <t>England</t>
        </is>
      </c>
      <c r="AO196" s="179" t="inlineStr">
        <is>
          <t>NW1 0NH</t>
        </is>
      </c>
      <c r="AP196" s="180" t="inlineStr">
        <is>
          <t>United Kingdom</t>
        </is>
      </c>
      <c r="AQ196" s="181" t="inlineStr">
        <is>
          <t>+44 (0)20 7691 1122</t>
        </is>
      </c>
      <c r="AR196" s="182" t="inlineStr">
        <is>
          <t/>
        </is>
      </c>
      <c r="AS196" s="183" t="inlineStr">
        <is>
          <t>info@gammadeltatx.com</t>
        </is>
      </c>
      <c r="AT196" s="184" t="inlineStr">
        <is>
          <t>Europe</t>
        </is>
      </c>
      <c r="AU196" s="185" t="inlineStr">
        <is>
          <t>Western Europe</t>
        </is>
      </c>
      <c r="AV196" s="186" t="inlineStr">
        <is>
          <t>The company closed on GBP 27.5 million of a planned GBP 77.3 million round of venture funding from Takeda Pharmaceutical and Abingworth Management on May 9, 2017, putting the pre-money valuation at GBP 20.5 million. The funding includes an equity investment, an option fee and research and development funding, and provides Takeda the exclusive right to purchase GammaDelta Therapeutics. The company will use the funds to discover and develop new immunotherapies, with the aim of treating a broad range of cancers, including solid tumors and autoinflammatory diseases. Previously, the company raised GBP 800,000 of seed funding from Abingworth Management, Cancer Research Technology (CRT) and King's College London on September 15, 2016, putting the pre-money valuation at GBP 1.4 million.</t>
        </is>
      </c>
      <c r="AW196" s="187" t="inlineStr">
        <is>
          <t>Abingworth Management, Cancer Research Technology, King's College London Endowment, Takeda Pharmaceutical Company, The Francis Crick Institute</t>
        </is>
      </c>
      <c r="AX196" s="188" t="n">
        <v>5.0</v>
      </c>
      <c r="AY196" s="189" t="inlineStr">
        <is>
          <t/>
        </is>
      </c>
      <c r="AZ196" s="190" t="inlineStr">
        <is>
          <t/>
        </is>
      </c>
      <c r="BA196" s="191" t="inlineStr">
        <is>
          <t/>
        </is>
      </c>
      <c r="BB196" s="192" t="inlineStr">
        <is>
          <t>Abingworth Management (www.abingworth.com), Cancer Research Technology (commercial.cancerresearchuk.org), King's College London Endowment (www.kcl.ac.uk), Takeda Pharmaceutical Company (www.takeda.com), The Francis Crick Institute (crick.ac.uk)</t>
        </is>
      </c>
      <c r="BC196" s="193" t="inlineStr">
        <is>
          <t/>
        </is>
      </c>
      <c r="BD196" s="194" t="inlineStr">
        <is>
          <t/>
        </is>
      </c>
      <c r="BE196" s="195" t="inlineStr">
        <is>
          <t/>
        </is>
      </c>
      <c r="BF196" s="196" t="inlineStr">
        <is>
          <t/>
        </is>
      </c>
      <c r="BG196" s="197" t="n">
        <v>42628.0</v>
      </c>
      <c r="BH196" s="198" t="n">
        <v>0.94</v>
      </c>
      <c r="BI196" s="199" t="inlineStr">
        <is>
          <t>Actual</t>
        </is>
      </c>
      <c r="BJ196" s="200" t="n">
        <v>2.58</v>
      </c>
      <c r="BK196" s="201" t="inlineStr">
        <is>
          <t>Actual</t>
        </is>
      </c>
      <c r="BL196" s="202" t="inlineStr">
        <is>
          <t>Seed Round</t>
        </is>
      </c>
      <c r="BM196" s="203" t="inlineStr">
        <is>
          <t>Seed</t>
        </is>
      </c>
      <c r="BN196" s="204" t="inlineStr">
        <is>
          <t/>
        </is>
      </c>
      <c r="BO196" s="205" t="inlineStr">
        <is>
          <t>Venture Capital</t>
        </is>
      </c>
      <c r="BP196" s="206" t="inlineStr">
        <is>
          <t/>
        </is>
      </c>
      <c r="BQ196" s="207" t="inlineStr">
        <is>
          <t/>
        </is>
      </c>
      <c r="BR196" s="208" t="inlineStr">
        <is>
          <t/>
        </is>
      </c>
      <c r="BS196" s="209" t="inlineStr">
        <is>
          <t>Completed</t>
        </is>
      </c>
      <c r="BT196" s="210" t="n">
        <v>42864.0</v>
      </c>
      <c r="BU196" s="211" t="n">
        <v>24.9</v>
      </c>
      <c r="BV196" s="212" t="inlineStr">
        <is>
          <t>Actual</t>
        </is>
      </c>
      <c r="BW196" s="213" t="n">
        <v>43.46</v>
      </c>
      <c r="BX196" s="214" t="inlineStr">
        <is>
          <t>Actual</t>
        </is>
      </c>
      <c r="BY196" s="215" t="inlineStr">
        <is>
          <t>Early Stage VC</t>
        </is>
      </c>
      <c r="BZ196" s="216" t="inlineStr">
        <is>
          <t/>
        </is>
      </c>
      <c r="CA196" s="217" t="inlineStr">
        <is>
          <t/>
        </is>
      </c>
      <c r="CB196" s="218" t="inlineStr">
        <is>
          <t>Venture Capital</t>
        </is>
      </c>
      <c r="CC196" s="219" t="inlineStr">
        <is>
          <t/>
        </is>
      </c>
      <c r="CD196" s="220" t="inlineStr">
        <is>
          <t/>
        </is>
      </c>
      <c r="CE196" s="221" t="inlineStr">
        <is>
          <t/>
        </is>
      </c>
      <c r="CF196" s="222" t="inlineStr">
        <is>
          <t>Announced/In Progress</t>
        </is>
      </c>
      <c r="CG196" s="223" t="inlineStr">
        <is>
          <t>0,00%</t>
        </is>
      </c>
      <c r="CH196" s="224" t="inlineStr">
        <is>
          <t>23</t>
        </is>
      </c>
      <c r="CI196" s="225" t="inlineStr">
        <is>
          <t>0,00%</t>
        </is>
      </c>
      <c r="CJ196" s="226" t="inlineStr">
        <is>
          <t>0,00%</t>
        </is>
      </c>
      <c r="CK196" s="227" t="inlineStr">
        <is>
          <t>0,00%</t>
        </is>
      </c>
      <c r="CL196" s="228" t="inlineStr">
        <is>
          <t>18</t>
        </is>
      </c>
      <c r="CM196" s="229" t="inlineStr">
        <is>
          <t/>
        </is>
      </c>
      <c r="CN196" s="230" t="inlineStr">
        <is>
          <t/>
        </is>
      </c>
      <c r="CO196" s="231" t="inlineStr">
        <is>
          <t>0,00%</t>
        </is>
      </c>
      <c r="CP196" s="232" t="inlineStr">
        <is>
          <t>26</t>
        </is>
      </c>
      <c r="CQ196" s="233" t="inlineStr">
        <is>
          <t>0,00%</t>
        </is>
      </c>
      <c r="CR196" s="234" t="inlineStr">
        <is>
          <t>13</t>
        </is>
      </c>
      <c r="CS196" s="235" t="inlineStr">
        <is>
          <t/>
        </is>
      </c>
      <c r="CT196" s="236" t="inlineStr">
        <is>
          <t/>
        </is>
      </c>
      <c r="CU196" s="237" t="inlineStr">
        <is>
          <t/>
        </is>
      </c>
      <c r="CV196" s="238" t="inlineStr">
        <is>
          <t/>
        </is>
      </c>
      <c r="CW196" s="239" t="inlineStr">
        <is>
          <t>0,64x</t>
        </is>
      </c>
      <c r="CX196" s="240" t="inlineStr">
        <is>
          <t>39</t>
        </is>
      </c>
      <c r="CY196" s="241" t="inlineStr">
        <is>
          <t>0,01x</t>
        </is>
      </c>
      <c r="CZ196" s="242" t="inlineStr">
        <is>
          <t>1,49%</t>
        </is>
      </c>
      <c r="DA196" s="243" t="inlineStr">
        <is>
          <t>0,64x</t>
        </is>
      </c>
      <c r="DB196" s="244" t="inlineStr">
        <is>
          <t>41</t>
        </is>
      </c>
      <c r="DC196" s="245" t="inlineStr">
        <is>
          <t/>
        </is>
      </c>
      <c r="DD196" s="246" t="inlineStr">
        <is>
          <t/>
        </is>
      </c>
      <c r="DE196" s="247" t="inlineStr">
        <is>
          <t>0,59x</t>
        </is>
      </c>
      <c r="DF196" s="248" t="inlineStr">
        <is>
          <t>39</t>
        </is>
      </c>
      <c r="DG196" s="249" t="inlineStr">
        <is>
          <t>0,69x</t>
        </is>
      </c>
      <c r="DH196" s="250" t="inlineStr">
        <is>
          <t>43</t>
        </is>
      </c>
      <c r="DI196" s="251" t="inlineStr">
        <is>
          <t/>
        </is>
      </c>
      <c r="DJ196" s="252" t="inlineStr">
        <is>
          <t/>
        </is>
      </c>
      <c r="DK196" s="253" t="inlineStr">
        <is>
          <t/>
        </is>
      </c>
      <c r="DL196" s="254" t="inlineStr">
        <is>
          <t/>
        </is>
      </c>
      <c r="DM196" s="255" t="inlineStr">
        <is>
          <t>375</t>
        </is>
      </c>
      <c r="DN196" s="256" t="inlineStr">
        <is>
          <t>-47</t>
        </is>
      </c>
      <c r="DO196" s="257" t="inlineStr">
        <is>
          <t>-11,14%</t>
        </is>
      </c>
      <c r="DP196" s="258" t="inlineStr">
        <is>
          <t/>
        </is>
      </c>
      <c r="DQ196" s="259" t="inlineStr">
        <is>
          <t/>
        </is>
      </c>
      <c r="DR196" s="260" t="inlineStr">
        <is>
          <t/>
        </is>
      </c>
      <c r="DS196" s="261" t="inlineStr">
        <is>
          <t>25</t>
        </is>
      </c>
      <c r="DT196" s="262" t="inlineStr">
        <is>
          <t>0</t>
        </is>
      </c>
      <c r="DU196" s="263" t="inlineStr">
        <is>
          <t>0,00%</t>
        </is>
      </c>
      <c r="DV196" s="264" t="inlineStr">
        <is>
          <t/>
        </is>
      </c>
      <c r="DW196" s="265" t="inlineStr">
        <is>
          <t/>
        </is>
      </c>
      <c r="DX196" s="266" t="inlineStr">
        <is>
          <t/>
        </is>
      </c>
      <c r="DY196" s="267" t="inlineStr">
        <is>
          <t>PitchBook Research</t>
        </is>
      </c>
      <c r="DZ196" s="786">
        <f>HYPERLINK("https://my.pitchbook.com?c=166384-00", "View company online")</f>
      </c>
    </row>
    <row r="197">
      <c r="A197" s="9" t="inlineStr">
        <is>
          <t>149520-34</t>
        </is>
      </c>
      <c r="B197" s="10" t="inlineStr">
        <is>
          <t>Garrison Technology</t>
        </is>
      </c>
      <c r="C197" s="11" t="inlineStr">
        <is>
          <t/>
        </is>
      </c>
      <c r="D197" s="12" t="inlineStr">
        <is>
          <t>Garrison</t>
        </is>
      </c>
      <c r="E197" s="13" t="inlineStr">
        <is>
          <t>149520-34</t>
        </is>
      </c>
      <c r="F197" s="14" t="inlineStr">
        <is>
          <t>Developer of anti-malware products designed to revolutionize enterprise cyber-security. The company's anti-malware products offer highly effective fundamental security challenges for enterprise and cloud computing, enabling its clients to manage their cyber-security network.</t>
        </is>
      </c>
      <c r="G197" s="15" t="inlineStr">
        <is>
          <t>Information Technology</t>
        </is>
      </c>
      <c r="H197" s="16" t="inlineStr">
        <is>
          <t>Software</t>
        </is>
      </c>
      <c r="I197" s="17" t="inlineStr">
        <is>
          <t>Network Management Software</t>
        </is>
      </c>
      <c r="J197" s="18" t="inlineStr">
        <is>
          <t>Network Management Software*; Application Software; Business/Productivity Software</t>
        </is>
      </c>
      <c r="K197" s="19" t="inlineStr">
        <is>
          <t>Cybersecurity, SaaS</t>
        </is>
      </c>
      <c r="L197" s="20" t="inlineStr">
        <is>
          <t>Venture Capital-Backed</t>
        </is>
      </c>
      <c r="M197" s="21" t="n">
        <v>18.05</v>
      </c>
      <c r="N197" s="22" t="inlineStr">
        <is>
          <t>Startup</t>
        </is>
      </c>
      <c r="O197" s="23" t="inlineStr">
        <is>
          <t>Privately Held (backing)</t>
        </is>
      </c>
      <c r="P197" s="24" t="inlineStr">
        <is>
          <t>Venture Capital</t>
        </is>
      </c>
      <c r="Q197" s="25" t="inlineStr">
        <is>
          <t>www.garrison.com</t>
        </is>
      </c>
      <c r="R197" s="26" t="inlineStr">
        <is>
          <t/>
        </is>
      </c>
      <c r="S197" s="27" t="inlineStr">
        <is>
          <t/>
        </is>
      </c>
      <c r="T197" s="28" t="inlineStr">
        <is>
          <t/>
        </is>
      </c>
      <c r="U197" s="29" t="n">
        <v>2014.0</v>
      </c>
      <c r="V197" s="30" t="inlineStr">
        <is>
          <t/>
        </is>
      </c>
      <c r="W197" s="31" t="inlineStr">
        <is>
          <t/>
        </is>
      </c>
      <c r="X197" s="32" t="inlineStr">
        <is>
          <t/>
        </is>
      </c>
      <c r="Y197" s="33" t="inlineStr">
        <is>
          <t/>
        </is>
      </c>
      <c r="Z197" s="34" t="inlineStr">
        <is>
          <t/>
        </is>
      </c>
      <c r="AA197" s="35" t="inlineStr">
        <is>
          <t/>
        </is>
      </c>
      <c r="AB197" s="36" t="inlineStr">
        <is>
          <t/>
        </is>
      </c>
      <c r="AC197" s="37" t="inlineStr">
        <is>
          <t/>
        </is>
      </c>
      <c r="AD197" s="38" t="inlineStr">
        <is>
          <t/>
        </is>
      </c>
      <c r="AE197" s="39" t="inlineStr">
        <is>
          <t>122784-13P</t>
        </is>
      </c>
      <c r="AF197" s="40" t="inlineStr">
        <is>
          <t>David Garfield</t>
        </is>
      </c>
      <c r="AG197" s="41" t="inlineStr">
        <is>
          <t>Co-Founder, Board Member &amp; Chief Executive Officer</t>
        </is>
      </c>
      <c r="AH197" s="42" t="inlineStr">
        <is>
          <t>david.garfield@garrison.com</t>
        </is>
      </c>
      <c r="AI197" s="43" t="inlineStr">
        <is>
          <t/>
        </is>
      </c>
      <c r="AJ197" s="44" t="inlineStr">
        <is>
          <t>London, United Kingdom</t>
        </is>
      </c>
      <c r="AK197" s="45" t="inlineStr">
        <is>
          <t>20-22 Wenlock Road</t>
        </is>
      </c>
      <c r="AL197" s="46" t="inlineStr">
        <is>
          <t/>
        </is>
      </c>
      <c r="AM197" s="47" t="inlineStr">
        <is>
          <t>London</t>
        </is>
      </c>
      <c r="AN197" s="48" t="inlineStr">
        <is>
          <t>England</t>
        </is>
      </c>
      <c r="AO197" s="49" t="inlineStr">
        <is>
          <t>N1 7GU</t>
        </is>
      </c>
      <c r="AP197" s="50" t="inlineStr">
        <is>
          <t>United Kingdom</t>
        </is>
      </c>
      <c r="AQ197" s="51" t="inlineStr">
        <is>
          <t/>
        </is>
      </c>
      <c r="AR197" s="52" t="inlineStr">
        <is>
          <t/>
        </is>
      </c>
      <c r="AS197" s="53" t="inlineStr">
        <is>
          <t>info@garrison.com</t>
        </is>
      </c>
      <c r="AT197" s="54" t="inlineStr">
        <is>
          <t>Europe</t>
        </is>
      </c>
      <c r="AU197" s="55" t="inlineStr">
        <is>
          <t>Western Europe</t>
        </is>
      </c>
      <c r="AV197" s="56" t="inlineStr">
        <is>
          <t>The company raised GBP 12 million of venture funding in a deal led by Touchstone Innovations on March 6, 2017. BGF Ventures, NM Capital and other undisclosed individual investors also participated in the round. The company will use the funds to accelerate product development and commercialisation, continuing to grow its high-calibre team in advance of formally launching its product to market.</t>
        </is>
      </c>
      <c r="AW197" s="57" t="inlineStr">
        <is>
          <t>BGF Ventures, NM Capital, Touchstone Innovations</t>
        </is>
      </c>
      <c r="AX197" s="58" t="n">
        <v>3.0</v>
      </c>
      <c r="AY197" s="59" t="inlineStr">
        <is>
          <t/>
        </is>
      </c>
      <c r="AZ197" s="60" t="inlineStr">
        <is>
          <t/>
        </is>
      </c>
      <c r="BA197" s="61" t="inlineStr">
        <is>
          <t/>
        </is>
      </c>
      <c r="BB197" s="62" t="inlineStr">
        <is>
          <t>BGF Ventures (www.bgfventures.com), NM Capital (www.nmcapitalinvestments.com), Touchstone Innovations (www.touchstoneinnovations.com)</t>
        </is>
      </c>
      <c r="BC197" s="63" t="inlineStr">
        <is>
          <t/>
        </is>
      </c>
      <c r="BD197" s="64" t="inlineStr">
        <is>
          <t/>
        </is>
      </c>
      <c r="BE197" s="65" t="inlineStr">
        <is>
          <t>Osborne Clarke (Legal Advisor)</t>
        </is>
      </c>
      <c r="BF197" s="66" t="inlineStr">
        <is>
          <t>JP Morgan Cazenove (Advisor), Osborne Clarke (Legal Advisor), RBC Capital Markets (Advisor), Instinctif Partners (Advisor)</t>
        </is>
      </c>
      <c r="BG197" s="67" t="n">
        <v>42240.0</v>
      </c>
      <c r="BH197" s="68" t="n">
        <v>4.2</v>
      </c>
      <c r="BI197" s="69" t="inlineStr">
        <is>
          <t>Actual</t>
        </is>
      </c>
      <c r="BJ197" s="70" t="inlineStr">
        <is>
          <t/>
        </is>
      </c>
      <c r="BK197" s="71" t="inlineStr">
        <is>
          <t/>
        </is>
      </c>
      <c r="BL197" s="72" t="inlineStr">
        <is>
          <t>Seed Round</t>
        </is>
      </c>
      <c r="BM197" s="73" t="inlineStr">
        <is>
          <t>Seed</t>
        </is>
      </c>
      <c r="BN197" s="74" t="inlineStr">
        <is>
          <t/>
        </is>
      </c>
      <c r="BO197" s="75" t="inlineStr">
        <is>
          <t>Venture Capital</t>
        </is>
      </c>
      <c r="BP197" s="76" t="inlineStr">
        <is>
          <t/>
        </is>
      </c>
      <c r="BQ197" s="77" t="inlineStr">
        <is>
          <t/>
        </is>
      </c>
      <c r="BR197" s="78" t="inlineStr">
        <is>
          <t/>
        </is>
      </c>
      <c r="BS197" s="79" t="inlineStr">
        <is>
          <t>Completed</t>
        </is>
      </c>
      <c r="BT197" s="80" t="n">
        <v>42800.0</v>
      </c>
      <c r="BU197" s="81" t="n">
        <v>13.85</v>
      </c>
      <c r="BV197" s="82" t="inlineStr">
        <is>
          <t>Actual</t>
        </is>
      </c>
      <c r="BW197" s="83" t="inlineStr">
        <is>
          <t/>
        </is>
      </c>
      <c r="BX197" s="84" t="inlineStr">
        <is>
          <t/>
        </is>
      </c>
      <c r="BY197" s="85" t="inlineStr">
        <is>
          <t>Early Stage VC</t>
        </is>
      </c>
      <c r="BZ197" s="86" t="inlineStr">
        <is>
          <t/>
        </is>
      </c>
      <c r="CA197" s="87" t="inlineStr">
        <is>
          <t/>
        </is>
      </c>
      <c r="CB197" s="88" t="inlineStr">
        <is>
          <t>Venture Capital</t>
        </is>
      </c>
      <c r="CC197" s="89" t="inlineStr">
        <is>
          <t/>
        </is>
      </c>
      <c r="CD197" s="90" t="inlineStr">
        <is>
          <t/>
        </is>
      </c>
      <c r="CE197" s="91" t="inlineStr">
        <is>
          <t/>
        </is>
      </c>
      <c r="CF197" s="92" t="inlineStr">
        <is>
          <t>Completed</t>
        </is>
      </c>
      <c r="CG197" s="93" t="inlineStr">
        <is>
          <t>0,00%</t>
        </is>
      </c>
      <c r="CH197" s="94" t="inlineStr">
        <is>
          <t>23</t>
        </is>
      </c>
      <c r="CI197" s="95" t="inlineStr">
        <is>
          <t>0,00%</t>
        </is>
      </c>
      <c r="CJ197" s="96" t="inlineStr">
        <is>
          <t>0,00%</t>
        </is>
      </c>
      <c r="CK197" s="97" t="inlineStr">
        <is>
          <t>0,00%</t>
        </is>
      </c>
      <c r="CL197" s="98" t="inlineStr">
        <is>
          <t>18</t>
        </is>
      </c>
      <c r="CM197" s="99" t="inlineStr">
        <is>
          <t/>
        </is>
      </c>
      <c r="CN197" s="100" t="inlineStr">
        <is>
          <t/>
        </is>
      </c>
      <c r="CO197" s="101" t="inlineStr">
        <is>
          <t>0,00%</t>
        </is>
      </c>
      <c r="CP197" s="102" t="inlineStr">
        <is>
          <t>26</t>
        </is>
      </c>
      <c r="CQ197" s="103" t="inlineStr">
        <is>
          <t/>
        </is>
      </c>
      <c r="CR197" s="104" t="inlineStr">
        <is>
          <t/>
        </is>
      </c>
      <c r="CS197" s="105" t="inlineStr">
        <is>
          <t/>
        </is>
      </c>
      <c r="CT197" s="106" t="inlineStr">
        <is>
          <t/>
        </is>
      </c>
      <c r="CU197" s="107" t="inlineStr">
        <is>
          <t/>
        </is>
      </c>
      <c r="CV197" s="108" t="inlineStr">
        <is>
          <t/>
        </is>
      </c>
      <c r="CW197" s="109" t="inlineStr">
        <is>
          <t>0,66x</t>
        </is>
      </c>
      <c r="CX197" s="110" t="inlineStr">
        <is>
          <t>40</t>
        </is>
      </c>
      <c r="CY197" s="111" t="inlineStr">
        <is>
          <t>0,00x</t>
        </is>
      </c>
      <c r="CZ197" s="112" t="inlineStr">
        <is>
          <t>0,00%</t>
        </is>
      </c>
      <c r="DA197" s="113" t="inlineStr">
        <is>
          <t>0,66x</t>
        </is>
      </c>
      <c r="DB197" s="114" t="inlineStr">
        <is>
          <t>42</t>
        </is>
      </c>
      <c r="DC197" s="115" t="inlineStr">
        <is>
          <t/>
        </is>
      </c>
      <c r="DD197" s="116" t="inlineStr">
        <is>
          <t/>
        </is>
      </c>
      <c r="DE197" s="117" t="inlineStr">
        <is>
          <t>0,66x</t>
        </is>
      </c>
      <c r="DF197" s="118" t="inlineStr">
        <is>
          <t>42</t>
        </is>
      </c>
      <c r="DG197" s="119" t="inlineStr">
        <is>
          <t/>
        </is>
      </c>
      <c r="DH197" s="120" t="inlineStr">
        <is>
          <t/>
        </is>
      </c>
      <c r="DI197" s="121" t="inlineStr">
        <is>
          <t/>
        </is>
      </c>
      <c r="DJ197" s="122" t="inlineStr">
        <is>
          <t/>
        </is>
      </c>
      <c r="DK197" s="123" t="inlineStr">
        <is>
          <t/>
        </is>
      </c>
      <c r="DL197" s="124" t="inlineStr">
        <is>
          <t/>
        </is>
      </c>
      <c r="DM197" s="125" t="inlineStr">
        <is>
          <t>390</t>
        </is>
      </c>
      <c r="DN197" s="126" t="inlineStr">
        <is>
          <t>50</t>
        </is>
      </c>
      <c r="DO197" s="127" t="inlineStr">
        <is>
          <t>14,71%</t>
        </is>
      </c>
      <c r="DP197" s="128" t="inlineStr">
        <is>
          <t/>
        </is>
      </c>
      <c r="DQ197" s="129" t="inlineStr">
        <is>
          <t/>
        </is>
      </c>
      <c r="DR197" s="130" t="inlineStr">
        <is>
          <t/>
        </is>
      </c>
      <c r="DS197" s="131" t="inlineStr">
        <is>
          <t/>
        </is>
      </c>
      <c r="DT197" s="132" t="inlineStr">
        <is>
          <t/>
        </is>
      </c>
      <c r="DU197" s="133" t="inlineStr">
        <is>
          <t/>
        </is>
      </c>
      <c r="DV197" s="134" t="inlineStr">
        <is>
          <t/>
        </is>
      </c>
      <c r="DW197" s="135" t="inlineStr">
        <is>
          <t/>
        </is>
      </c>
      <c r="DX197" s="136" t="inlineStr">
        <is>
          <t/>
        </is>
      </c>
      <c r="DY197" s="137" t="inlineStr">
        <is>
          <t>PitchBook Research</t>
        </is>
      </c>
      <c r="DZ197" s="785">
        <f>HYPERLINK("https://my.pitchbook.com?c=149520-34", "View company online")</f>
      </c>
    </row>
    <row r="198">
      <c r="A198" s="139" t="inlineStr">
        <is>
          <t>60630-85</t>
        </is>
      </c>
      <c r="B198" s="140" t="inlineStr">
        <is>
          <t>Gecko Biomedical</t>
        </is>
      </c>
      <c r="C198" s="141" t="inlineStr">
        <is>
          <t/>
        </is>
      </c>
      <c r="D198" s="142" t="inlineStr">
        <is>
          <t/>
        </is>
      </c>
      <c r="E198" s="143" t="inlineStr">
        <is>
          <t>60630-85</t>
        </is>
      </c>
      <c r="F198" s="144" t="inlineStr">
        <is>
          <t>Developer of biodegradable sealants and adhesives for surgical-wound closure. The company develops products that are non-toxic, designed to bind strongly to tissues and deliver "on-demand" wound closure within the dynamic environments of the body.</t>
        </is>
      </c>
      <c r="G198" s="145" t="inlineStr">
        <is>
          <t>Healthcare</t>
        </is>
      </c>
      <c r="H198" s="146" t="inlineStr">
        <is>
          <t>Healthcare Devices and Supplies</t>
        </is>
      </c>
      <c r="I198" s="147" t="inlineStr">
        <is>
          <t>Surgical Devices</t>
        </is>
      </c>
      <c r="J198" s="148" t="inlineStr">
        <is>
          <t>Surgical Devices*; Medical Supplies</t>
        </is>
      </c>
      <c r="K198" s="149" t="inlineStr">
        <is>
          <t>Life Sciences</t>
        </is>
      </c>
      <c r="L198" s="150" t="inlineStr">
        <is>
          <t>Venture Capital-Backed</t>
        </is>
      </c>
      <c r="M198" s="151" t="n">
        <v>33.2</v>
      </c>
      <c r="N198" s="152" t="inlineStr">
        <is>
          <t>Product Development</t>
        </is>
      </c>
      <c r="O198" s="153" t="inlineStr">
        <is>
          <t>Privately Held (backing)</t>
        </is>
      </c>
      <c r="P198" s="154" t="inlineStr">
        <is>
          <t>Venture Capital</t>
        </is>
      </c>
      <c r="Q198" s="155" t="inlineStr">
        <is>
          <t>www.geckobiomedical.com</t>
        </is>
      </c>
      <c r="R198" s="156" t="n">
        <v>16.0</v>
      </c>
      <c r="S198" s="157" t="inlineStr">
        <is>
          <t/>
        </is>
      </c>
      <c r="T198" s="158" t="inlineStr">
        <is>
          <t/>
        </is>
      </c>
      <c r="U198" s="159" t="n">
        <v>2013.0</v>
      </c>
      <c r="V198" s="160" t="inlineStr">
        <is>
          <t/>
        </is>
      </c>
      <c r="W198" s="161" t="inlineStr">
        <is>
          <t/>
        </is>
      </c>
      <c r="X198" s="162" t="inlineStr">
        <is>
          <t/>
        </is>
      </c>
      <c r="Y198" s="163" t="n">
        <v>0.01837</v>
      </c>
      <c r="Z198" s="164" t="inlineStr">
        <is>
          <t/>
        </is>
      </c>
      <c r="AA198" s="165" t="n">
        <v>-3.87704</v>
      </c>
      <c r="AB198" s="166" t="inlineStr">
        <is>
          <t/>
        </is>
      </c>
      <c r="AC198" s="167" t="inlineStr">
        <is>
          <t/>
        </is>
      </c>
      <c r="AD198" s="168" t="inlineStr">
        <is>
          <t>FY 2015</t>
        </is>
      </c>
      <c r="AE198" s="169" t="inlineStr">
        <is>
          <t>57676-42P</t>
        </is>
      </c>
      <c r="AF198" s="170" t="inlineStr">
        <is>
          <t>Christophe Bancel</t>
        </is>
      </c>
      <c r="AG198" s="171" t="inlineStr">
        <is>
          <t>Chief Executive Officer, Co-Founder &amp; Board Member</t>
        </is>
      </c>
      <c r="AH198" s="172" t="inlineStr">
        <is>
          <t>christophe@geckobiomedical.com</t>
        </is>
      </c>
      <c r="AI198" s="173" t="inlineStr">
        <is>
          <t>+33 (0)1 76 21 72 28</t>
        </is>
      </c>
      <c r="AJ198" s="174" t="inlineStr">
        <is>
          <t>Paris, France</t>
        </is>
      </c>
      <c r="AK198" s="175" t="inlineStr">
        <is>
          <t>74 rue du Faubourg Saint Antoine</t>
        </is>
      </c>
      <c r="AL198" s="176" t="inlineStr">
        <is>
          <t/>
        </is>
      </c>
      <c r="AM198" s="177" t="inlineStr">
        <is>
          <t>Paris</t>
        </is>
      </c>
      <c r="AN198" s="178" t="inlineStr">
        <is>
          <t/>
        </is>
      </c>
      <c r="AO198" s="179" t="inlineStr">
        <is>
          <t>75012</t>
        </is>
      </c>
      <c r="AP198" s="180" t="inlineStr">
        <is>
          <t>France</t>
        </is>
      </c>
      <c r="AQ198" s="181" t="inlineStr">
        <is>
          <t>+33 (0)1 76 21 72 28</t>
        </is>
      </c>
      <c r="AR198" s="182" t="inlineStr">
        <is>
          <t/>
        </is>
      </c>
      <c r="AS198" s="183" t="inlineStr">
        <is>
          <t>info@geckobiomedical.com</t>
        </is>
      </c>
      <c r="AT198" s="184" t="inlineStr">
        <is>
          <t>Europe</t>
        </is>
      </c>
      <c r="AU198" s="185" t="inlineStr">
        <is>
          <t>Western Europe</t>
        </is>
      </c>
      <c r="AV198" s="186" t="inlineStr">
        <is>
          <t>The company received EUR 1.4 million of loan financing from Bpifrance on June 30, 2016. The company will use the funding to support its clinical trials in Europe in order to obtain CE Mark in the first half of 2017. Previously, the company raised EUR 22.5 million of Series A2 venture funding from lead investor Sofinnova Partners on March 17, 2016.</t>
        </is>
      </c>
      <c r="AW198" s="187" t="inlineStr">
        <is>
          <t>Bpifrance, Cap Decisif Management, CM-CIC Investissement, iBionext, Omnes Capital, Sofinnova Partners</t>
        </is>
      </c>
      <c r="AX198" s="188" t="n">
        <v>6.0</v>
      </c>
      <c r="AY198" s="189" t="inlineStr">
        <is>
          <t/>
        </is>
      </c>
      <c r="AZ198" s="190" t="inlineStr">
        <is>
          <t/>
        </is>
      </c>
      <c r="BA198" s="191" t="inlineStr">
        <is>
          <t/>
        </is>
      </c>
      <c r="BB198" s="192" t="inlineStr">
        <is>
          <t>Bpifrance (www.bpifrance.fr), Cap Decisif Management (www.cap-decisif.com), CM-CIC Investissement (www.cmcic-investissement.com), iBionext (www.ibionext.com), Omnes Capital (www.omnescapital.com), Sofinnova Partners (www.sofinnova.fr)</t>
        </is>
      </c>
      <c r="BC198" s="193" t="inlineStr">
        <is>
          <t/>
        </is>
      </c>
      <c r="BD198" s="194" t="inlineStr">
        <is>
          <t/>
        </is>
      </c>
      <c r="BE198" s="195" t="inlineStr">
        <is>
          <t>NG Finance (Valuation/Appraiser)</t>
        </is>
      </c>
      <c r="BF198" s="196" t="inlineStr">
        <is>
          <t>Bpifrance</t>
        </is>
      </c>
      <c r="BG198" s="197" t="n">
        <v>41617.0</v>
      </c>
      <c r="BH198" s="198" t="n">
        <v>8.0</v>
      </c>
      <c r="BI198" s="199" t="inlineStr">
        <is>
          <t>Actual</t>
        </is>
      </c>
      <c r="BJ198" s="200" t="inlineStr">
        <is>
          <t/>
        </is>
      </c>
      <c r="BK198" s="201" t="inlineStr">
        <is>
          <t/>
        </is>
      </c>
      <c r="BL198" s="202" t="inlineStr">
        <is>
          <t>Early Stage VC</t>
        </is>
      </c>
      <c r="BM198" s="203" t="inlineStr">
        <is>
          <t>Series A</t>
        </is>
      </c>
      <c r="BN198" s="204" t="inlineStr">
        <is>
          <t/>
        </is>
      </c>
      <c r="BO198" s="205" t="inlineStr">
        <is>
          <t>Venture Capital</t>
        </is>
      </c>
      <c r="BP198" s="206" t="inlineStr">
        <is>
          <t/>
        </is>
      </c>
      <c r="BQ198" s="207" t="inlineStr">
        <is>
          <t/>
        </is>
      </c>
      <c r="BR198" s="208" t="inlineStr">
        <is>
          <t/>
        </is>
      </c>
      <c r="BS198" s="209" t="inlineStr">
        <is>
          <t>Completed</t>
        </is>
      </c>
      <c r="BT198" s="210" t="n">
        <v>42551.0</v>
      </c>
      <c r="BU198" s="211" t="n">
        <v>1.4</v>
      </c>
      <c r="BV198" s="212" t="inlineStr">
        <is>
          <t>Actual</t>
        </is>
      </c>
      <c r="BW198" s="213" t="inlineStr">
        <is>
          <t/>
        </is>
      </c>
      <c r="BX198" s="214" t="inlineStr">
        <is>
          <t/>
        </is>
      </c>
      <c r="BY198" s="215" t="inlineStr">
        <is>
          <t>Debt - General</t>
        </is>
      </c>
      <c r="BZ198" s="216" t="inlineStr">
        <is>
          <t>Loan</t>
        </is>
      </c>
      <c r="CA198" s="217" t="inlineStr">
        <is>
          <t/>
        </is>
      </c>
      <c r="CB198" s="218" t="inlineStr">
        <is>
          <t>Debt</t>
        </is>
      </c>
      <c r="CC198" s="219" t="inlineStr">
        <is>
          <t>Loan</t>
        </is>
      </c>
      <c r="CD198" s="220" t="inlineStr">
        <is>
          <t/>
        </is>
      </c>
      <c r="CE198" s="221" t="inlineStr">
        <is>
          <t/>
        </is>
      </c>
      <c r="CF198" s="222" t="inlineStr">
        <is>
          <t>Completed</t>
        </is>
      </c>
      <c r="CG198" s="223" t="inlineStr">
        <is>
          <t>0,59%</t>
        </is>
      </c>
      <c r="CH198" s="224" t="inlineStr">
        <is>
          <t>85</t>
        </is>
      </c>
      <c r="CI198" s="225" t="inlineStr">
        <is>
          <t>-0,05%</t>
        </is>
      </c>
      <c r="CJ198" s="226" t="inlineStr">
        <is>
          <t>-7,62%</t>
        </is>
      </c>
      <c r="CK198" s="227" t="inlineStr">
        <is>
          <t>0,86%</t>
        </is>
      </c>
      <c r="CL198" s="228" t="inlineStr">
        <is>
          <t>86</t>
        </is>
      </c>
      <c r="CM198" s="229" t="inlineStr">
        <is>
          <t>0,32%</t>
        </is>
      </c>
      <c r="CN198" s="230" t="inlineStr">
        <is>
          <t>82</t>
        </is>
      </c>
      <c r="CO198" s="231" t="inlineStr">
        <is>
          <t>0,39%</t>
        </is>
      </c>
      <c r="CP198" s="232" t="inlineStr">
        <is>
          <t>81</t>
        </is>
      </c>
      <c r="CQ198" s="233" t="inlineStr">
        <is>
          <t>1,32%</t>
        </is>
      </c>
      <c r="CR198" s="234" t="inlineStr">
        <is>
          <t>90</t>
        </is>
      </c>
      <c r="CS198" s="235" t="inlineStr">
        <is>
          <t/>
        </is>
      </c>
      <c r="CT198" s="236" t="inlineStr">
        <is>
          <t/>
        </is>
      </c>
      <c r="CU198" s="237" t="inlineStr">
        <is>
          <t>0,32%</t>
        </is>
      </c>
      <c r="CV198" s="238" t="inlineStr">
        <is>
          <t>86</t>
        </is>
      </c>
      <c r="CW198" s="239" t="inlineStr">
        <is>
          <t>2,22x</t>
        </is>
      </c>
      <c r="CX198" s="240" t="inlineStr">
        <is>
          <t>66</t>
        </is>
      </c>
      <c r="CY198" s="241" t="inlineStr">
        <is>
          <t>0,04x</t>
        </is>
      </c>
      <c r="CZ198" s="242" t="inlineStr">
        <is>
          <t>1,67%</t>
        </is>
      </c>
      <c r="DA198" s="243" t="inlineStr">
        <is>
          <t>3,29x</t>
        </is>
      </c>
      <c r="DB198" s="244" t="inlineStr">
        <is>
          <t>75</t>
        </is>
      </c>
      <c r="DC198" s="245" t="inlineStr">
        <is>
          <t>1,15x</t>
        </is>
      </c>
      <c r="DD198" s="246" t="inlineStr">
        <is>
          <t>51</t>
        </is>
      </c>
      <c r="DE198" s="247" t="inlineStr">
        <is>
          <t>0,89x</t>
        </is>
      </c>
      <c r="DF198" s="248" t="inlineStr">
        <is>
          <t>48</t>
        </is>
      </c>
      <c r="DG198" s="249" t="inlineStr">
        <is>
          <t>5,69x</t>
        </is>
      </c>
      <c r="DH198" s="250" t="inlineStr">
        <is>
          <t>80</t>
        </is>
      </c>
      <c r="DI198" s="251" t="inlineStr">
        <is>
          <t/>
        </is>
      </c>
      <c r="DJ198" s="252" t="inlineStr">
        <is>
          <t/>
        </is>
      </c>
      <c r="DK198" s="253" t="inlineStr">
        <is>
          <t>1,15x</t>
        </is>
      </c>
      <c r="DL198" s="254" t="inlineStr">
        <is>
          <t>53</t>
        </is>
      </c>
      <c r="DM198" s="255" t="inlineStr">
        <is>
          <t>601</t>
        </is>
      </c>
      <c r="DN198" s="256" t="inlineStr">
        <is>
          <t>-162</t>
        </is>
      </c>
      <c r="DO198" s="257" t="inlineStr">
        <is>
          <t>-21,23%</t>
        </is>
      </c>
      <c r="DP198" s="258" t="inlineStr">
        <is>
          <t/>
        </is>
      </c>
      <c r="DQ198" s="259" t="inlineStr">
        <is>
          <t/>
        </is>
      </c>
      <c r="DR198" s="260" t="inlineStr">
        <is>
          <t/>
        </is>
      </c>
      <c r="DS198" s="261" t="inlineStr">
        <is>
          <t>205</t>
        </is>
      </c>
      <c r="DT198" s="262" t="inlineStr">
        <is>
          <t>-2</t>
        </is>
      </c>
      <c r="DU198" s="263" t="inlineStr">
        <is>
          <t>-0,97%</t>
        </is>
      </c>
      <c r="DV198" s="264" t="inlineStr">
        <is>
          <t>396</t>
        </is>
      </c>
      <c r="DW198" s="265" t="inlineStr">
        <is>
          <t>1</t>
        </is>
      </c>
      <c r="DX198" s="266" t="inlineStr">
        <is>
          <t>0,25%</t>
        </is>
      </c>
      <c r="DY198" s="267" t="inlineStr">
        <is>
          <t>PitchBook Research</t>
        </is>
      </c>
      <c r="DZ198" s="786">
        <f>HYPERLINK("https://my.pitchbook.com?c=60630-85", "View company online")</f>
      </c>
    </row>
    <row r="199">
      <c r="A199" s="9" t="inlineStr">
        <is>
          <t>99871-84</t>
        </is>
      </c>
      <c r="B199" s="10" t="inlineStr">
        <is>
          <t>Genomics</t>
        </is>
      </c>
      <c r="C199" s="11" t="inlineStr">
        <is>
          <t/>
        </is>
      </c>
      <c r="D199" s="12" t="inlineStr">
        <is>
          <t/>
        </is>
      </c>
      <c r="E199" s="13" t="inlineStr">
        <is>
          <t>99871-84</t>
        </is>
      </c>
      <c r="F199" s="14" t="inlineStr">
        <is>
          <t>Provider of a genetic inference technology designed to lead the genomic transformation of healthcare industry. The company's genetic inference technology uses an analytical platform for genomic sequence data analysis which maximize the impact of DNA sequencing, enabling pharmaceutical companies to de-risk the drug development process.</t>
        </is>
      </c>
      <c r="G199" s="15" t="inlineStr">
        <is>
          <t>Healthcare</t>
        </is>
      </c>
      <c r="H199" s="16" t="inlineStr">
        <is>
          <t>Healthcare Technology Systems</t>
        </is>
      </c>
      <c r="I199" s="17" t="inlineStr">
        <is>
          <t>Other Healthcare Technology Systems</t>
        </is>
      </c>
      <c r="J199" s="18" t="inlineStr">
        <is>
          <t>Other Healthcare Technology Systems*; Drug Discovery; Other Healthcare</t>
        </is>
      </c>
      <c r="K199" s="19" t="inlineStr">
        <is>
          <t>Life Sciences</t>
        </is>
      </c>
      <c r="L199" s="20" t="inlineStr">
        <is>
          <t>Venture Capital-Backed</t>
        </is>
      </c>
      <c r="M199" s="21" t="n">
        <v>13.03</v>
      </c>
      <c r="N199" s="22" t="inlineStr">
        <is>
          <t>Startup</t>
        </is>
      </c>
      <c r="O199" s="23" t="inlineStr">
        <is>
          <t>Privately Held (backing)</t>
        </is>
      </c>
      <c r="P199" s="24" t="inlineStr">
        <is>
          <t>Venture Capital</t>
        </is>
      </c>
      <c r="Q199" s="25" t="inlineStr">
        <is>
          <t>www.genomicsplc.com</t>
        </is>
      </c>
      <c r="R199" s="26" t="n">
        <v>30.0</v>
      </c>
      <c r="S199" s="27" t="inlineStr">
        <is>
          <t/>
        </is>
      </c>
      <c r="T199" s="28" t="inlineStr">
        <is>
          <t/>
        </is>
      </c>
      <c r="U199" s="29" t="n">
        <v>2014.0</v>
      </c>
      <c r="V199" s="30" t="inlineStr">
        <is>
          <t/>
        </is>
      </c>
      <c r="W199" s="31" t="inlineStr">
        <is>
          <t/>
        </is>
      </c>
      <c r="X199" s="32" t="inlineStr">
        <is>
          <t/>
        </is>
      </c>
      <c r="Y199" s="33" t="inlineStr">
        <is>
          <t/>
        </is>
      </c>
      <c r="Z199" s="34" t="inlineStr">
        <is>
          <t/>
        </is>
      </c>
      <c r="AA199" s="35" t="inlineStr">
        <is>
          <t/>
        </is>
      </c>
      <c r="AB199" s="36" t="inlineStr">
        <is>
          <t/>
        </is>
      </c>
      <c r="AC199" s="37" t="inlineStr">
        <is>
          <t/>
        </is>
      </c>
      <c r="AD199" s="38" t="inlineStr">
        <is>
          <t/>
        </is>
      </c>
      <c r="AE199" s="39" t="inlineStr">
        <is>
          <t>85910-77P</t>
        </is>
      </c>
      <c r="AF199" s="40" t="inlineStr">
        <is>
          <t>John Colenutt</t>
        </is>
      </c>
      <c r="AG199" s="41" t="inlineStr">
        <is>
          <t>Chief Executive Officer &amp; Board Member</t>
        </is>
      </c>
      <c r="AH199" s="42" t="inlineStr">
        <is>
          <t>john.colenutt@genomicsplc.com</t>
        </is>
      </c>
      <c r="AI199" s="43" t="inlineStr">
        <is>
          <t>+44 (0)77 7186 5886</t>
        </is>
      </c>
      <c r="AJ199" s="44" t="inlineStr">
        <is>
          <t>Oxford, United Kingdom</t>
        </is>
      </c>
      <c r="AK199" s="45" t="inlineStr">
        <is>
          <t>King Charles House</t>
        </is>
      </c>
      <c r="AL199" s="46" t="inlineStr">
        <is>
          <t>Park End Street</t>
        </is>
      </c>
      <c r="AM199" s="47" t="inlineStr">
        <is>
          <t>Oxford</t>
        </is>
      </c>
      <c r="AN199" s="48" t="inlineStr">
        <is>
          <t>England</t>
        </is>
      </c>
      <c r="AO199" s="49" t="inlineStr">
        <is>
          <t>OX1 1JD</t>
        </is>
      </c>
      <c r="AP199" s="50" t="inlineStr">
        <is>
          <t>United Kingdom</t>
        </is>
      </c>
      <c r="AQ199" s="51" t="inlineStr">
        <is>
          <t>+44 (0)18 6598 1600</t>
        </is>
      </c>
      <c r="AR199" s="52" t="inlineStr">
        <is>
          <t/>
        </is>
      </c>
      <c r="AS199" s="53" t="inlineStr">
        <is>
          <t>info@genomicslplc.com</t>
        </is>
      </c>
      <c r="AT199" s="54" t="inlineStr">
        <is>
          <t>Europe</t>
        </is>
      </c>
      <c r="AU199" s="55" t="inlineStr">
        <is>
          <t>Western Europe</t>
        </is>
      </c>
      <c r="AV199" s="56" t="inlineStr">
        <is>
          <t>The company received $3 million of grant funding from Small Business Research Initiative on March 12, 2015. Previously, the company raised GBP 10.3 million of Series A venture funding from Invesco Perpetual, Oxford Spin-out Equity Management and Lansdowne Partners on November 26, 2014. Woodford Investment Management, IP Group and University of Oxford Endowment also participated in that round.</t>
        </is>
      </c>
      <c r="AW199" s="57" t="inlineStr">
        <is>
          <t>Invesco Perpetual, IP Group, Lansdowne Partners, Oxford Spin-out Equity Management, Small Business Research Initiative, University of Oxford Endowment, Woodford Investment Management</t>
        </is>
      </c>
      <c r="AX199" s="58" t="n">
        <v>7.0</v>
      </c>
      <c r="AY199" s="59" t="inlineStr">
        <is>
          <t/>
        </is>
      </c>
      <c r="AZ199" s="60" t="inlineStr">
        <is>
          <t/>
        </is>
      </c>
      <c r="BA199" s="61" t="inlineStr">
        <is>
          <t/>
        </is>
      </c>
      <c r="BB199" s="62" t="inlineStr">
        <is>
          <t>IP Group (www.ipgroupplc.com), Lansdowne Partners (www.lansdownepartners.com), Oxford Spin-out Equity Management (www.osem.ox.ac.uk), University of Oxford Endowment (www.ox.ac.uk), Woodford Investment Management (woodfordfunds.com)</t>
        </is>
      </c>
      <c r="BC199" s="63" t="inlineStr">
        <is>
          <t/>
        </is>
      </c>
      <c r="BD199" s="64" t="inlineStr">
        <is>
          <t/>
        </is>
      </c>
      <c r="BE199" s="65" t="inlineStr">
        <is>
          <t/>
        </is>
      </c>
      <c r="BF199" s="66" t="inlineStr">
        <is>
          <t/>
        </is>
      </c>
      <c r="BG199" s="67" t="inlineStr">
        <is>
          <t/>
        </is>
      </c>
      <c r="BH199" s="68" t="inlineStr">
        <is>
          <t/>
        </is>
      </c>
      <c r="BI199" s="69" t="inlineStr">
        <is>
          <t/>
        </is>
      </c>
      <c r="BJ199" s="70" t="inlineStr">
        <is>
          <t/>
        </is>
      </c>
      <c r="BK199" s="71" t="inlineStr">
        <is>
          <t/>
        </is>
      </c>
      <c r="BL199" s="72" t="inlineStr">
        <is>
          <t>Early Stage VC</t>
        </is>
      </c>
      <c r="BM199" s="73" t="inlineStr">
        <is>
          <t/>
        </is>
      </c>
      <c r="BN199" s="74" t="inlineStr">
        <is>
          <t/>
        </is>
      </c>
      <c r="BO199" s="75" t="inlineStr">
        <is>
          <t>Venture Capital</t>
        </is>
      </c>
      <c r="BP199" s="76" t="inlineStr">
        <is>
          <t/>
        </is>
      </c>
      <c r="BQ199" s="77" t="inlineStr">
        <is>
          <t/>
        </is>
      </c>
      <c r="BR199" s="78" t="inlineStr">
        <is>
          <t/>
        </is>
      </c>
      <c r="BS199" s="79" t="inlineStr">
        <is>
          <t>Completed</t>
        </is>
      </c>
      <c r="BT199" s="80" t="n">
        <v>42075.0</v>
      </c>
      <c r="BU199" s="81" t="n">
        <v>2.77</v>
      </c>
      <c r="BV199" s="82" t="inlineStr">
        <is>
          <t>Actual</t>
        </is>
      </c>
      <c r="BW199" s="83" t="inlineStr">
        <is>
          <t/>
        </is>
      </c>
      <c r="BX199" s="84" t="inlineStr">
        <is>
          <t/>
        </is>
      </c>
      <c r="BY199" s="85" t="inlineStr">
        <is>
          <t>Grant</t>
        </is>
      </c>
      <c r="BZ199" s="86" t="inlineStr">
        <is>
          <t/>
        </is>
      </c>
      <c r="CA199" s="87" t="inlineStr">
        <is>
          <t/>
        </is>
      </c>
      <c r="CB199" s="88" t="inlineStr">
        <is>
          <t>Other</t>
        </is>
      </c>
      <c r="CC199" s="89" t="inlineStr">
        <is>
          <t/>
        </is>
      </c>
      <c r="CD199" s="90" t="inlineStr">
        <is>
          <t/>
        </is>
      </c>
      <c r="CE199" s="91" t="inlineStr">
        <is>
          <t/>
        </is>
      </c>
      <c r="CF199" s="92" t="inlineStr">
        <is>
          <t>Completed</t>
        </is>
      </c>
      <c r="CG199" s="93" t="inlineStr">
        <is>
          <t>0,21%</t>
        </is>
      </c>
      <c r="CH199" s="94" t="inlineStr">
        <is>
          <t>78</t>
        </is>
      </c>
      <c r="CI199" s="95" t="inlineStr">
        <is>
          <t>0,08%</t>
        </is>
      </c>
      <c r="CJ199" s="96" t="inlineStr">
        <is>
          <t>66,27%</t>
        </is>
      </c>
      <c r="CK199" s="97" t="inlineStr">
        <is>
          <t>-0,43%</t>
        </is>
      </c>
      <c r="CL199" s="98" t="inlineStr">
        <is>
          <t>13</t>
        </is>
      </c>
      <c r="CM199" s="99" t="inlineStr">
        <is>
          <t>0,85%</t>
        </is>
      </c>
      <c r="CN199" s="100" t="inlineStr">
        <is>
          <t>95</t>
        </is>
      </c>
      <c r="CO199" s="101" t="inlineStr">
        <is>
          <t>0,00%</t>
        </is>
      </c>
      <c r="CP199" s="102" t="inlineStr">
        <is>
          <t>26</t>
        </is>
      </c>
      <c r="CQ199" s="103" t="inlineStr">
        <is>
          <t>-0,86%</t>
        </is>
      </c>
      <c r="CR199" s="104" t="inlineStr">
        <is>
          <t>4</t>
        </is>
      </c>
      <c r="CS199" s="105" t="inlineStr">
        <is>
          <t/>
        </is>
      </c>
      <c r="CT199" s="106" t="inlineStr">
        <is>
          <t/>
        </is>
      </c>
      <c r="CU199" s="107" t="inlineStr">
        <is>
          <t>0,85%</t>
        </is>
      </c>
      <c r="CV199" s="108" t="inlineStr">
        <is>
          <t>96</t>
        </is>
      </c>
      <c r="CW199" s="109" t="inlineStr">
        <is>
          <t>2,51x</t>
        </is>
      </c>
      <c r="CX199" s="110" t="inlineStr">
        <is>
          <t>68</t>
        </is>
      </c>
      <c r="CY199" s="111" t="inlineStr">
        <is>
          <t>0,04x</t>
        </is>
      </c>
      <c r="CZ199" s="112" t="inlineStr">
        <is>
          <t>1,74%</t>
        </is>
      </c>
      <c r="DA199" s="113" t="inlineStr">
        <is>
          <t>3,94x</t>
        </is>
      </c>
      <c r="DB199" s="114" t="inlineStr">
        <is>
          <t>77</t>
        </is>
      </c>
      <c r="DC199" s="115" t="inlineStr">
        <is>
          <t>1,08x</t>
        </is>
      </c>
      <c r="DD199" s="116" t="inlineStr">
        <is>
          <t>50</t>
        </is>
      </c>
      <c r="DE199" s="117" t="inlineStr">
        <is>
          <t>1,33x</t>
        </is>
      </c>
      <c r="DF199" s="118" t="inlineStr">
        <is>
          <t>56</t>
        </is>
      </c>
      <c r="DG199" s="119" t="inlineStr">
        <is>
          <t>6,56x</t>
        </is>
      </c>
      <c r="DH199" s="120" t="inlineStr">
        <is>
          <t>81</t>
        </is>
      </c>
      <c r="DI199" s="121" t="inlineStr">
        <is>
          <t/>
        </is>
      </c>
      <c r="DJ199" s="122" t="inlineStr">
        <is>
          <t/>
        </is>
      </c>
      <c r="DK199" s="123" t="inlineStr">
        <is>
          <t>1,08x</t>
        </is>
      </c>
      <c r="DL199" s="124" t="inlineStr">
        <is>
          <t>52</t>
        </is>
      </c>
      <c r="DM199" s="125" t="inlineStr">
        <is>
          <t>812</t>
        </is>
      </c>
      <c r="DN199" s="126" t="inlineStr">
        <is>
          <t>17</t>
        </is>
      </c>
      <c r="DO199" s="127" t="inlineStr">
        <is>
          <t>2,14%</t>
        </is>
      </c>
      <c r="DP199" s="128" t="inlineStr">
        <is>
          <t/>
        </is>
      </c>
      <c r="DQ199" s="129" t="inlineStr">
        <is>
          <t/>
        </is>
      </c>
      <c r="DR199" s="130" t="inlineStr">
        <is>
          <t/>
        </is>
      </c>
      <c r="DS199" s="131" t="inlineStr">
        <is>
          <t>236</t>
        </is>
      </c>
      <c r="DT199" s="132" t="inlineStr">
        <is>
          <t>-2</t>
        </is>
      </c>
      <c r="DU199" s="133" t="inlineStr">
        <is>
          <t>-0,84%</t>
        </is>
      </c>
      <c r="DV199" s="134" t="inlineStr">
        <is>
          <t>368</t>
        </is>
      </c>
      <c r="DW199" s="135" t="inlineStr">
        <is>
          <t>2</t>
        </is>
      </c>
      <c r="DX199" s="136" t="inlineStr">
        <is>
          <t>0,55%</t>
        </is>
      </c>
      <c r="DY199" s="137" t="inlineStr">
        <is>
          <t>PitchBook Research</t>
        </is>
      </c>
      <c r="DZ199" s="785">
        <f>HYPERLINK("https://my.pitchbook.com?c=99871-84", "View company online")</f>
      </c>
    </row>
    <row r="200">
      <c r="A200" s="139" t="inlineStr">
        <is>
          <t>158212-45</t>
        </is>
      </c>
      <c r="B200" s="140" t="inlineStr">
        <is>
          <t>Genomics Medicine Ireland</t>
        </is>
      </c>
      <c r="C200" s="141" t="inlineStr">
        <is>
          <t/>
        </is>
      </c>
      <c r="D200" s="142" t="inlineStr">
        <is>
          <t>GMI</t>
        </is>
      </c>
      <c r="E200" s="143" t="inlineStr">
        <is>
          <t>158212-45</t>
        </is>
      </c>
      <c r="F200" s="144" t="inlineStr">
        <is>
          <t>Developer of a disease-specific database designed to focus on human genome to examine the relationship between genetics, health and disease. The company's disease-specific database helps to understand the role of genetics in disease and rare conditions and to lead to new prevention strategies and treatments, enabling scientists and researchers to resolve many unanswered questions regarding the genetic and lifestyle factors that contribute to a broad spectrum of incurable health conditions.</t>
        </is>
      </c>
      <c r="G200" s="145" t="inlineStr">
        <is>
          <t>Healthcare</t>
        </is>
      </c>
      <c r="H200" s="146" t="inlineStr">
        <is>
          <t>Pharmaceuticals and Biotechnology</t>
        </is>
      </c>
      <c r="I200" s="147" t="inlineStr">
        <is>
          <t>Biotechnology</t>
        </is>
      </c>
      <c r="J200" s="148" t="inlineStr">
        <is>
          <t>Biotechnology*; Pharmaceuticals</t>
        </is>
      </c>
      <c r="K200" s="149" t="inlineStr">
        <is>
          <t>Life Sciences</t>
        </is>
      </c>
      <c r="L200" s="150" t="inlineStr">
        <is>
          <t>Venture Capital-Backed</t>
        </is>
      </c>
      <c r="M200" s="151" t="n">
        <v>36.22</v>
      </c>
      <c r="N200" s="152" t="inlineStr">
        <is>
          <t>Startup</t>
        </is>
      </c>
      <c r="O200" s="153" t="inlineStr">
        <is>
          <t>Privately Held (backing)</t>
        </is>
      </c>
      <c r="P200" s="154" t="inlineStr">
        <is>
          <t>Venture Capital</t>
        </is>
      </c>
      <c r="Q200" s="155" t="inlineStr">
        <is>
          <t>www.genomicsmedicineireland.ie</t>
        </is>
      </c>
      <c r="R200" s="156" t="inlineStr">
        <is>
          <t/>
        </is>
      </c>
      <c r="S200" s="157" t="inlineStr">
        <is>
          <t/>
        </is>
      </c>
      <c r="T200" s="158" t="inlineStr">
        <is>
          <t/>
        </is>
      </c>
      <c r="U200" s="159" t="n">
        <v>2015.0</v>
      </c>
      <c r="V200" s="160" t="inlineStr">
        <is>
          <t/>
        </is>
      </c>
      <c r="W200" s="161" t="inlineStr">
        <is>
          <t/>
        </is>
      </c>
      <c r="X200" s="162" t="inlineStr">
        <is>
          <t/>
        </is>
      </c>
      <c r="Y200" s="163" t="inlineStr">
        <is>
          <t/>
        </is>
      </c>
      <c r="Z200" s="164" t="inlineStr">
        <is>
          <t/>
        </is>
      </c>
      <c r="AA200" s="165" t="inlineStr">
        <is>
          <t/>
        </is>
      </c>
      <c r="AB200" s="166" t="inlineStr">
        <is>
          <t/>
        </is>
      </c>
      <c r="AC200" s="167" t="inlineStr">
        <is>
          <t/>
        </is>
      </c>
      <c r="AD200" s="168" t="inlineStr">
        <is>
          <t/>
        </is>
      </c>
      <c r="AE200" s="169" t="inlineStr">
        <is>
          <t>79833-79P</t>
        </is>
      </c>
      <c r="AF200" s="170" t="inlineStr">
        <is>
          <t>Maurice Treacy</t>
        </is>
      </c>
      <c r="AG200" s="171" t="inlineStr">
        <is>
          <t>Co-Founder &amp; Director</t>
        </is>
      </c>
      <c r="AH200" s="172" t="inlineStr">
        <is>
          <t>maurice@genomicsmedicineireland.ie</t>
        </is>
      </c>
      <c r="AI200" s="173" t="inlineStr">
        <is>
          <t>+353 (0)1 567 6500</t>
        </is>
      </c>
      <c r="AJ200" s="174" t="inlineStr">
        <is>
          <t>Dublin, Ireland</t>
        </is>
      </c>
      <c r="AK200" s="175" t="inlineStr">
        <is>
          <t>Cherrywood Business Park</t>
        </is>
      </c>
      <c r="AL200" s="176" t="inlineStr">
        <is>
          <t>Building 4</t>
        </is>
      </c>
      <c r="AM200" s="177" t="inlineStr">
        <is>
          <t>Dublin</t>
        </is>
      </c>
      <c r="AN200" s="178" t="inlineStr">
        <is>
          <t/>
        </is>
      </c>
      <c r="AO200" s="179" t="inlineStr">
        <is>
          <t>D18 K7W4</t>
        </is>
      </c>
      <c r="AP200" s="180" t="inlineStr">
        <is>
          <t>Ireland</t>
        </is>
      </c>
      <c r="AQ200" s="181" t="inlineStr">
        <is>
          <t>+353 (0)1 567 6500</t>
        </is>
      </c>
      <c r="AR200" s="182" t="inlineStr">
        <is>
          <t/>
        </is>
      </c>
      <c r="AS200" s="183" t="inlineStr">
        <is>
          <t>communications@genomicsmed.ie</t>
        </is>
      </c>
      <c r="AT200" s="184" t="inlineStr">
        <is>
          <t>Europe</t>
        </is>
      </c>
      <c r="AU200" s="185" t="inlineStr">
        <is>
          <t>Western Europe</t>
        </is>
      </c>
      <c r="AV200" s="186" t="inlineStr">
        <is>
          <t>The company raised $40 million of Series A venture funding from ARCH Venture Partners, Polaris Partners and GV on October 26, 2016. Maveron and Ireland Strategic Investment Fund also participated in the round. The company intends to use the funds to establish a genomic research and development program in Dublin and to create 150 skilled jobs focused on advanced genomic research over the next three years.</t>
        </is>
      </c>
      <c r="AW200" s="187" t="inlineStr">
        <is>
          <t>ARCH Venture Partners, GV, Ireland Strategic Investment Fund, Maveron, Polaris Partners</t>
        </is>
      </c>
      <c r="AX200" s="188" t="n">
        <v>5.0</v>
      </c>
      <c r="AY200" s="189" t="inlineStr">
        <is>
          <t/>
        </is>
      </c>
      <c r="AZ200" s="190" t="inlineStr">
        <is>
          <t/>
        </is>
      </c>
      <c r="BA200" s="191" t="inlineStr">
        <is>
          <t/>
        </is>
      </c>
      <c r="BB200" s="192" t="inlineStr">
        <is>
          <t>ARCH Venture Partners (www.archventure.com), GV (www.gv.com), Ireland Strategic Investment Fund (www.isif.ie), Maveron (www.maveron.com), Polaris Partners (www.polarispartners.com)</t>
        </is>
      </c>
      <c r="BC200" s="193" t="inlineStr">
        <is>
          <t/>
        </is>
      </c>
      <c r="BD200" s="194" t="inlineStr">
        <is>
          <t/>
        </is>
      </c>
      <c r="BE200" s="195" t="inlineStr">
        <is>
          <t/>
        </is>
      </c>
      <c r="BF200" s="196" t="inlineStr">
        <is>
          <t/>
        </is>
      </c>
      <c r="BG200" s="197" t="n">
        <v>42005.0</v>
      </c>
      <c r="BH200" s="198" t="inlineStr">
        <is>
          <t/>
        </is>
      </c>
      <c r="BI200" s="199" t="inlineStr">
        <is>
          <t/>
        </is>
      </c>
      <c r="BJ200" s="200" t="inlineStr">
        <is>
          <t/>
        </is>
      </c>
      <c r="BK200" s="201" t="inlineStr">
        <is>
          <t/>
        </is>
      </c>
      <c r="BL200" s="202" t="inlineStr">
        <is>
          <t>Early Stage VC</t>
        </is>
      </c>
      <c r="BM200" s="203" t="inlineStr">
        <is>
          <t/>
        </is>
      </c>
      <c r="BN200" s="204" t="inlineStr">
        <is>
          <t/>
        </is>
      </c>
      <c r="BO200" s="205" t="inlineStr">
        <is>
          <t>Venture Capital</t>
        </is>
      </c>
      <c r="BP200" s="206" t="inlineStr">
        <is>
          <t/>
        </is>
      </c>
      <c r="BQ200" s="207" t="inlineStr">
        <is>
          <t/>
        </is>
      </c>
      <c r="BR200" s="208" t="inlineStr">
        <is>
          <t/>
        </is>
      </c>
      <c r="BS200" s="209" t="inlineStr">
        <is>
          <t>Completed</t>
        </is>
      </c>
      <c r="BT200" s="210" t="n">
        <v>42669.0</v>
      </c>
      <c r="BU200" s="211" t="n">
        <v>36.22</v>
      </c>
      <c r="BV200" s="212" t="inlineStr">
        <is>
          <t>Actual</t>
        </is>
      </c>
      <c r="BW200" s="213" t="inlineStr">
        <is>
          <t/>
        </is>
      </c>
      <c r="BX200" s="214" t="inlineStr">
        <is>
          <t/>
        </is>
      </c>
      <c r="BY200" s="215" t="inlineStr">
        <is>
          <t>Early Stage VC</t>
        </is>
      </c>
      <c r="BZ200" s="216" t="inlineStr">
        <is>
          <t>Series A</t>
        </is>
      </c>
      <c r="CA200" s="217" t="inlineStr">
        <is>
          <t/>
        </is>
      </c>
      <c r="CB200" s="218" t="inlineStr">
        <is>
          <t>Venture Capital</t>
        </is>
      </c>
      <c r="CC200" s="219" t="inlineStr">
        <is>
          <t/>
        </is>
      </c>
      <c r="CD200" s="220" t="inlineStr">
        <is>
          <t/>
        </is>
      </c>
      <c r="CE200" s="221" t="inlineStr">
        <is>
          <t/>
        </is>
      </c>
      <c r="CF200" s="222" t="inlineStr">
        <is>
          <t>Completed</t>
        </is>
      </c>
      <c r="CG200" s="223" t="inlineStr">
        <is>
          <t>-1,11%</t>
        </is>
      </c>
      <c r="CH200" s="224" t="inlineStr">
        <is>
          <t>5</t>
        </is>
      </c>
      <c r="CI200" s="225" t="inlineStr">
        <is>
          <t>0,00%</t>
        </is>
      </c>
      <c r="CJ200" s="226" t="inlineStr">
        <is>
          <t>0,00%</t>
        </is>
      </c>
      <c r="CK200" s="227" t="inlineStr">
        <is>
          <t>-1,11%</t>
        </is>
      </c>
      <c r="CL200" s="228" t="inlineStr">
        <is>
          <t>8</t>
        </is>
      </c>
      <c r="CM200" s="229" t="inlineStr">
        <is>
          <t/>
        </is>
      </c>
      <c r="CN200" s="230" t="inlineStr">
        <is>
          <t/>
        </is>
      </c>
      <c r="CO200" s="231" t="inlineStr">
        <is>
          <t>-2,22%</t>
        </is>
      </c>
      <c r="CP200" s="232" t="inlineStr">
        <is>
          <t>15</t>
        </is>
      </c>
      <c r="CQ200" s="233" t="inlineStr">
        <is>
          <t>0,00%</t>
        </is>
      </c>
      <c r="CR200" s="234" t="inlineStr">
        <is>
          <t>13</t>
        </is>
      </c>
      <c r="CS200" s="235" t="inlineStr">
        <is>
          <t/>
        </is>
      </c>
      <c r="CT200" s="236" t="inlineStr">
        <is>
          <t/>
        </is>
      </c>
      <c r="CU200" s="237" t="inlineStr">
        <is>
          <t/>
        </is>
      </c>
      <c r="CV200" s="238" t="inlineStr">
        <is>
          <t/>
        </is>
      </c>
      <c r="CW200" s="239" t="inlineStr">
        <is>
          <t>0,21x</t>
        </is>
      </c>
      <c r="CX200" s="240" t="inlineStr">
        <is>
          <t>18</t>
        </is>
      </c>
      <c r="CY200" s="241" t="inlineStr">
        <is>
          <t>0,00x</t>
        </is>
      </c>
      <c r="CZ200" s="242" t="inlineStr">
        <is>
          <t>1,07%</t>
        </is>
      </c>
      <c r="DA200" s="243" t="inlineStr">
        <is>
          <t>0,21x</t>
        </is>
      </c>
      <c r="DB200" s="244" t="inlineStr">
        <is>
          <t>20</t>
        </is>
      </c>
      <c r="DC200" s="245" t="inlineStr">
        <is>
          <t/>
        </is>
      </c>
      <c r="DD200" s="246" t="inlineStr">
        <is>
          <t/>
        </is>
      </c>
      <c r="DE200" s="247" t="inlineStr">
        <is>
          <t>0,26x</t>
        </is>
      </c>
      <c r="DF200" s="248" t="inlineStr">
        <is>
          <t>23</t>
        </is>
      </c>
      <c r="DG200" s="249" t="inlineStr">
        <is>
          <t>0,17x</t>
        </is>
      </c>
      <c r="DH200" s="250" t="inlineStr">
        <is>
          <t>17</t>
        </is>
      </c>
      <c r="DI200" s="251" t="inlineStr">
        <is>
          <t/>
        </is>
      </c>
      <c r="DJ200" s="252" t="inlineStr">
        <is>
          <t/>
        </is>
      </c>
      <c r="DK200" s="253" t="inlineStr">
        <is>
          <t/>
        </is>
      </c>
      <c r="DL200" s="254" t="inlineStr">
        <is>
          <t/>
        </is>
      </c>
      <c r="DM200" s="255" t="inlineStr">
        <is>
          <t>179</t>
        </is>
      </c>
      <c r="DN200" s="256" t="inlineStr">
        <is>
          <t>-60</t>
        </is>
      </c>
      <c r="DO200" s="257" t="inlineStr">
        <is>
          <t>-25,10%</t>
        </is>
      </c>
      <c r="DP200" s="258" t="inlineStr">
        <is>
          <t/>
        </is>
      </c>
      <c r="DQ200" s="259" t="inlineStr">
        <is>
          <t/>
        </is>
      </c>
      <c r="DR200" s="260" t="inlineStr">
        <is>
          <t/>
        </is>
      </c>
      <c r="DS200" s="261" t="inlineStr">
        <is>
          <t>6</t>
        </is>
      </c>
      <c r="DT200" s="262" t="inlineStr">
        <is>
          <t>0</t>
        </is>
      </c>
      <c r="DU200" s="263" t="inlineStr">
        <is>
          <t>0,00%</t>
        </is>
      </c>
      <c r="DV200" s="264" t="inlineStr">
        <is>
          <t>161</t>
        </is>
      </c>
      <c r="DW200" s="265" t="inlineStr">
        <is>
          <t>-1</t>
        </is>
      </c>
      <c r="DX200" s="266" t="inlineStr">
        <is>
          <t>-0,62%</t>
        </is>
      </c>
      <c r="DY200" s="267" t="inlineStr">
        <is>
          <t>PitchBook Research</t>
        </is>
      </c>
      <c r="DZ200" s="786">
        <f>HYPERLINK("https://my.pitchbook.com?c=158212-45", "View company online")</f>
      </c>
    </row>
    <row r="201">
      <c r="A201" s="9" t="inlineStr">
        <is>
          <t>107613-01</t>
        </is>
      </c>
      <c r="B201" s="10" t="inlineStr">
        <is>
          <t>GetStocks</t>
        </is>
      </c>
      <c r="C201" s="11" t="inlineStr">
        <is>
          <t>Stox Infolink Systems</t>
        </is>
      </c>
      <c r="D201" s="12" t="inlineStr">
        <is>
          <t>Stox</t>
        </is>
      </c>
      <c r="E201" s="13" t="inlineStr">
        <is>
          <t>107613-01</t>
        </is>
      </c>
      <c r="F201" s="14" t="inlineStr">
        <is>
          <t>Provider of an online share trading platform. The company's platform helps with understanding returns on investments by providing financial data to brokers, consumers and public companies.</t>
        </is>
      </c>
      <c r="G201" s="15" t="inlineStr">
        <is>
          <t>Information Technology</t>
        </is>
      </c>
      <c r="H201" s="16" t="inlineStr">
        <is>
          <t>Software</t>
        </is>
      </c>
      <c r="I201" s="17" t="inlineStr">
        <is>
          <t>Financial Software</t>
        </is>
      </c>
      <c r="J201" s="18" t="inlineStr">
        <is>
          <t>Financial Software*; Social/Platform Software</t>
        </is>
      </c>
      <c r="K201" s="19" t="inlineStr">
        <is>
          <t>FinTech</t>
        </is>
      </c>
      <c r="L201" s="20" t="inlineStr">
        <is>
          <t>Venture Capital-Backed</t>
        </is>
      </c>
      <c r="M201" s="21" t="n">
        <v>7.16</v>
      </c>
      <c r="N201" s="22" t="inlineStr">
        <is>
          <t>Startup</t>
        </is>
      </c>
      <c r="O201" s="23" t="inlineStr">
        <is>
          <t>Privately Held (backing)</t>
        </is>
      </c>
      <c r="P201" s="24" t="inlineStr">
        <is>
          <t>Venture Capital</t>
        </is>
      </c>
      <c r="Q201" s="25" t="inlineStr">
        <is>
          <t>www.getstocks.com</t>
        </is>
      </c>
      <c r="R201" s="26" t="n">
        <v>14.0</v>
      </c>
      <c r="S201" s="27" t="inlineStr">
        <is>
          <t/>
        </is>
      </c>
      <c r="T201" s="28" t="inlineStr">
        <is>
          <t/>
        </is>
      </c>
      <c r="U201" s="29" t="n">
        <v>2013.0</v>
      </c>
      <c r="V201" s="30" t="inlineStr">
        <is>
          <t/>
        </is>
      </c>
      <c r="W201" s="31" t="inlineStr">
        <is>
          <t/>
        </is>
      </c>
      <c r="X201" s="32" t="inlineStr">
        <is>
          <t/>
        </is>
      </c>
      <c r="Y201" s="33" t="inlineStr">
        <is>
          <t/>
        </is>
      </c>
      <c r="Z201" s="34" t="inlineStr">
        <is>
          <t/>
        </is>
      </c>
      <c r="AA201" s="35" t="inlineStr">
        <is>
          <t/>
        </is>
      </c>
      <c r="AB201" s="36" t="inlineStr">
        <is>
          <t/>
        </is>
      </c>
      <c r="AC201" s="37" t="inlineStr">
        <is>
          <t/>
        </is>
      </c>
      <c r="AD201" s="38" t="inlineStr">
        <is>
          <t/>
        </is>
      </c>
      <c r="AE201" s="39" t="inlineStr">
        <is>
          <t>92910-34P</t>
        </is>
      </c>
      <c r="AF201" s="40" t="inlineStr">
        <is>
          <t>Roy Shaham</t>
        </is>
      </c>
      <c r="AG201" s="41" t="inlineStr">
        <is>
          <t>Co-Founder &amp; Chief Executive Officer</t>
        </is>
      </c>
      <c r="AH201" s="42" t="inlineStr">
        <is>
          <t>roy@getstocks.com</t>
        </is>
      </c>
      <c r="AI201" s="43" t="inlineStr">
        <is>
          <t>+357 (0)2 502 1030</t>
        </is>
      </c>
      <c r="AJ201" s="44" t="inlineStr">
        <is>
          <t>Limassol, Cyprus</t>
        </is>
      </c>
      <c r="AK201" s="45" t="inlineStr">
        <is>
          <t>25 Kolonakiou Avenue, Block A</t>
        </is>
      </c>
      <c r="AL201" s="46" t="inlineStr">
        <is>
          <t>Office 201, Zavos Kolonakiou Center, Ayios Athanasios</t>
        </is>
      </c>
      <c r="AM201" s="47" t="inlineStr">
        <is>
          <t>Limassol</t>
        </is>
      </c>
      <c r="AN201" s="48" t="inlineStr">
        <is>
          <t/>
        </is>
      </c>
      <c r="AO201" s="49" t="inlineStr">
        <is>
          <t>4103</t>
        </is>
      </c>
      <c r="AP201" s="50" t="inlineStr">
        <is>
          <t>Cyprus</t>
        </is>
      </c>
      <c r="AQ201" s="51" t="inlineStr">
        <is>
          <t>+357 (0)2 502 1030</t>
        </is>
      </c>
      <c r="AR201" s="52" t="inlineStr">
        <is>
          <t/>
        </is>
      </c>
      <c r="AS201" s="53" t="inlineStr">
        <is>
          <t/>
        </is>
      </c>
      <c r="AT201" s="54" t="inlineStr">
        <is>
          <t>Europe</t>
        </is>
      </c>
      <c r="AU201" s="55" t="inlineStr">
        <is>
          <t>Eastern Europe</t>
        </is>
      </c>
      <c r="AV201" s="56" t="inlineStr">
        <is>
          <t>The company raised $8 million of Series A venture funding from Singulariteam on May 19, 2015.</t>
        </is>
      </c>
      <c r="AW201" s="57" t="inlineStr">
        <is>
          <t>Singulariteam</t>
        </is>
      </c>
      <c r="AX201" s="58" t="n">
        <v>1.0</v>
      </c>
      <c r="AY201" s="59" t="inlineStr">
        <is>
          <t/>
        </is>
      </c>
      <c r="AZ201" s="60" t="inlineStr">
        <is>
          <t/>
        </is>
      </c>
      <c r="BA201" s="61" t="inlineStr">
        <is>
          <t/>
        </is>
      </c>
      <c r="BB201" s="62" t="inlineStr">
        <is>
          <t>Singulariteam (www.singulariteam.com)</t>
        </is>
      </c>
      <c r="BC201" s="63" t="inlineStr">
        <is>
          <t/>
        </is>
      </c>
      <c r="BD201" s="64" t="inlineStr">
        <is>
          <t/>
        </is>
      </c>
      <c r="BE201" s="65" t="inlineStr">
        <is>
          <t/>
        </is>
      </c>
      <c r="BF201" s="66" t="inlineStr">
        <is>
          <t/>
        </is>
      </c>
      <c r="BG201" s="67" t="n">
        <v>42143.0</v>
      </c>
      <c r="BH201" s="68" t="n">
        <v>7.16</v>
      </c>
      <c r="BI201" s="69" t="inlineStr">
        <is>
          <t>Actual</t>
        </is>
      </c>
      <c r="BJ201" s="70" t="inlineStr">
        <is>
          <t/>
        </is>
      </c>
      <c r="BK201" s="71" t="inlineStr">
        <is>
          <t/>
        </is>
      </c>
      <c r="BL201" s="72" t="inlineStr">
        <is>
          <t>Early Stage VC</t>
        </is>
      </c>
      <c r="BM201" s="73" t="inlineStr">
        <is>
          <t>Series A</t>
        </is>
      </c>
      <c r="BN201" s="74" t="inlineStr">
        <is>
          <t/>
        </is>
      </c>
      <c r="BO201" s="75" t="inlineStr">
        <is>
          <t>Venture Capital</t>
        </is>
      </c>
      <c r="BP201" s="76" t="inlineStr">
        <is>
          <t/>
        </is>
      </c>
      <c r="BQ201" s="77" t="inlineStr">
        <is>
          <t/>
        </is>
      </c>
      <c r="BR201" s="78" t="inlineStr">
        <is>
          <t/>
        </is>
      </c>
      <c r="BS201" s="79" t="inlineStr">
        <is>
          <t>Completed</t>
        </is>
      </c>
      <c r="BT201" s="80" t="n">
        <v>42143.0</v>
      </c>
      <c r="BU201" s="81" t="n">
        <v>7.16</v>
      </c>
      <c r="BV201" s="82" t="inlineStr">
        <is>
          <t>Actual</t>
        </is>
      </c>
      <c r="BW201" s="83" t="inlineStr">
        <is>
          <t/>
        </is>
      </c>
      <c r="BX201" s="84" t="inlineStr">
        <is>
          <t/>
        </is>
      </c>
      <c r="BY201" s="85" t="inlineStr">
        <is>
          <t>Early Stage VC</t>
        </is>
      </c>
      <c r="BZ201" s="86" t="inlineStr">
        <is>
          <t>Series A</t>
        </is>
      </c>
      <c r="CA201" s="87" t="inlineStr">
        <is>
          <t/>
        </is>
      </c>
      <c r="CB201" s="88" t="inlineStr">
        <is>
          <t>Venture Capital</t>
        </is>
      </c>
      <c r="CC201" s="89" t="inlineStr">
        <is>
          <t/>
        </is>
      </c>
      <c r="CD201" s="90" t="inlineStr">
        <is>
          <t/>
        </is>
      </c>
      <c r="CE201" s="91" t="inlineStr">
        <is>
          <t/>
        </is>
      </c>
      <c r="CF201" s="92" t="inlineStr">
        <is>
          <t>Completed</t>
        </is>
      </c>
      <c r="CG201" s="93" t="inlineStr">
        <is>
          <t>-1,95%</t>
        </is>
      </c>
      <c r="CH201" s="94" t="inlineStr">
        <is>
          <t>3</t>
        </is>
      </c>
      <c r="CI201" s="95" t="inlineStr">
        <is>
          <t>-0,01%</t>
        </is>
      </c>
      <c r="CJ201" s="96" t="inlineStr">
        <is>
          <t>-0,43%</t>
        </is>
      </c>
      <c r="CK201" s="97" t="inlineStr">
        <is>
          <t>-3,87%</t>
        </is>
      </c>
      <c r="CL201" s="98" t="inlineStr">
        <is>
          <t>2</t>
        </is>
      </c>
      <c r="CM201" s="99" t="inlineStr">
        <is>
          <t>-0,03%</t>
        </is>
      </c>
      <c r="CN201" s="100" t="inlineStr">
        <is>
          <t>12</t>
        </is>
      </c>
      <c r="CO201" s="101" t="inlineStr">
        <is>
          <t>-3,87%</t>
        </is>
      </c>
      <c r="CP201" s="102" t="inlineStr">
        <is>
          <t>9</t>
        </is>
      </c>
      <c r="CQ201" s="103" t="inlineStr">
        <is>
          <t/>
        </is>
      </c>
      <c r="CR201" s="104" t="inlineStr">
        <is>
          <t/>
        </is>
      </c>
      <c r="CS201" s="105" t="inlineStr">
        <is>
          <t/>
        </is>
      </c>
      <c r="CT201" s="106" t="inlineStr">
        <is>
          <t/>
        </is>
      </c>
      <c r="CU201" s="107" t="inlineStr">
        <is>
          <t>-0,03%</t>
        </is>
      </c>
      <c r="CV201" s="108" t="inlineStr">
        <is>
          <t>15</t>
        </is>
      </c>
      <c r="CW201" s="109" t="inlineStr">
        <is>
          <t>8,70x</t>
        </is>
      </c>
      <c r="CX201" s="110" t="inlineStr">
        <is>
          <t>85</t>
        </is>
      </c>
      <c r="CY201" s="111" t="inlineStr">
        <is>
          <t>0,06x</t>
        </is>
      </c>
      <c r="CZ201" s="112" t="inlineStr">
        <is>
          <t>0,73%</t>
        </is>
      </c>
      <c r="DA201" s="113" t="inlineStr">
        <is>
          <t>10,93x</t>
        </is>
      </c>
      <c r="DB201" s="114" t="inlineStr">
        <is>
          <t>88</t>
        </is>
      </c>
      <c r="DC201" s="115" t="inlineStr">
        <is>
          <t>6,48x</t>
        </is>
      </c>
      <c r="DD201" s="116" t="inlineStr">
        <is>
          <t>79</t>
        </is>
      </c>
      <c r="DE201" s="117" t="inlineStr">
        <is>
          <t>10,93x</t>
        </is>
      </c>
      <c r="DF201" s="118" t="inlineStr">
        <is>
          <t>84</t>
        </is>
      </c>
      <c r="DG201" s="119" t="inlineStr">
        <is>
          <t/>
        </is>
      </c>
      <c r="DH201" s="120" t="inlineStr">
        <is>
          <t/>
        </is>
      </c>
      <c r="DI201" s="121" t="inlineStr">
        <is>
          <t/>
        </is>
      </c>
      <c r="DJ201" s="122" t="inlineStr">
        <is>
          <t/>
        </is>
      </c>
      <c r="DK201" s="123" t="inlineStr">
        <is>
          <t>6,48x</t>
        </is>
      </c>
      <c r="DL201" s="124" t="inlineStr">
        <is>
          <t>81</t>
        </is>
      </c>
      <c r="DM201" s="125" t="inlineStr">
        <is>
          <t>6.710</t>
        </is>
      </c>
      <c r="DN201" s="126" t="inlineStr">
        <is>
          <t>30</t>
        </is>
      </c>
      <c r="DO201" s="127" t="inlineStr">
        <is>
          <t>0,45%</t>
        </is>
      </c>
      <c r="DP201" s="128" t="inlineStr">
        <is>
          <t/>
        </is>
      </c>
      <c r="DQ201" s="129" t="inlineStr">
        <is>
          <t/>
        </is>
      </c>
      <c r="DR201" s="130" t="inlineStr">
        <is>
          <t/>
        </is>
      </c>
      <c r="DS201" s="131" t="inlineStr">
        <is>
          <t/>
        </is>
      </c>
      <c r="DT201" s="132" t="inlineStr">
        <is>
          <t/>
        </is>
      </c>
      <c r="DU201" s="133" t="inlineStr">
        <is>
          <t/>
        </is>
      </c>
      <c r="DV201" s="134" t="inlineStr">
        <is>
          <t>2.223</t>
        </is>
      </c>
      <c r="DW201" s="135" t="inlineStr">
        <is>
          <t>-3</t>
        </is>
      </c>
      <c r="DX201" s="136" t="inlineStr">
        <is>
          <t>-0,13%</t>
        </is>
      </c>
      <c r="DY201" s="137" t="inlineStr">
        <is>
          <t>PitchBook Research</t>
        </is>
      </c>
      <c r="DZ201" s="785">
        <f>HYPERLINK("https://my.pitchbook.com?c=107613-01", "View company online")</f>
      </c>
    </row>
    <row r="202">
      <c r="A202" s="139" t="inlineStr">
        <is>
          <t>169825-87</t>
        </is>
      </c>
      <c r="B202" s="140" t="inlineStr">
        <is>
          <t>Gilo Industries Group</t>
        </is>
      </c>
      <c r="C202" s="141" t="inlineStr">
        <is>
          <t/>
        </is>
      </c>
      <c r="D202" s="142" t="inlineStr">
        <is>
          <t/>
        </is>
      </c>
      <c r="E202" s="143" t="inlineStr">
        <is>
          <t>169825-87</t>
        </is>
      </c>
      <c r="F202" s="144" t="inlineStr">
        <is>
          <t>Designer, developer and manufacturer of advanced aerospace technology designed to change the game across defence, commercial and recreational aviation applications. The company's advanced aerospace technology focuses on foot-launched powered paragliders to extreme ultra-lightweight propulsion systems while meeting customer needs with high impact, best value aerospace products, systems and services.</t>
        </is>
      </c>
      <c r="G202" s="145" t="inlineStr">
        <is>
          <t>Business Products and Services (B2B)</t>
        </is>
      </c>
      <c r="H202" s="146" t="inlineStr">
        <is>
          <t>Commercial Products</t>
        </is>
      </c>
      <c r="I202" s="147" t="inlineStr">
        <is>
          <t>Aerospace and Defense</t>
        </is>
      </c>
      <c r="J202" s="148" t="inlineStr">
        <is>
          <t>Aerospace and Defense*</t>
        </is>
      </c>
      <c r="K202" s="149" t="inlineStr">
        <is>
          <t>Manufacturing</t>
        </is>
      </c>
      <c r="L202" s="150" t="inlineStr">
        <is>
          <t>Venture Capital-Backed</t>
        </is>
      </c>
      <c r="M202" s="151" t="n">
        <v>34.27</v>
      </c>
      <c r="N202" s="152" t="inlineStr">
        <is>
          <t>Generating Revenue</t>
        </is>
      </c>
      <c r="O202" s="153" t="inlineStr">
        <is>
          <t>Privately Held (backing)</t>
        </is>
      </c>
      <c r="P202" s="154" t="inlineStr">
        <is>
          <t>Venture Capital</t>
        </is>
      </c>
      <c r="Q202" s="155" t="inlineStr">
        <is>
          <t>www.giloindustriesgroup.com</t>
        </is>
      </c>
      <c r="R202" s="156" t="inlineStr">
        <is>
          <t/>
        </is>
      </c>
      <c r="S202" s="157" t="inlineStr">
        <is>
          <t/>
        </is>
      </c>
      <c r="T202" s="158" t="inlineStr">
        <is>
          <t/>
        </is>
      </c>
      <c r="U202" s="159" t="n">
        <v>2012.0</v>
      </c>
      <c r="V202" s="160" t="inlineStr">
        <is>
          <t/>
        </is>
      </c>
      <c r="W202" s="161" t="inlineStr">
        <is>
          <t/>
        </is>
      </c>
      <c r="X202" s="162" t="inlineStr">
        <is>
          <t/>
        </is>
      </c>
      <c r="Y202" s="163" t="n">
        <v>1.25866</v>
      </c>
      <c r="Z202" s="164" t="inlineStr">
        <is>
          <t/>
        </is>
      </c>
      <c r="AA202" s="165" t="n">
        <v>0.06431</v>
      </c>
      <c r="AB202" s="166" t="inlineStr">
        <is>
          <t/>
        </is>
      </c>
      <c r="AC202" s="167" t="n">
        <v>0.147</v>
      </c>
      <c r="AD202" s="168" t="inlineStr">
        <is>
          <t>FY 2015</t>
        </is>
      </c>
      <c r="AE202" s="169" t="inlineStr">
        <is>
          <t>154878-76P</t>
        </is>
      </c>
      <c r="AF202" s="170" t="inlineStr">
        <is>
          <t>James Edmondson</t>
        </is>
      </c>
      <c r="AG202" s="171" t="inlineStr">
        <is>
          <t>Board Member and Chief Executive Officer</t>
        </is>
      </c>
      <c r="AH202" s="172" t="inlineStr">
        <is>
          <t>jim.edmondson@giloindustriesgroup.com</t>
        </is>
      </c>
      <c r="AI202" s="173" t="inlineStr">
        <is>
          <t>+44 (0)17 4744 0515</t>
        </is>
      </c>
      <c r="AJ202" s="174" t="inlineStr">
        <is>
          <t>Dorset, United Kingdom</t>
        </is>
      </c>
      <c r="AK202" s="175" t="inlineStr">
        <is>
          <t>9 Chaldicott Barns, Tokes Lane</t>
        </is>
      </c>
      <c r="AL202" s="176" t="inlineStr">
        <is>
          <t>Semley</t>
        </is>
      </c>
      <c r="AM202" s="177" t="inlineStr">
        <is>
          <t>Dorset</t>
        </is>
      </c>
      <c r="AN202" s="178" t="inlineStr">
        <is>
          <t>England</t>
        </is>
      </c>
      <c r="AO202" s="179" t="inlineStr">
        <is>
          <t>SP7 9AW</t>
        </is>
      </c>
      <c r="AP202" s="180" t="inlineStr">
        <is>
          <t>United Kingdom</t>
        </is>
      </c>
      <c r="AQ202" s="181" t="inlineStr">
        <is>
          <t>+44 (0)17 4744 0515</t>
        </is>
      </c>
      <c r="AR202" s="182" t="inlineStr">
        <is>
          <t/>
        </is>
      </c>
      <c r="AS202" s="183" t="inlineStr">
        <is>
          <t>info@giloindustriesgroup.com</t>
        </is>
      </c>
      <c r="AT202" s="184" t="inlineStr">
        <is>
          <t>Europe</t>
        </is>
      </c>
      <c r="AU202" s="185" t="inlineStr">
        <is>
          <t>Western Europe</t>
        </is>
      </c>
      <c r="AV202" s="186" t="inlineStr">
        <is>
          <t>The company raised GBP 24.89 million of venture funding from Kuang-Chi on January 16, 2017, putting the pre-money valuation at GBP 40 million. Of the total amount, GBP 15.43 million was raised via convertible debt. The company will use the funds to improve and further commercialize its aviation technology.</t>
        </is>
      </c>
      <c r="AW202" s="187" t="inlineStr">
        <is>
          <t>Kuang-Chi</t>
        </is>
      </c>
      <c r="AX202" s="188" t="n">
        <v>1.0</v>
      </c>
      <c r="AY202" s="189" t="inlineStr">
        <is>
          <t/>
        </is>
      </c>
      <c r="AZ202" s="190" t="inlineStr">
        <is>
          <t/>
        </is>
      </c>
      <c r="BA202" s="191" t="inlineStr">
        <is>
          <t/>
        </is>
      </c>
      <c r="BB202" s="192" t="inlineStr">
        <is>
          <t>Kuang-Chi (kuang-chi.com)</t>
        </is>
      </c>
      <c r="BC202" s="193" t="inlineStr">
        <is>
          <t/>
        </is>
      </c>
      <c r="BD202" s="194" t="inlineStr">
        <is>
          <t/>
        </is>
      </c>
      <c r="BE202" s="195" t="inlineStr">
        <is>
          <t>BDO UK (Auditor)</t>
        </is>
      </c>
      <c r="BF202" s="196" t="inlineStr">
        <is>
          <t/>
        </is>
      </c>
      <c r="BG202" s="197" t="n">
        <v>41242.0</v>
      </c>
      <c r="BH202" s="198" t="n">
        <v>0.87</v>
      </c>
      <c r="BI202" s="199" t="inlineStr">
        <is>
          <t>Actual</t>
        </is>
      </c>
      <c r="BJ202" s="200" t="n">
        <v>8.25</v>
      </c>
      <c r="BK202" s="201" t="inlineStr">
        <is>
          <t>Actual</t>
        </is>
      </c>
      <c r="BL202" s="202" t="inlineStr">
        <is>
          <t>Early Stage VC</t>
        </is>
      </c>
      <c r="BM202" s="203" t="inlineStr">
        <is>
          <t/>
        </is>
      </c>
      <c r="BN202" s="204" t="inlineStr">
        <is>
          <t/>
        </is>
      </c>
      <c r="BO202" s="205" t="inlineStr">
        <is>
          <t>Venture Capital</t>
        </is>
      </c>
      <c r="BP202" s="206" t="inlineStr">
        <is>
          <t/>
        </is>
      </c>
      <c r="BQ202" s="207" t="inlineStr">
        <is>
          <t/>
        </is>
      </c>
      <c r="BR202" s="208" t="inlineStr">
        <is>
          <t/>
        </is>
      </c>
      <c r="BS202" s="209" t="inlineStr">
        <is>
          <t>Completed</t>
        </is>
      </c>
      <c r="BT202" s="210" t="n">
        <v>42751.0</v>
      </c>
      <c r="BU202" s="211" t="n">
        <v>28.92</v>
      </c>
      <c r="BV202" s="212" t="inlineStr">
        <is>
          <t>Actual</t>
        </is>
      </c>
      <c r="BW202" s="213" t="n">
        <v>57.46</v>
      </c>
      <c r="BX202" s="214" t="inlineStr">
        <is>
          <t>Actual</t>
        </is>
      </c>
      <c r="BY202" s="215" t="inlineStr">
        <is>
          <t>Early Stage VC</t>
        </is>
      </c>
      <c r="BZ202" s="216" t="inlineStr">
        <is>
          <t/>
        </is>
      </c>
      <c r="CA202" s="217" t="inlineStr">
        <is>
          <t/>
        </is>
      </c>
      <c r="CB202" s="218" t="inlineStr">
        <is>
          <t>Venture Capital</t>
        </is>
      </c>
      <c r="CC202" s="219" t="inlineStr">
        <is>
          <t>Convertible Debt</t>
        </is>
      </c>
      <c r="CD202" s="220" t="inlineStr">
        <is>
          <t/>
        </is>
      </c>
      <c r="CE202" s="221" t="inlineStr">
        <is>
          <t/>
        </is>
      </c>
      <c r="CF202" s="222" t="inlineStr">
        <is>
          <t>Completed</t>
        </is>
      </c>
      <c r="CG202" s="223" t="inlineStr">
        <is>
          <t>0,34%</t>
        </is>
      </c>
      <c r="CH202" s="224" t="inlineStr">
        <is>
          <t>81</t>
        </is>
      </c>
      <c r="CI202" s="225" t="inlineStr">
        <is>
          <t>-0,03%</t>
        </is>
      </c>
      <c r="CJ202" s="226" t="inlineStr">
        <is>
          <t>-8,04%</t>
        </is>
      </c>
      <c r="CK202" s="227" t="inlineStr">
        <is>
          <t>0,00%</t>
        </is>
      </c>
      <c r="CL202" s="228" t="inlineStr">
        <is>
          <t>18</t>
        </is>
      </c>
      <c r="CM202" s="229" t="inlineStr">
        <is>
          <t>0,68%</t>
        </is>
      </c>
      <c r="CN202" s="230" t="inlineStr">
        <is>
          <t>93</t>
        </is>
      </c>
      <c r="CO202" s="231" t="inlineStr">
        <is>
          <t>0,00%</t>
        </is>
      </c>
      <c r="CP202" s="232" t="inlineStr">
        <is>
          <t>26</t>
        </is>
      </c>
      <c r="CQ202" s="233" t="inlineStr">
        <is>
          <t>0,00%</t>
        </is>
      </c>
      <c r="CR202" s="234" t="inlineStr">
        <is>
          <t>13</t>
        </is>
      </c>
      <c r="CS202" s="235" t="inlineStr">
        <is>
          <t>0,57%</t>
        </is>
      </c>
      <c r="CT202" s="236" t="inlineStr">
        <is>
          <t>89</t>
        </is>
      </c>
      <c r="CU202" s="237" t="inlineStr">
        <is>
          <t>0,80%</t>
        </is>
      </c>
      <c r="CV202" s="238" t="inlineStr">
        <is>
          <t>96</t>
        </is>
      </c>
      <c r="CW202" s="239" t="inlineStr">
        <is>
          <t>1,02x</t>
        </is>
      </c>
      <c r="CX202" s="240" t="inlineStr">
        <is>
          <t>50</t>
        </is>
      </c>
      <c r="CY202" s="241" t="inlineStr">
        <is>
          <t>0,01x</t>
        </is>
      </c>
      <c r="CZ202" s="242" t="inlineStr">
        <is>
          <t>0,82%</t>
        </is>
      </c>
      <c r="DA202" s="243" t="inlineStr">
        <is>
          <t>0,87x</t>
        </is>
      </c>
      <c r="DB202" s="244" t="inlineStr">
        <is>
          <t>49</t>
        </is>
      </c>
      <c r="DC202" s="245" t="inlineStr">
        <is>
          <t>1,17x</t>
        </is>
      </c>
      <c r="DD202" s="246" t="inlineStr">
        <is>
          <t>51</t>
        </is>
      </c>
      <c r="DE202" s="247" t="inlineStr">
        <is>
          <t>0,43x</t>
        </is>
      </c>
      <c r="DF202" s="248" t="inlineStr">
        <is>
          <t>33</t>
        </is>
      </c>
      <c r="DG202" s="249" t="inlineStr">
        <is>
          <t>1,31x</t>
        </is>
      </c>
      <c r="DH202" s="250" t="inlineStr">
        <is>
          <t>56</t>
        </is>
      </c>
      <c r="DI202" s="251" t="inlineStr">
        <is>
          <t>1,90x</t>
        </is>
      </c>
      <c r="DJ202" s="252" t="inlineStr">
        <is>
          <t>61</t>
        </is>
      </c>
      <c r="DK202" s="253" t="inlineStr">
        <is>
          <t>0,43x</t>
        </is>
      </c>
      <c r="DL202" s="254" t="inlineStr">
        <is>
          <t>36</t>
        </is>
      </c>
      <c r="DM202" s="255" t="inlineStr">
        <is>
          <t>261</t>
        </is>
      </c>
      <c r="DN202" s="256" t="inlineStr">
        <is>
          <t>6</t>
        </is>
      </c>
      <c r="DO202" s="257" t="inlineStr">
        <is>
          <t>2,35%</t>
        </is>
      </c>
      <c r="DP202" s="258" t="inlineStr">
        <is>
          <t>1.521</t>
        </is>
      </c>
      <c r="DQ202" s="259" t="inlineStr">
        <is>
          <t>4</t>
        </is>
      </c>
      <c r="DR202" s="260" t="inlineStr">
        <is>
          <t>0,26%</t>
        </is>
      </c>
      <c r="DS202" s="261" t="inlineStr">
        <is>
          <t>47</t>
        </is>
      </c>
      <c r="DT202" s="262" t="inlineStr">
        <is>
          <t>-2</t>
        </is>
      </c>
      <c r="DU202" s="263" t="inlineStr">
        <is>
          <t>-4,08%</t>
        </is>
      </c>
      <c r="DV202" s="264" t="inlineStr">
        <is>
          <t>146</t>
        </is>
      </c>
      <c r="DW202" s="265" t="inlineStr">
        <is>
          <t>0</t>
        </is>
      </c>
      <c r="DX202" s="266" t="inlineStr">
        <is>
          <t>0,00%</t>
        </is>
      </c>
      <c r="DY202" s="267" t="inlineStr">
        <is>
          <t>PitchBook Research</t>
        </is>
      </c>
      <c r="DZ202" s="786">
        <f>HYPERLINK("https://my.pitchbook.com?c=169825-87", "View company online")</f>
      </c>
    </row>
    <row r="203">
      <c r="A203" s="9" t="inlineStr">
        <is>
          <t>56242-81</t>
        </is>
      </c>
      <c r="B203" s="10" t="inlineStr">
        <is>
          <t>GoEuro</t>
        </is>
      </c>
      <c r="C203" s="11" t="inlineStr">
        <is>
          <t/>
        </is>
      </c>
      <c r="D203" s="12" t="inlineStr">
        <is>
          <t/>
        </is>
      </c>
      <c r="E203" s="13" t="inlineStr">
        <is>
          <t>56242-81</t>
        </is>
      </c>
      <c r="F203" s="14" t="inlineStr">
        <is>
          <t>Provider of a travel search platform for European destinations. The company provides a platform which combines air, rail, bus and car rental options to enable its users to choose transports at the lowest price and access booking rather than having to browse several different websites.</t>
        </is>
      </c>
      <c r="G203" s="15" t="inlineStr">
        <is>
          <t>Information Technology</t>
        </is>
      </c>
      <c r="H203" s="16" t="inlineStr">
        <is>
          <t>Software</t>
        </is>
      </c>
      <c r="I203" s="17" t="inlineStr">
        <is>
          <t>Social/Platform Software</t>
        </is>
      </c>
      <c r="J203" s="18" t="inlineStr">
        <is>
          <t>Social/Platform Software*; Information Services (B2C)</t>
        </is>
      </c>
      <c r="K203" s="19" t="inlineStr">
        <is>
          <t/>
        </is>
      </c>
      <c r="L203" s="20" t="inlineStr">
        <is>
          <t>Venture Capital-Backed</t>
        </is>
      </c>
      <c r="M203" s="21" t="n">
        <v>128.07</v>
      </c>
      <c r="N203" s="22" t="inlineStr">
        <is>
          <t>Generating Revenue</t>
        </is>
      </c>
      <c r="O203" s="23" t="inlineStr">
        <is>
          <t>Privately Held (backing)</t>
        </is>
      </c>
      <c r="P203" s="24" t="inlineStr">
        <is>
          <t>Venture Capital</t>
        </is>
      </c>
      <c r="Q203" s="25" t="inlineStr">
        <is>
          <t>www.goeuro.com</t>
        </is>
      </c>
      <c r="R203" s="26" t="n">
        <v>200.0</v>
      </c>
      <c r="S203" s="27" t="inlineStr">
        <is>
          <t/>
        </is>
      </c>
      <c r="T203" s="28" t="inlineStr">
        <is>
          <t/>
        </is>
      </c>
      <c r="U203" s="29" t="n">
        <v>2012.0</v>
      </c>
      <c r="V203" s="30" t="inlineStr">
        <is>
          <t/>
        </is>
      </c>
      <c r="W203" s="31" t="inlineStr">
        <is>
          <t/>
        </is>
      </c>
      <c r="X203" s="32" t="inlineStr">
        <is>
          <t/>
        </is>
      </c>
      <c r="Y203" s="33" t="inlineStr">
        <is>
          <t/>
        </is>
      </c>
      <c r="Z203" s="34" t="inlineStr">
        <is>
          <t/>
        </is>
      </c>
      <c r="AA203" s="35" t="inlineStr">
        <is>
          <t/>
        </is>
      </c>
      <c r="AB203" s="36" t="inlineStr">
        <is>
          <t/>
        </is>
      </c>
      <c r="AC203" s="37" t="inlineStr">
        <is>
          <t/>
        </is>
      </c>
      <c r="AD203" s="38" t="inlineStr">
        <is>
          <t/>
        </is>
      </c>
      <c r="AE203" s="39" t="inlineStr">
        <is>
          <t>47405-08P</t>
        </is>
      </c>
      <c r="AF203" s="40" t="inlineStr">
        <is>
          <t>Naren Shaam</t>
        </is>
      </c>
      <c r="AG203" s="41" t="inlineStr">
        <is>
          <t>Founder, Chief Executive Officer, President &amp; Board Member</t>
        </is>
      </c>
      <c r="AH203" s="42" t="inlineStr">
        <is>
          <t>naren.shaam@goeuro.com</t>
        </is>
      </c>
      <c r="AI203" s="43" t="inlineStr">
        <is>
          <t/>
        </is>
      </c>
      <c r="AJ203" s="44" t="inlineStr">
        <is>
          <t>Berlin, Germany</t>
        </is>
      </c>
      <c r="AK203" s="45" t="inlineStr">
        <is>
          <t>Schönhauser Allee 180</t>
        </is>
      </c>
      <c r="AL203" s="46" t="inlineStr">
        <is>
          <t/>
        </is>
      </c>
      <c r="AM203" s="47" t="inlineStr">
        <is>
          <t>Berlin</t>
        </is>
      </c>
      <c r="AN203" s="48" t="inlineStr">
        <is>
          <t/>
        </is>
      </c>
      <c r="AO203" s="49" t="inlineStr">
        <is>
          <t>10119</t>
        </is>
      </c>
      <c r="AP203" s="50" t="inlineStr">
        <is>
          <t>Germany</t>
        </is>
      </c>
      <c r="AQ203" s="51" t="inlineStr">
        <is>
          <t/>
        </is>
      </c>
      <c r="AR203" s="52" t="inlineStr">
        <is>
          <t/>
        </is>
      </c>
      <c r="AS203" s="53" t="inlineStr">
        <is>
          <t/>
        </is>
      </c>
      <c r="AT203" s="54" t="inlineStr">
        <is>
          <t>Europe</t>
        </is>
      </c>
      <c r="AU203" s="55" t="inlineStr">
        <is>
          <t>Western Europe</t>
        </is>
      </c>
      <c r="AV203" s="56" t="inlineStr">
        <is>
          <t>The company raised $70 million of Series C venture funding from lead investors Silver Lake Technology Management and Kleiner Perkins Caufield &amp; Byers on October 4, 2016. Atomico, Battery Ventures, Goldman Sachs Investment Partners, Lakestar, New Enterprise Associates and undisclosed investors also participated. The company said it plans to use the funds to expand its ground travel and domestic flight booking service to 30 countries in Europe from the 12 mostly Western European markets it currently serves. Previously, the company raised $45 million of Series B venture funding in a deal led by Goldman Sachs Alternative Investments &amp; Manager Selection Group on December 9, 2015.</t>
        </is>
      </c>
      <c r="AW203" s="57" t="inlineStr">
        <is>
          <t>Atlantic Labs, Atomico, Battery Ventures, Christopher Rust, Diego Berdakin, Eric Wahlforss, Gene Zimon, Goldman Sachs Investment Partners, Ilkka Paananen, Kleiner Perkins Caufield &amp; Byers, Lakestar, New Enterprise Associates, Rajeev Madhavan, Sebastian Siemiatkowski, Silver Lake Management, Target Global, Tom Stafford, Witt Capital Partners, Yuri Milner</t>
        </is>
      </c>
      <c r="AX203" s="58" t="n">
        <v>19.0</v>
      </c>
      <c r="AY203" s="59" t="inlineStr">
        <is>
          <t/>
        </is>
      </c>
      <c r="AZ203" s="60" t="inlineStr">
        <is>
          <t>Hasso Plattner Ventures</t>
        </is>
      </c>
      <c r="BA203" s="61" t="inlineStr">
        <is>
          <t/>
        </is>
      </c>
      <c r="BB203" s="62" t="inlineStr">
        <is>
          <t>Atlantic Labs (www.atlanticlabs.de), Atomico (www.atomico.com), Battery Ventures (www.battery.com), Eric Wahlforss (eric.wahlforss.com), Kleiner Perkins Caufield &amp; Byers (www.kpcb.com), Lakestar (www.lakestar.com), New Enterprise Associates (www.nea.com), Silver Lake Management (www.silverlake.com), Target Global (www.targetglobal.vc)</t>
        </is>
      </c>
      <c r="BC203" s="63" t="inlineStr">
        <is>
          <t>Hasso Plattner Ventures (www.hp-ventures.com)</t>
        </is>
      </c>
      <c r="BD203" s="64" t="inlineStr">
        <is>
          <t/>
        </is>
      </c>
      <c r="BE203" s="65" t="inlineStr">
        <is>
          <t>Latham &amp; Watkins (Legal Advisor), Toolbox for HR (Advisor)</t>
        </is>
      </c>
      <c r="BF203" s="66" t="inlineStr">
        <is>
          <t>Silver Lake Management, Latham &amp; Watkins (Legal Advisor)</t>
        </is>
      </c>
      <c r="BG203" s="67" t="n">
        <v>41337.0</v>
      </c>
      <c r="BH203" s="68" t="n">
        <v>3.08</v>
      </c>
      <c r="BI203" s="69" t="inlineStr">
        <is>
          <t>Actual</t>
        </is>
      </c>
      <c r="BJ203" s="70" t="inlineStr">
        <is>
          <t/>
        </is>
      </c>
      <c r="BK203" s="71" t="inlineStr">
        <is>
          <t/>
        </is>
      </c>
      <c r="BL203" s="72" t="inlineStr">
        <is>
          <t>Seed Round</t>
        </is>
      </c>
      <c r="BM203" s="73" t="inlineStr">
        <is>
          <t>Seed</t>
        </is>
      </c>
      <c r="BN203" s="74" t="inlineStr">
        <is>
          <t/>
        </is>
      </c>
      <c r="BO203" s="75" t="inlineStr">
        <is>
          <t>Venture Capital</t>
        </is>
      </c>
      <c r="BP203" s="76" t="inlineStr">
        <is>
          <t/>
        </is>
      </c>
      <c r="BQ203" s="77" t="inlineStr">
        <is>
          <t/>
        </is>
      </c>
      <c r="BR203" s="78" t="inlineStr">
        <is>
          <t/>
        </is>
      </c>
      <c r="BS203" s="79" t="inlineStr">
        <is>
          <t>Completed</t>
        </is>
      </c>
      <c r="BT203" s="80" t="n">
        <v>42647.0</v>
      </c>
      <c r="BU203" s="81" t="n">
        <v>63.38</v>
      </c>
      <c r="BV203" s="82" t="inlineStr">
        <is>
          <t>Actual</t>
        </is>
      </c>
      <c r="BW203" s="83" t="inlineStr">
        <is>
          <t/>
        </is>
      </c>
      <c r="BX203" s="84" t="inlineStr">
        <is>
          <t/>
        </is>
      </c>
      <c r="BY203" s="85" t="inlineStr">
        <is>
          <t>Later Stage VC</t>
        </is>
      </c>
      <c r="BZ203" s="86" t="inlineStr">
        <is>
          <t>Series C</t>
        </is>
      </c>
      <c r="CA203" s="87" t="inlineStr">
        <is>
          <t/>
        </is>
      </c>
      <c r="CB203" s="88" t="inlineStr">
        <is>
          <t>Venture Capital</t>
        </is>
      </c>
      <c r="CC203" s="89" t="inlineStr">
        <is>
          <t>Senior Debt</t>
        </is>
      </c>
      <c r="CD203" s="90" t="inlineStr">
        <is>
          <t/>
        </is>
      </c>
      <c r="CE203" s="91" t="inlineStr">
        <is>
          <t/>
        </is>
      </c>
      <c r="CF203" s="92" t="inlineStr">
        <is>
          <t>Completed</t>
        </is>
      </c>
      <c r="CG203" s="93" t="inlineStr">
        <is>
          <t>1,48%</t>
        </is>
      </c>
      <c r="CH203" s="94" t="inlineStr">
        <is>
          <t>91</t>
        </is>
      </c>
      <c r="CI203" s="95" t="inlineStr">
        <is>
          <t>-0,07%</t>
        </is>
      </c>
      <c r="CJ203" s="96" t="inlineStr">
        <is>
          <t>-4,48%</t>
        </is>
      </c>
      <c r="CK203" s="97" t="inlineStr">
        <is>
          <t>0,22%</t>
        </is>
      </c>
      <c r="CL203" s="98" t="inlineStr">
        <is>
          <t>82</t>
        </is>
      </c>
      <c r="CM203" s="99" t="inlineStr">
        <is>
          <t>1,94%</t>
        </is>
      </c>
      <c r="CN203" s="100" t="inlineStr">
        <is>
          <t>99</t>
        </is>
      </c>
      <c r="CO203" s="101" t="inlineStr">
        <is>
          <t>-0,16%</t>
        </is>
      </c>
      <c r="CP203" s="102" t="inlineStr">
        <is>
          <t>25</t>
        </is>
      </c>
      <c r="CQ203" s="103" t="inlineStr">
        <is>
          <t>0,59%</t>
        </is>
      </c>
      <c r="CR203" s="104" t="inlineStr">
        <is>
          <t>87</t>
        </is>
      </c>
      <c r="CS203" s="105" t="inlineStr">
        <is>
          <t>3,60%</t>
        </is>
      </c>
      <c r="CT203" s="106" t="inlineStr">
        <is>
          <t>99</t>
        </is>
      </c>
      <c r="CU203" s="107" t="inlineStr">
        <is>
          <t>0,28%</t>
        </is>
      </c>
      <c r="CV203" s="108" t="inlineStr">
        <is>
          <t>83</t>
        </is>
      </c>
      <c r="CW203" s="109" t="inlineStr">
        <is>
          <t>435,56x</t>
        </is>
      </c>
      <c r="CX203" s="110" t="inlineStr">
        <is>
          <t>100</t>
        </is>
      </c>
      <c r="CY203" s="111" t="inlineStr">
        <is>
          <t>4,57x</t>
        </is>
      </c>
      <c r="CZ203" s="112" t="inlineStr">
        <is>
          <t>1,06%</t>
        </is>
      </c>
      <c r="DA203" s="113" t="inlineStr">
        <is>
          <t>1.023,11x</t>
        </is>
      </c>
      <c r="DB203" s="114" t="inlineStr">
        <is>
          <t>100</t>
        </is>
      </c>
      <c r="DC203" s="115" t="inlineStr">
        <is>
          <t>281,53x</t>
        </is>
      </c>
      <c r="DD203" s="116" t="inlineStr">
        <is>
          <t>99</t>
        </is>
      </c>
      <c r="DE203" s="117" t="inlineStr">
        <is>
          <t>1.972,56x</t>
        </is>
      </c>
      <c r="DF203" s="118" t="inlineStr">
        <is>
          <t>100</t>
        </is>
      </c>
      <c r="DG203" s="119" t="inlineStr">
        <is>
          <t>73,67x</t>
        </is>
      </c>
      <c r="DH203" s="120" t="inlineStr">
        <is>
          <t>98</t>
        </is>
      </c>
      <c r="DI203" s="121" t="inlineStr">
        <is>
          <t>552,26x</t>
        </is>
      </c>
      <c r="DJ203" s="122" t="inlineStr">
        <is>
          <t>99</t>
        </is>
      </c>
      <c r="DK203" s="123" t="inlineStr">
        <is>
          <t>10,80x</t>
        </is>
      </c>
      <c r="DL203" s="124" t="inlineStr">
        <is>
          <t>87</t>
        </is>
      </c>
      <c r="DM203" s="125" t="inlineStr">
        <is>
          <t>1.221.165</t>
        </is>
      </c>
      <c r="DN203" s="126" t="inlineStr">
        <is>
          <t>-24.121</t>
        </is>
      </c>
      <c r="DO203" s="127" t="inlineStr">
        <is>
          <t>-1,94%</t>
        </is>
      </c>
      <c r="DP203" s="128" t="inlineStr">
        <is>
          <t>436.727</t>
        </is>
      </c>
      <c r="DQ203" s="129" t="inlineStr">
        <is>
          <t>11.417</t>
        </is>
      </c>
      <c r="DR203" s="130" t="inlineStr">
        <is>
          <t>2,68%</t>
        </is>
      </c>
      <c r="DS203" s="131" t="inlineStr">
        <is>
          <t>2.649</t>
        </is>
      </c>
      <c r="DT203" s="132" t="inlineStr">
        <is>
          <t>11</t>
        </is>
      </c>
      <c r="DU203" s="133" t="inlineStr">
        <is>
          <t>0,42%</t>
        </is>
      </c>
      <c r="DV203" s="134" t="inlineStr">
        <is>
          <t>3.699</t>
        </is>
      </c>
      <c r="DW203" s="135" t="inlineStr">
        <is>
          <t>4</t>
        </is>
      </c>
      <c r="DX203" s="136" t="inlineStr">
        <is>
          <t>0,11%</t>
        </is>
      </c>
      <c r="DY203" s="137" t="inlineStr">
        <is>
          <t>PitchBook Research</t>
        </is>
      </c>
      <c r="DZ203" s="785">
        <f>HYPERLINK("https://my.pitchbook.com?c=56242-81", "View company online")</f>
      </c>
    </row>
    <row r="204">
      <c r="A204" s="139" t="inlineStr">
        <is>
          <t>168342-85</t>
        </is>
      </c>
      <c r="B204" s="140" t="inlineStr">
        <is>
          <t>Golem Network</t>
        </is>
      </c>
      <c r="C204" s="141" t="inlineStr">
        <is>
          <t/>
        </is>
      </c>
      <c r="D204" s="142" t="inlineStr">
        <is>
          <t>Golem</t>
        </is>
      </c>
      <c r="E204" s="143" t="inlineStr">
        <is>
          <t>168342-85</t>
        </is>
      </c>
      <c r="F204" s="144" t="inlineStr">
        <is>
          <t>Developer of decentralized supercomputers intended to create a resource distribution network. The company's decentralized supercomputers provide a peer-to-peer network, enabling both application owners and individual users ("requestors") to rent resources of other users' ("providers") machines</t>
        </is>
      </c>
      <c r="G204" s="145" t="inlineStr">
        <is>
          <t>Information Technology</t>
        </is>
      </c>
      <c r="H204" s="146" t="inlineStr">
        <is>
          <t>IT Services</t>
        </is>
      </c>
      <c r="I204" s="147" t="inlineStr">
        <is>
          <t>Other IT Services</t>
        </is>
      </c>
      <c r="J204" s="148" t="inlineStr">
        <is>
          <t>Other IT Services*; Wireless Communications Equipment</t>
        </is>
      </c>
      <c r="K204" s="149" t="inlineStr">
        <is>
          <t/>
        </is>
      </c>
      <c r="L204" s="150" t="inlineStr">
        <is>
          <t>Venture Capital-Backed</t>
        </is>
      </c>
      <c r="M204" s="151" t="n">
        <v>7.96</v>
      </c>
      <c r="N204" s="152" t="inlineStr">
        <is>
          <t>Startup</t>
        </is>
      </c>
      <c r="O204" s="153" t="inlineStr">
        <is>
          <t>Privately Held (backing)</t>
        </is>
      </c>
      <c r="P204" s="154" t="inlineStr">
        <is>
          <t>Venture Capital</t>
        </is>
      </c>
      <c r="Q204" s="155" t="inlineStr">
        <is>
          <t/>
        </is>
      </c>
      <c r="R204" s="156" t="inlineStr">
        <is>
          <t/>
        </is>
      </c>
      <c r="S204" s="157" t="inlineStr">
        <is>
          <t/>
        </is>
      </c>
      <c r="T204" s="158" t="inlineStr">
        <is>
          <t/>
        </is>
      </c>
      <c r="U204" s="159" t="n">
        <v>2016.0</v>
      </c>
      <c r="V204" s="160" t="inlineStr">
        <is>
          <t/>
        </is>
      </c>
      <c r="W204" s="161" t="inlineStr">
        <is>
          <t/>
        </is>
      </c>
      <c r="X204" s="162" t="inlineStr">
        <is>
          <t/>
        </is>
      </c>
      <c r="Y204" s="163" t="inlineStr">
        <is>
          <t/>
        </is>
      </c>
      <c r="Z204" s="164" t="inlineStr">
        <is>
          <t/>
        </is>
      </c>
      <c r="AA204" s="165" t="inlineStr">
        <is>
          <t/>
        </is>
      </c>
      <c r="AB204" s="166" t="inlineStr">
        <is>
          <t/>
        </is>
      </c>
      <c r="AC204" s="167" t="inlineStr">
        <is>
          <t/>
        </is>
      </c>
      <c r="AD204" s="168" t="inlineStr">
        <is>
          <t/>
        </is>
      </c>
      <c r="AE204" s="169" t="inlineStr">
        <is>
          <t>150473-26P</t>
        </is>
      </c>
      <c r="AF204" s="170" t="inlineStr">
        <is>
          <t>Julian Zawistowski</t>
        </is>
      </c>
      <c r="AG204" s="171" t="inlineStr">
        <is>
          <t>Co-Founder &amp; Chief Executive Officer</t>
        </is>
      </c>
      <c r="AH204" s="172" t="inlineStr">
        <is>
          <t>julian@golem.network</t>
        </is>
      </c>
      <c r="AI204" s="173" t="inlineStr">
        <is>
          <t/>
        </is>
      </c>
      <c r="AJ204" s="174" t="inlineStr">
        <is>
          <t>Warsaw, Poland</t>
        </is>
      </c>
      <c r="AK204" s="175" t="inlineStr">
        <is>
          <t/>
        </is>
      </c>
      <c r="AL204" s="176" t="inlineStr">
        <is>
          <t/>
        </is>
      </c>
      <c r="AM204" s="177" t="inlineStr">
        <is>
          <t>Warsaw</t>
        </is>
      </c>
      <c r="AN204" s="178" t="inlineStr">
        <is>
          <t/>
        </is>
      </c>
      <c r="AO204" s="179" t="inlineStr">
        <is>
          <t/>
        </is>
      </c>
      <c r="AP204" s="180" t="inlineStr">
        <is>
          <t>Poland</t>
        </is>
      </c>
      <c r="AQ204" s="181" t="inlineStr">
        <is>
          <t/>
        </is>
      </c>
      <c r="AR204" s="182" t="inlineStr">
        <is>
          <t/>
        </is>
      </c>
      <c r="AS204" s="183" t="inlineStr">
        <is>
          <t>contact@golemproject.net</t>
        </is>
      </c>
      <c r="AT204" s="184" t="inlineStr">
        <is>
          <t>Europe</t>
        </is>
      </c>
      <c r="AU204" s="185" t="inlineStr">
        <is>
          <t>Eastern Europe</t>
        </is>
      </c>
      <c r="AV204" s="186" t="inlineStr">
        <is>
          <t>The company raised $8.6 million of angel funding via crowdfunding platform Etherscan on November 21, 2016. XDL Capital Group also participated in the round.</t>
        </is>
      </c>
      <c r="AW204" s="187" t="inlineStr">
        <is>
          <t>XDL Capital Group</t>
        </is>
      </c>
      <c r="AX204" s="188" t="n">
        <v>1.0</v>
      </c>
      <c r="AY204" s="189" t="inlineStr">
        <is>
          <t/>
        </is>
      </c>
      <c r="AZ204" s="190" t="inlineStr">
        <is>
          <t/>
        </is>
      </c>
      <c r="BA204" s="191" t="inlineStr">
        <is>
          <t/>
        </is>
      </c>
      <c r="BB204" s="192" t="inlineStr">
        <is>
          <t>XDL Capital Group (www.xdl.com)</t>
        </is>
      </c>
      <c r="BC204" s="193" t="inlineStr">
        <is>
          <t/>
        </is>
      </c>
      <c r="BD204" s="194" t="inlineStr">
        <is>
          <t/>
        </is>
      </c>
      <c r="BE204" s="195" t="inlineStr">
        <is>
          <t/>
        </is>
      </c>
      <c r="BF204" s="196" t="inlineStr">
        <is>
          <t>Etherscan (Lead Manager or Arranger)</t>
        </is>
      </c>
      <c r="BG204" s="197" t="n">
        <v>42695.0</v>
      </c>
      <c r="BH204" s="198" t="n">
        <v>7.96</v>
      </c>
      <c r="BI204" s="199" t="inlineStr">
        <is>
          <t>Estimated</t>
        </is>
      </c>
      <c r="BJ204" s="200" t="inlineStr">
        <is>
          <t/>
        </is>
      </c>
      <c r="BK204" s="201" t="inlineStr">
        <is>
          <t/>
        </is>
      </c>
      <c r="BL204" s="202" t="inlineStr">
        <is>
          <t>Early Stage VC</t>
        </is>
      </c>
      <c r="BM204" s="203" t="inlineStr">
        <is>
          <t/>
        </is>
      </c>
      <c r="BN204" s="204" t="inlineStr">
        <is>
          <t/>
        </is>
      </c>
      <c r="BO204" s="205" t="inlineStr">
        <is>
          <t>Venture Capital</t>
        </is>
      </c>
      <c r="BP204" s="206" t="inlineStr">
        <is>
          <t/>
        </is>
      </c>
      <c r="BQ204" s="207" t="inlineStr">
        <is>
          <t/>
        </is>
      </c>
      <c r="BR204" s="208" t="inlineStr">
        <is>
          <t/>
        </is>
      </c>
      <c r="BS204" s="209" t="inlineStr">
        <is>
          <t>Completed</t>
        </is>
      </c>
      <c r="BT204" s="210" t="n">
        <v>42695.0</v>
      </c>
      <c r="BU204" s="211" t="n">
        <v>7.96</v>
      </c>
      <c r="BV204" s="212" t="inlineStr">
        <is>
          <t>Estimated</t>
        </is>
      </c>
      <c r="BW204" s="213" t="inlineStr">
        <is>
          <t/>
        </is>
      </c>
      <c r="BX204" s="214" t="inlineStr">
        <is>
          <t/>
        </is>
      </c>
      <c r="BY204" s="215" t="inlineStr">
        <is>
          <t>Early Stage VC</t>
        </is>
      </c>
      <c r="BZ204" s="216" t="inlineStr">
        <is>
          <t/>
        </is>
      </c>
      <c r="CA204" s="217" t="inlineStr">
        <is>
          <t/>
        </is>
      </c>
      <c r="CB204" s="218" t="inlineStr">
        <is>
          <t>Venture Capital</t>
        </is>
      </c>
      <c r="CC204" s="219" t="inlineStr">
        <is>
          <t/>
        </is>
      </c>
      <c r="CD204" s="220" t="inlineStr">
        <is>
          <t/>
        </is>
      </c>
      <c r="CE204" s="221" t="inlineStr">
        <is>
          <t/>
        </is>
      </c>
      <c r="CF204" s="222" t="inlineStr">
        <is>
          <t>Completed</t>
        </is>
      </c>
      <c r="CG204" s="223" t="inlineStr">
        <is>
          <t>-1,10%</t>
        </is>
      </c>
      <c r="CH204" s="224" t="inlineStr">
        <is>
          <t>5</t>
        </is>
      </c>
      <c r="CI204" s="225" t="inlineStr">
        <is>
          <t>0,22%</t>
        </is>
      </c>
      <c r="CJ204" s="226" t="inlineStr">
        <is>
          <t>16,64%</t>
        </is>
      </c>
      <c r="CK204" s="227" t="inlineStr">
        <is>
          <t>-6,90%</t>
        </is>
      </c>
      <c r="CL204" s="228" t="inlineStr">
        <is>
          <t>1</t>
        </is>
      </c>
      <c r="CM204" s="229" t="inlineStr">
        <is>
          <t>4,69%</t>
        </is>
      </c>
      <c r="CN204" s="230" t="inlineStr">
        <is>
          <t>100</t>
        </is>
      </c>
      <c r="CO204" s="231" t="inlineStr">
        <is>
          <t>-6,90%</t>
        </is>
      </c>
      <c r="CP204" s="232" t="inlineStr">
        <is>
          <t>4</t>
        </is>
      </c>
      <c r="CQ204" s="233" t="inlineStr">
        <is>
          <t/>
        </is>
      </c>
      <c r="CR204" s="234" t="inlineStr">
        <is>
          <t/>
        </is>
      </c>
      <c r="CS204" s="235" t="inlineStr">
        <is>
          <t>4,23%</t>
        </is>
      </c>
      <c r="CT204" s="236" t="inlineStr">
        <is>
          <t>100</t>
        </is>
      </c>
      <c r="CU204" s="237" t="inlineStr">
        <is>
          <t>5,15%</t>
        </is>
      </c>
      <c r="CV204" s="238" t="inlineStr">
        <is>
          <t>100</t>
        </is>
      </c>
      <c r="CW204" s="239" t="inlineStr">
        <is>
          <t>147,64x</t>
        </is>
      </c>
      <c r="CX204" s="240" t="inlineStr">
        <is>
          <t>98</t>
        </is>
      </c>
      <c r="CY204" s="241" t="inlineStr">
        <is>
          <t>4,61x</t>
        </is>
      </c>
      <c r="CZ204" s="242" t="inlineStr">
        <is>
          <t>3,23%</t>
        </is>
      </c>
      <c r="DA204" s="243" t="inlineStr">
        <is>
          <t>219,60x</t>
        </is>
      </c>
      <c r="DB204" s="244" t="inlineStr">
        <is>
          <t>99</t>
        </is>
      </c>
      <c r="DC204" s="245" t="inlineStr">
        <is>
          <t>75,67x</t>
        </is>
      </c>
      <c r="DD204" s="246" t="inlineStr">
        <is>
          <t>96</t>
        </is>
      </c>
      <c r="DE204" s="247" t="inlineStr">
        <is>
          <t>219,60x</t>
        </is>
      </c>
      <c r="DF204" s="248" t="inlineStr">
        <is>
          <t>98</t>
        </is>
      </c>
      <c r="DG204" s="249" t="inlineStr">
        <is>
          <t/>
        </is>
      </c>
      <c r="DH204" s="250" t="inlineStr">
        <is>
          <t/>
        </is>
      </c>
      <c r="DI204" s="251" t="inlineStr">
        <is>
          <t>7,98x</t>
        </is>
      </c>
      <c r="DJ204" s="252" t="inlineStr">
        <is>
          <t>80</t>
        </is>
      </c>
      <c r="DK204" s="253" t="inlineStr">
        <is>
          <t>143,37x</t>
        </is>
      </c>
      <c r="DL204" s="254" t="inlineStr">
        <is>
          <t>98</t>
        </is>
      </c>
      <c r="DM204" s="255" t="inlineStr">
        <is>
          <t>135.679</t>
        </is>
      </c>
      <c r="DN204" s="256" t="inlineStr">
        <is>
          <t>-1.876</t>
        </is>
      </c>
      <c r="DO204" s="257" t="inlineStr">
        <is>
          <t>-1,36%</t>
        </is>
      </c>
      <c r="DP204" s="258" t="inlineStr">
        <is>
          <t>6.207</t>
        </is>
      </c>
      <c r="DQ204" s="259" t="inlineStr">
        <is>
          <t>280</t>
        </is>
      </c>
      <c r="DR204" s="260" t="inlineStr">
        <is>
          <t>4,72%</t>
        </is>
      </c>
      <c r="DS204" s="261" t="inlineStr">
        <is>
          <t/>
        </is>
      </c>
      <c r="DT204" s="262" t="inlineStr">
        <is>
          <t/>
        </is>
      </c>
      <c r="DU204" s="263" t="inlineStr">
        <is>
          <t/>
        </is>
      </c>
      <c r="DV204" s="264" t="inlineStr">
        <is>
          <t>46.319</t>
        </is>
      </c>
      <c r="DW204" s="265" t="inlineStr">
        <is>
          <t>3.750</t>
        </is>
      </c>
      <c r="DX204" s="266" t="inlineStr">
        <is>
          <t>8,81%</t>
        </is>
      </c>
      <c r="DY204" s="267" t="inlineStr">
        <is>
          <t>PitchBook Research</t>
        </is>
      </c>
      <c r="DZ204" s="786">
        <f>HYPERLINK("https://my.pitchbook.com?c=168342-85", "View company online")</f>
      </c>
    </row>
    <row r="205">
      <c r="A205" s="9" t="inlineStr">
        <is>
          <t>104600-26</t>
        </is>
      </c>
      <c r="B205" s="10" t="inlineStr">
        <is>
          <t>Goodlord</t>
        </is>
      </c>
      <c r="C205" s="11" t="inlineStr">
        <is>
          <t/>
        </is>
      </c>
      <c r="D205" s="12" t="inlineStr">
        <is>
          <t/>
        </is>
      </c>
      <c r="E205" s="13" t="inlineStr">
        <is>
          <t>104600-26</t>
        </is>
      </c>
      <c r="F205" s="14" t="inlineStr">
        <is>
          <t>Developer of a cloud-based rental transaction platform designed to make the rental process easier and transparent. The company's rental transaction platform handles transactions and the paperwork normally associated with renting a home, enabling tenants to pay their holding deposits, complete their references and sign their lease agreement from their computer or mobile phone.</t>
        </is>
      </c>
      <c r="G205" s="15" t="inlineStr">
        <is>
          <t>Information Technology</t>
        </is>
      </c>
      <c r="H205" s="16" t="inlineStr">
        <is>
          <t>Software</t>
        </is>
      </c>
      <c r="I205" s="17" t="inlineStr">
        <is>
          <t>Application Software</t>
        </is>
      </c>
      <c r="J205" s="18" t="inlineStr">
        <is>
          <t>Application Software*; Information Services (B2C); Real Estate Services (B2C)</t>
        </is>
      </c>
      <c r="K205" s="19" t="inlineStr">
        <is>
          <t>Big Data, Mobile, SaaS</t>
        </is>
      </c>
      <c r="L205" s="20" t="inlineStr">
        <is>
          <t>Venture Capital-Backed</t>
        </is>
      </c>
      <c r="M205" s="21" t="n">
        <v>10.88</v>
      </c>
      <c r="N205" s="22" t="inlineStr">
        <is>
          <t>Product Development</t>
        </is>
      </c>
      <c r="O205" s="23" t="inlineStr">
        <is>
          <t>Privately Held (backing)</t>
        </is>
      </c>
      <c r="P205" s="24" t="inlineStr">
        <is>
          <t>Venture Capital</t>
        </is>
      </c>
      <c r="Q205" s="25" t="inlineStr">
        <is>
          <t>www.goodlord.co</t>
        </is>
      </c>
      <c r="R205" s="26" t="n">
        <v>117.0</v>
      </c>
      <c r="S205" s="27" t="inlineStr">
        <is>
          <t/>
        </is>
      </c>
      <c r="T205" s="28" t="inlineStr">
        <is>
          <t/>
        </is>
      </c>
      <c r="U205" s="29" t="n">
        <v>2014.0</v>
      </c>
      <c r="V205" s="30" t="inlineStr">
        <is>
          <t/>
        </is>
      </c>
      <c r="W205" s="31" t="inlineStr">
        <is>
          <t/>
        </is>
      </c>
      <c r="X205" s="32" t="inlineStr">
        <is>
          <t/>
        </is>
      </c>
      <c r="Y205" s="33" t="n">
        <v>1.18574</v>
      </c>
      <c r="Z205" s="34" t="inlineStr">
        <is>
          <t/>
        </is>
      </c>
      <c r="AA205" s="35" t="inlineStr">
        <is>
          <t/>
        </is>
      </c>
      <c r="AB205" s="36" t="inlineStr">
        <is>
          <t/>
        </is>
      </c>
      <c r="AC205" s="37" t="inlineStr">
        <is>
          <t/>
        </is>
      </c>
      <c r="AD205" s="38" t="inlineStr">
        <is>
          <t>FY 2016</t>
        </is>
      </c>
      <c r="AE205" s="39" t="inlineStr">
        <is>
          <t>108306-91P</t>
        </is>
      </c>
      <c r="AF205" s="40" t="inlineStr">
        <is>
          <t>Richard White</t>
        </is>
      </c>
      <c r="AG205" s="41" t="inlineStr">
        <is>
          <t>Co-Founder, Board Member &amp; Chief Executive Officer</t>
        </is>
      </c>
      <c r="AH205" s="42" t="inlineStr">
        <is>
          <t>richard@goodlord.co</t>
        </is>
      </c>
      <c r="AI205" s="43" t="inlineStr">
        <is>
          <t>+44 (0)20 3198 2060</t>
        </is>
      </c>
      <c r="AJ205" s="44" t="inlineStr">
        <is>
          <t>London, United Kingdom</t>
        </is>
      </c>
      <c r="AK205" s="45" t="inlineStr">
        <is>
          <t>2nd Floor</t>
        </is>
      </c>
      <c r="AL205" s="46" t="inlineStr">
        <is>
          <t>32 Leman Street</t>
        </is>
      </c>
      <c r="AM205" s="47" t="inlineStr">
        <is>
          <t>London</t>
        </is>
      </c>
      <c r="AN205" s="48" t="inlineStr">
        <is>
          <t>England</t>
        </is>
      </c>
      <c r="AO205" s="49" t="inlineStr">
        <is>
          <t>E1 8EW</t>
        </is>
      </c>
      <c r="AP205" s="50" t="inlineStr">
        <is>
          <t>United Kingdom</t>
        </is>
      </c>
      <c r="AQ205" s="51" t="inlineStr">
        <is>
          <t>+44 (0)20 3198 2060</t>
        </is>
      </c>
      <c r="AR205" s="52" t="inlineStr">
        <is>
          <t/>
        </is>
      </c>
      <c r="AS205" s="53" t="inlineStr">
        <is>
          <t>hello@goodlord.co</t>
        </is>
      </c>
      <c r="AT205" s="54" t="inlineStr">
        <is>
          <t>Europe</t>
        </is>
      </c>
      <c r="AU205" s="55" t="inlineStr">
        <is>
          <t>Western Europe</t>
        </is>
      </c>
      <c r="AV205" s="56" t="inlineStr">
        <is>
          <t>The company raised GBP 7.2 million of Series A venture funding in a deal led by Global Founders Capital on March 14, 2017. Ribbit Capital and LocalGlobe also participated in this round. The company intends to use the funds to improve the technology behind its service, and to double its team, with a focus on hiring more developers, engineers and salespeople. Earlier on May 17, 2016, the company raised GBP 2 million of seed funding from LocalGlobe Capital and Global Founders Capital.</t>
        </is>
      </c>
      <c r="AW205" s="57" t="inlineStr">
        <is>
          <t>Charlotte Street Capital, Global Founders Capital, LocalGlobe, Ribbit Capital, Timezone Ventures, Walking Ventures</t>
        </is>
      </c>
      <c r="AX205" s="58" t="n">
        <v>6.0</v>
      </c>
      <c r="AY205" s="59" t="inlineStr">
        <is>
          <t/>
        </is>
      </c>
      <c r="AZ205" s="60" t="inlineStr">
        <is>
          <t/>
        </is>
      </c>
      <c r="BA205" s="61" t="inlineStr">
        <is>
          <t/>
        </is>
      </c>
      <c r="BB205" s="62" t="inlineStr">
        <is>
          <t>Charlotte Street Capital (www.charlottestreetcapital.com), Global Founders Capital (www.globalfounders.vc), LocalGlobe (www.localglobe.vc), Ribbit Capital (www.ribbitcap.com), Timezone Ventures (www.timezoneventures.com), Walking Ventures (www.walking.vc)</t>
        </is>
      </c>
      <c r="BC205" s="63" t="inlineStr">
        <is>
          <t/>
        </is>
      </c>
      <c r="BD205" s="64" t="inlineStr">
        <is>
          <t/>
        </is>
      </c>
      <c r="BE205" s="65" t="inlineStr">
        <is>
          <t>Upscale UK (Consulting)</t>
        </is>
      </c>
      <c r="BF205" s="66" t="inlineStr">
        <is>
          <t>Crowdcube (Lead Manager or Arranger)</t>
        </is>
      </c>
      <c r="BG205" s="67" t="n">
        <v>42125.0</v>
      </c>
      <c r="BH205" s="68" t="n">
        <v>0.4</v>
      </c>
      <c r="BI205" s="69" t="inlineStr">
        <is>
          <t>Actual</t>
        </is>
      </c>
      <c r="BJ205" s="70" t="inlineStr">
        <is>
          <t/>
        </is>
      </c>
      <c r="BK205" s="71" t="inlineStr">
        <is>
          <t/>
        </is>
      </c>
      <c r="BL205" s="72" t="inlineStr">
        <is>
          <t>Angel (individual)</t>
        </is>
      </c>
      <c r="BM205" s="73" t="inlineStr">
        <is>
          <t>Angel</t>
        </is>
      </c>
      <c r="BN205" s="74" t="inlineStr">
        <is>
          <t/>
        </is>
      </c>
      <c r="BO205" s="75" t="inlineStr">
        <is>
          <t>Individual</t>
        </is>
      </c>
      <c r="BP205" s="76" t="inlineStr">
        <is>
          <t/>
        </is>
      </c>
      <c r="BQ205" s="77" t="inlineStr">
        <is>
          <t/>
        </is>
      </c>
      <c r="BR205" s="78" t="inlineStr">
        <is>
          <t/>
        </is>
      </c>
      <c r="BS205" s="79" t="inlineStr">
        <is>
          <t>Failed/Cancelled</t>
        </is>
      </c>
      <c r="BT205" s="80" t="n">
        <v>42808.0</v>
      </c>
      <c r="BU205" s="81" t="n">
        <v>8.31</v>
      </c>
      <c r="BV205" s="82" t="inlineStr">
        <is>
          <t>Actual</t>
        </is>
      </c>
      <c r="BW205" s="83" t="inlineStr">
        <is>
          <t/>
        </is>
      </c>
      <c r="BX205" s="84" t="inlineStr">
        <is>
          <t/>
        </is>
      </c>
      <c r="BY205" s="85" t="inlineStr">
        <is>
          <t>Early Stage VC</t>
        </is>
      </c>
      <c r="BZ205" s="86" t="inlineStr">
        <is>
          <t>Series A</t>
        </is>
      </c>
      <c r="CA205" s="87" t="inlineStr">
        <is>
          <t/>
        </is>
      </c>
      <c r="CB205" s="88" t="inlineStr">
        <is>
          <t>Venture Capital</t>
        </is>
      </c>
      <c r="CC205" s="89" t="inlineStr">
        <is>
          <t/>
        </is>
      </c>
      <c r="CD205" s="90" t="inlineStr">
        <is>
          <t/>
        </is>
      </c>
      <c r="CE205" s="91" t="inlineStr">
        <is>
          <t/>
        </is>
      </c>
      <c r="CF205" s="92" t="inlineStr">
        <is>
          <t>Completed</t>
        </is>
      </c>
      <c r="CG205" s="93" t="inlineStr">
        <is>
          <t>2,42%</t>
        </is>
      </c>
      <c r="CH205" s="94" t="inlineStr">
        <is>
          <t>95</t>
        </is>
      </c>
      <c r="CI205" s="95" t="inlineStr">
        <is>
          <t>0,06%</t>
        </is>
      </c>
      <c r="CJ205" s="96" t="inlineStr">
        <is>
          <t>2,44%</t>
        </is>
      </c>
      <c r="CK205" s="97" t="inlineStr">
        <is>
          <t>3,87%</t>
        </is>
      </c>
      <c r="CL205" s="98" t="inlineStr">
        <is>
          <t>95</t>
        </is>
      </c>
      <c r="CM205" s="99" t="inlineStr">
        <is>
          <t>0,97%</t>
        </is>
      </c>
      <c r="CN205" s="100" t="inlineStr">
        <is>
          <t>96</t>
        </is>
      </c>
      <c r="CO205" s="101" t="inlineStr">
        <is>
          <t>3,87%</t>
        </is>
      </c>
      <c r="CP205" s="102" t="inlineStr">
        <is>
          <t>94</t>
        </is>
      </c>
      <c r="CQ205" s="103" t="inlineStr">
        <is>
          <t/>
        </is>
      </c>
      <c r="CR205" s="104" t="inlineStr">
        <is>
          <t/>
        </is>
      </c>
      <c r="CS205" s="105" t="inlineStr">
        <is>
          <t>1,92%</t>
        </is>
      </c>
      <c r="CT205" s="106" t="inlineStr">
        <is>
          <t>98</t>
        </is>
      </c>
      <c r="CU205" s="107" t="inlineStr">
        <is>
          <t>0,03%</t>
        </is>
      </c>
      <c r="CV205" s="108" t="inlineStr">
        <is>
          <t>58</t>
        </is>
      </c>
      <c r="CW205" s="109" t="inlineStr">
        <is>
          <t>10,64x</t>
        </is>
      </c>
      <c r="CX205" s="110" t="inlineStr">
        <is>
          <t>87</t>
        </is>
      </c>
      <c r="CY205" s="111" t="inlineStr">
        <is>
          <t>0,09x</t>
        </is>
      </c>
      <c r="CZ205" s="112" t="inlineStr">
        <is>
          <t>0,89%</t>
        </is>
      </c>
      <c r="DA205" s="113" t="inlineStr">
        <is>
          <t>12,34x</t>
        </is>
      </c>
      <c r="DB205" s="114" t="inlineStr">
        <is>
          <t>89</t>
        </is>
      </c>
      <c r="DC205" s="115" t="inlineStr">
        <is>
          <t>8,94x</t>
        </is>
      </c>
      <c r="DD205" s="116" t="inlineStr">
        <is>
          <t>83</t>
        </is>
      </c>
      <c r="DE205" s="117" t="inlineStr">
        <is>
          <t>12,34x</t>
        </is>
      </c>
      <c r="DF205" s="118" t="inlineStr">
        <is>
          <t>85</t>
        </is>
      </c>
      <c r="DG205" s="119" t="inlineStr">
        <is>
          <t/>
        </is>
      </c>
      <c r="DH205" s="120" t="inlineStr">
        <is>
          <t/>
        </is>
      </c>
      <c r="DI205" s="121" t="inlineStr">
        <is>
          <t>0,72x</t>
        </is>
      </c>
      <c r="DJ205" s="122" t="inlineStr">
        <is>
          <t>45</t>
        </is>
      </c>
      <c r="DK205" s="123" t="inlineStr">
        <is>
          <t>17,15x</t>
        </is>
      </c>
      <c r="DL205" s="124" t="inlineStr">
        <is>
          <t>91</t>
        </is>
      </c>
      <c r="DM205" s="125" t="inlineStr">
        <is>
          <t>7.385</t>
        </is>
      </c>
      <c r="DN205" s="126" t="inlineStr">
        <is>
          <t>616</t>
        </is>
      </c>
      <c r="DO205" s="127" t="inlineStr">
        <is>
          <t>9,10%</t>
        </is>
      </c>
      <c r="DP205" s="128" t="inlineStr">
        <is>
          <t>574</t>
        </is>
      </c>
      <c r="DQ205" s="129" t="inlineStr">
        <is>
          <t>8</t>
        </is>
      </c>
      <c r="DR205" s="130" t="inlineStr">
        <is>
          <t>1,41%</t>
        </is>
      </c>
      <c r="DS205" s="131" t="inlineStr">
        <is>
          <t/>
        </is>
      </c>
      <c r="DT205" s="132" t="inlineStr">
        <is>
          <t/>
        </is>
      </c>
      <c r="DU205" s="133" t="inlineStr">
        <is>
          <t/>
        </is>
      </c>
      <c r="DV205" s="134" t="inlineStr">
        <is>
          <t>5.881</t>
        </is>
      </c>
      <c r="DW205" s="135" t="inlineStr">
        <is>
          <t>6</t>
        </is>
      </c>
      <c r="DX205" s="136" t="inlineStr">
        <is>
          <t>0,10%</t>
        </is>
      </c>
      <c r="DY205" s="137" t="inlineStr">
        <is>
          <t>PitchBook Research</t>
        </is>
      </c>
      <c r="DZ205" s="785">
        <f>HYPERLINK("https://my.pitchbook.com?c=104600-26", "View company online")</f>
      </c>
    </row>
    <row r="206">
      <c r="A206" s="139" t="inlineStr">
        <is>
          <t>166649-68</t>
        </is>
      </c>
      <c r="B206" s="140" t="inlineStr">
        <is>
          <t>Graphcore</t>
        </is>
      </c>
      <c r="C206" s="141" t="inlineStr">
        <is>
          <t/>
        </is>
      </c>
      <c r="D206" s="142" t="inlineStr">
        <is>
          <t/>
        </is>
      </c>
      <c r="E206" s="143" t="inlineStr">
        <is>
          <t>166649-68</t>
        </is>
      </c>
      <c r="F206" s="144" t="inlineStr">
        <is>
          <t>Developer of a processor designed to accelerate machine intelligence learning. The company's intelligence processing unit emphasizes massively parallel, low-precision floating-point computing and provides higher compute density than other solutions, and the C++ programming framework provides seamless interface to standard machine learning frameworks, with simple integration for existing applications written for Tensorflow, enabling researchers to explore machine intelligences across a much broader front than current solutions.</t>
        </is>
      </c>
      <c r="G206" s="145" t="inlineStr">
        <is>
          <t>Information Technology</t>
        </is>
      </c>
      <c r="H206" s="146" t="inlineStr">
        <is>
          <t>Computer Hardware</t>
        </is>
      </c>
      <c r="I206" s="147" t="inlineStr">
        <is>
          <t>Electronic Components</t>
        </is>
      </c>
      <c r="J206" s="148" t="inlineStr">
        <is>
          <t>Electronic Components*; Application Specific Semiconductors; Application Software</t>
        </is>
      </c>
      <c r="K206" s="149" t="inlineStr">
        <is>
          <t>Artificial Intelligence &amp; Machine Learning, Big Data, Mobile</t>
        </is>
      </c>
      <c r="L206" s="150" t="inlineStr">
        <is>
          <t>Venture Capital-Backed</t>
        </is>
      </c>
      <c r="M206" s="151" t="n">
        <v>54.21</v>
      </c>
      <c r="N206" s="152" t="inlineStr">
        <is>
          <t>Generating Revenue</t>
        </is>
      </c>
      <c r="O206" s="153" t="inlineStr">
        <is>
          <t>Privately Held (backing)</t>
        </is>
      </c>
      <c r="P206" s="154" t="inlineStr">
        <is>
          <t>Venture Capital</t>
        </is>
      </c>
      <c r="Q206" s="155" t="inlineStr">
        <is>
          <t>www.graphcore.ai</t>
        </is>
      </c>
      <c r="R206" s="156" t="n">
        <v>60.0</v>
      </c>
      <c r="S206" s="157" t="inlineStr">
        <is>
          <t/>
        </is>
      </c>
      <c r="T206" s="158" t="inlineStr">
        <is>
          <t/>
        </is>
      </c>
      <c r="U206" s="159" t="n">
        <v>2016.0</v>
      </c>
      <c r="V206" s="160" t="inlineStr">
        <is>
          <t/>
        </is>
      </c>
      <c r="W206" s="161" t="inlineStr">
        <is>
          <t/>
        </is>
      </c>
      <c r="X206" s="162" t="inlineStr">
        <is>
          <t/>
        </is>
      </c>
      <c r="Y206" s="163" t="inlineStr">
        <is>
          <t/>
        </is>
      </c>
      <c r="Z206" s="164" t="inlineStr">
        <is>
          <t/>
        </is>
      </c>
      <c r="AA206" s="165" t="inlineStr">
        <is>
          <t/>
        </is>
      </c>
      <c r="AB206" s="166" t="inlineStr">
        <is>
          <t/>
        </is>
      </c>
      <c r="AC206" s="167" t="inlineStr">
        <is>
          <t/>
        </is>
      </c>
      <c r="AD206" s="168" t="inlineStr">
        <is>
          <t/>
        </is>
      </c>
      <c r="AE206" s="169" t="inlineStr">
        <is>
          <t>30488-50P</t>
        </is>
      </c>
      <c r="AF206" s="170" t="inlineStr">
        <is>
          <t>Nigel Toon</t>
        </is>
      </c>
      <c r="AG206" s="171" t="inlineStr">
        <is>
          <t>Co-Founder, Board Member &amp; Chief Executive Officer</t>
        </is>
      </c>
      <c r="AH206" s="172" t="inlineStr">
        <is>
          <t>nigel.toon@graphcore.ai</t>
        </is>
      </c>
      <c r="AI206" s="173" t="inlineStr">
        <is>
          <t/>
        </is>
      </c>
      <c r="AJ206" s="174" t="inlineStr">
        <is>
          <t>Bristol, United Kingdom</t>
        </is>
      </c>
      <c r="AK206" s="175" t="inlineStr">
        <is>
          <t>11-19 Wine Street</t>
        </is>
      </c>
      <c r="AL206" s="176" t="inlineStr">
        <is>
          <t/>
        </is>
      </c>
      <c r="AM206" s="177" t="inlineStr">
        <is>
          <t>Bristol</t>
        </is>
      </c>
      <c r="AN206" s="178" t="inlineStr">
        <is>
          <t>England</t>
        </is>
      </c>
      <c r="AO206" s="179" t="inlineStr">
        <is>
          <t>BS1 2PH</t>
        </is>
      </c>
      <c r="AP206" s="180" t="inlineStr">
        <is>
          <t>United Kingdom</t>
        </is>
      </c>
      <c r="AQ206" s="181" t="inlineStr">
        <is>
          <t/>
        </is>
      </c>
      <c r="AR206" s="182" t="inlineStr">
        <is>
          <t/>
        </is>
      </c>
      <c r="AS206" s="183" t="inlineStr">
        <is>
          <t/>
        </is>
      </c>
      <c r="AT206" s="184" t="inlineStr">
        <is>
          <t>Europe</t>
        </is>
      </c>
      <c r="AU206" s="185" t="inlineStr">
        <is>
          <t>Western Europe</t>
        </is>
      </c>
      <c r="AV206" s="186" t="inlineStr">
        <is>
          <t>The company raised $30 million of Series B venture funding from lead investor Atomico UK Partners on July 20, 2017, putting the pre-money valuation at $58.5 million. Amadeus Capital, Robert Bosch Venture Capital, C4 Ventures, Dell Technologies Capital, Draper Esprit, Foundation Capital, Pitango, Samsung Catalyst Fund, Demis Hassabis, Greg Brockman, Ilya Sutskever, Pieter Abbeel, Scott Gray, Zoubin Ghahramani and other undisclosed investors also participated. The company intends to use the funds to accelerate roadmap development and build a community of developers and partners around its Poplar graph framework software.</t>
        </is>
      </c>
      <c r="AW206" s="187" t="inlineStr">
        <is>
          <t>Amadeus Capital Partners, Atomico, C4 Ventures, Dell Technologies Capital, Demis Hassabis, Draper Esprit, Foundation Capital, Greg Brockman, Ilya Sutskever, Pieter Abbeel, Pitango Venture Capital, Robert Bosch Venture Capital, Samsung Strategy and Innovation Center, Scott Gray, Wyvern Fund, Zoubin Ghahramani</t>
        </is>
      </c>
      <c r="AX206" s="188" t="n">
        <v>16.0</v>
      </c>
      <c r="AY206" s="189" t="inlineStr">
        <is>
          <t/>
        </is>
      </c>
      <c r="AZ206" s="190" t="inlineStr">
        <is>
          <t/>
        </is>
      </c>
      <c r="BA206" s="191" t="inlineStr">
        <is>
          <t/>
        </is>
      </c>
      <c r="BB206" s="192" t="inlineStr">
        <is>
          <t>Amadeus Capital Partners (www.amadeuscapital.com), Atomico (www.atomico.com), C4 Ventures (www.c4v.com), Dell Technologies Capital (www.delltechnologies.com), Draper Esprit (www.draperesprit.com), Foundation Capital (www.foundationcapital.com), Greg Brockman (www.gregbrockman.com), Pitango Venture Capital (www.pitango.com), Robert Bosch Venture Capital (www.rbvc.com), Samsung Strategy and Innovation Center (www.samsung.com/us/globalinnovation/innovation_areas), Wyvern Fund (www.wyvernfund.com)</t>
        </is>
      </c>
      <c r="BC206" s="193" t="inlineStr">
        <is>
          <t/>
        </is>
      </c>
      <c r="BD206" s="194" t="inlineStr">
        <is>
          <t/>
        </is>
      </c>
      <c r="BE206" s="195" t="inlineStr">
        <is>
          <t>Orrick Herrington &amp; Sutcliffe (Legal Advisor)</t>
        </is>
      </c>
      <c r="BF206" s="196" t="inlineStr">
        <is>
          <t>Orrick Herrington &amp; Sutcliffe (Legal Advisor)</t>
        </is>
      </c>
      <c r="BG206" s="197" t="inlineStr">
        <is>
          <t/>
        </is>
      </c>
      <c r="BH206" s="198" t="inlineStr">
        <is>
          <t/>
        </is>
      </c>
      <c r="BI206" s="199" t="inlineStr">
        <is>
          <t/>
        </is>
      </c>
      <c r="BJ206" s="200" t="inlineStr">
        <is>
          <t/>
        </is>
      </c>
      <c r="BK206" s="201" t="inlineStr">
        <is>
          <t/>
        </is>
      </c>
      <c r="BL206" s="202" t="inlineStr">
        <is>
          <t>Seed Round</t>
        </is>
      </c>
      <c r="BM206" s="203" t="inlineStr">
        <is>
          <t>Seed</t>
        </is>
      </c>
      <c r="BN206" s="204" t="inlineStr">
        <is>
          <t/>
        </is>
      </c>
      <c r="BO206" s="205" t="inlineStr">
        <is>
          <t>Venture Capital</t>
        </is>
      </c>
      <c r="BP206" s="206" t="inlineStr">
        <is>
          <t/>
        </is>
      </c>
      <c r="BQ206" s="207" t="inlineStr">
        <is>
          <t/>
        </is>
      </c>
      <c r="BR206" s="208" t="inlineStr">
        <is>
          <t/>
        </is>
      </c>
      <c r="BS206" s="209" t="inlineStr">
        <is>
          <t>Completed</t>
        </is>
      </c>
      <c r="BT206" s="210" t="n">
        <v>42936.0</v>
      </c>
      <c r="BU206" s="211" t="n">
        <v>26.06</v>
      </c>
      <c r="BV206" s="212" t="inlineStr">
        <is>
          <t>Actual</t>
        </is>
      </c>
      <c r="BW206" s="213" t="n">
        <v>76.86</v>
      </c>
      <c r="BX206" s="214" t="inlineStr">
        <is>
          <t>Actual</t>
        </is>
      </c>
      <c r="BY206" s="215" t="inlineStr">
        <is>
          <t>Early Stage VC</t>
        </is>
      </c>
      <c r="BZ206" s="216" t="inlineStr">
        <is>
          <t>Series B</t>
        </is>
      </c>
      <c r="CA206" s="217" t="inlineStr">
        <is>
          <t/>
        </is>
      </c>
      <c r="CB206" s="218" t="inlineStr">
        <is>
          <t>Venture Capital</t>
        </is>
      </c>
      <c r="CC206" s="219" t="inlineStr">
        <is>
          <t/>
        </is>
      </c>
      <c r="CD206" s="220" t="inlineStr">
        <is>
          <t/>
        </is>
      </c>
      <c r="CE206" s="221" t="inlineStr">
        <is>
          <t/>
        </is>
      </c>
      <c r="CF206" s="222" t="inlineStr">
        <is>
          <t>Completed</t>
        </is>
      </c>
      <c r="CG206" s="223" t="inlineStr">
        <is>
          <t>0,71%</t>
        </is>
      </c>
      <c r="CH206" s="224" t="inlineStr">
        <is>
          <t>86</t>
        </is>
      </c>
      <c r="CI206" s="225" t="inlineStr">
        <is>
          <t>0,02%</t>
        </is>
      </c>
      <c r="CJ206" s="226" t="inlineStr">
        <is>
          <t>2,86%</t>
        </is>
      </c>
      <c r="CK206" s="227" t="inlineStr">
        <is>
          <t>0,21%</t>
        </is>
      </c>
      <c r="CL206" s="228" t="inlineStr">
        <is>
          <t>82</t>
        </is>
      </c>
      <c r="CM206" s="229" t="inlineStr">
        <is>
          <t>1,21%</t>
        </is>
      </c>
      <c r="CN206" s="230" t="inlineStr">
        <is>
          <t>97</t>
        </is>
      </c>
      <c r="CO206" s="231" t="inlineStr">
        <is>
          <t>-3,87%</t>
        </is>
      </c>
      <c r="CP206" s="232" t="inlineStr">
        <is>
          <t>9</t>
        </is>
      </c>
      <c r="CQ206" s="233" t="inlineStr">
        <is>
          <t>4,28%</t>
        </is>
      </c>
      <c r="CR206" s="234" t="inlineStr">
        <is>
          <t>94</t>
        </is>
      </c>
      <c r="CS206" s="235" t="inlineStr">
        <is>
          <t>1,25%</t>
        </is>
      </c>
      <c r="CT206" s="236" t="inlineStr">
        <is>
          <t>96</t>
        </is>
      </c>
      <c r="CU206" s="237" t="inlineStr">
        <is>
          <t>1,16%</t>
        </is>
      </c>
      <c r="CV206" s="238" t="inlineStr">
        <is>
          <t>98</t>
        </is>
      </c>
      <c r="CW206" s="239" t="inlineStr">
        <is>
          <t>6,71x</t>
        </is>
      </c>
      <c r="CX206" s="240" t="inlineStr">
        <is>
          <t>83</t>
        </is>
      </c>
      <c r="CY206" s="241" t="inlineStr">
        <is>
          <t>-1,39x</t>
        </is>
      </c>
      <c r="CZ206" s="242" t="inlineStr">
        <is>
          <t>-17,13%</t>
        </is>
      </c>
      <c r="DA206" s="243" t="inlineStr">
        <is>
          <t>10,02x</t>
        </is>
      </c>
      <c r="DB206" s="244" t="inlineStr">
        <is>
          <t>87</t>
        </is>
      </c>
      <c r="DC206" s="245" t="inlineStr">
        <is>
          <t>3,41x</t>
        </is>
      </c>
      <c r="DD206" s="246" t="inlineStr">
        <is>
          <t>70</t>
        </is>
      </c>
      <c r="DE206" s="247" t="inlineStr">
        <is>
          <t>9,23x</t>
        </is>
      </c>
      <c r="DF206" s="248" t="inlineStr">
        <is>
          <t>83</t>
        </is>
      </c>
      <c r="DG206" s="249" t="inlineStr">
        <is>
          <t>10,81x</t>
        </is>
      </c>
      <c r="DH206" s="250" t="inlineStr">
        <is>
          <t>87</t>
        </is>
      </c>
      <c r="DI206" s="251" t="inlineStr">
        <is>
          <t>0,29x</t>
        </is>
      </c>
      <c r="DJ206" s="252" t="inlineStr">
        <is>
          <t>29</t>
        </is>
      </c>
      <c r="DK206" s="253" t="inlineStr">
        <is>
          <t>6,53x</t>
        </is>
      </c>
      <c r="DL206" s="254" t="inlineStr">
        <is>
          <t>82</t>
        </is>
      </c>
      <c r="DM206" s="255" t="inlineStr">
        <is>
          <t>5.990</t>
        </is>
      </c>
      <c r="DN206" s="256" t="inlineStr">
        <is>
          <t>-943</t>
        </is>
      </c>
      <c r="DO206" s="257" t="inlineStr">
        <is>
          <t>-13,60%</t>
        </is>
      </c>
      <c r="DP206" s="258" t="inlineStr">
        <is>
          <t>229</t>
        </is>
      </c>
      <c r="DQ206" s="259" t="inlineStr">
        <is>
          <t>3</t>
        </is>
      </c>
      <c r="DR206" s="260" t="inlineStr">
        <is>
          <t>1,33%</t>
        </is>
      </c>
      <c r="DS206" s="261" t="inlineStr">
        <is>
          <t>388</t>
        </is>
      </c>
      <c r="DT206" s="262" t="inlineStr">
        <is>
          <t>3</t>
        </is>
      </c>
      <c r="DU206" s="263" t="inlineStr">
        <is>
          <t>0,78%</t>
        </is>
      </c>
      <c r="DV206" s="264" t="inlineStr">
        <is>
          <t>2.231</t>
        </is>
      </c>
      <c r="DW206" s="265" t="inlineStr">
        <is>
          <t>16</t>
        </is>
      </c>
      <c r="DX206" s="266" t="inlineStr">
        <is>
          <t>0,72%</t>
        </is>
      </c>
      <c r="DY206" s="267" t="inlineStr">
        <is>
          <t>PitchBook Research</t>
        </is>
      </c>
      <c r="DZ206" s="786">
        <f>HYPERLINK("https://my.pitchbook.com?c=166649-68", "View company online")</f>
      </c>
    </row>
    <row r="207">
      <c r="A207" s="9" t="inlineStr">
        <is>
          <t>124637-59</t>
        </is>
      </c>
      <c r="B207" s="10" t="inlineStr">
        <is>
          <t>GreenBone Ortho</t>
        </is>
      </c>
      <c r="C207" s="11" t="inlineStr">
        <is>
          <t/>
        </is>
      </c>
      <c r="D207" s="12" t="inlineStr">
        <is>
          <t/>
        </is>
      </c>
      <c r="E207" s="13" t="inlineStr">
        <is>
          <t>124637-59</t>
        </is>
      </c>
      <c r="F207" s="14" t="inlineStr">
        <is>
          <t>Developer of biomimetic bone implants designed to treat severe fractures and conditions such as trauma and tumours that result in extensive bone loss. The company's biomimetic bone implants transforms Bamboo into an established, widely used biomaterial, hydroxyapatite, to provide a bone graft scaffold with unique and never achieved so far mechanical strength, weight bearing and bone regeneration properties needed for large implants, enabling patients to get easy to use bio-inspired solutions that will help cure severe diseases.</t>
        </is>
      </c>
      <c r="G207" s="15" t="inlineStr">
        <is>
          <t>Healthcare</t>
        </is>
      </c>
      <c r="H207" s="16" t="inlineStr">
        <is>
          <t>Healthcare Devices and Supplies</t>
        </is>
      </c>
      <c r="I207" s="17" t="inlineStr">
        <is>
          <t>Other Devices and Supplies</t>
        </is>
      </c>
      <c r="J207" s="18" t="inlineStr">
        <is>
          <t>Other Devices and Supplies*; Other Healthcare Technology Systems</t>
        </is>
      </c>
      <c r="K207" s="19" t="inlineStr">
        <is>
          <t/>
        </is>
      </c>
      <c r="L207" s="20" t="inlineStr">
        <is>
          <t>Venture Capital-Backed</t>
        </is>
      </c>
      <c r="M207" s="21" t="n">
        <v>11.4</v>
      </c>
      <c r="N207" s="22" t="inlineStr">
        <is>
          <t>Product Development</t>
        </is>
      </c>
      <c r="O207" s="23" t="inlineStr">
        <is>
          <t>Privately Held (backing)</t>
        </is>
      </c>
      <c r="P207" s="24" t="inlineStr">
        <is>
          <t>Venture Capital</t>
        </is>
      </c>
      <c r="Q207" s="25" t="inlineStr">
        <is>
          <t>www.greenbone.it</t>
        </is>
      </c>
      <c r="R207" s="26" t="inlineStr">
        <is>
          <t/>
        </is>
      </c>
      <c r="S207" s="27" t="inlineStr">
        <is>
          <t/>
        </is>
      </c>
      <c r="T207" s="28" t="inlineStr">
        <is>
          <t/>
        </is>
      </c>
      <c r="U207" s="29" t="n">
        <v>2014.0</v>
      </c>
      <c r="V207" s="30" t="inlineStr">
        <is>
          <t/>
        </is>
      </c>
      <c r="W207" s="31" t="inlineStr">
        <is>
          <t/>
        </is>
      </c>
      <c r="X207" s="32" t="inlineStr">
        <is>
          <t/>
        </is>
      </c>
      <c r="Y207" s="33" t="inlineStr">
        <is>
          <t/>
        </is>
      </c>
      <c r="Z207" s="34" t="inlineStr">
        <is>
          <t/>
        </is>
      </c>
      <c r="AA207" s="35" t="inlineStr">
        <is>
          <t/>
        </is>
      </c>
      <c r="AB207" s="36" t="inlineStr">
        <is>
          <t/>
        </is>
      </c>
      <c r="AC207" s="37" t="inlineStr">
        <is>
          <t/>
        </is>
      </c>
      <c r="AD207" s="38" t="inlineStr">
        <is>
          <t/>
        </is>
      </c>
      <c r="AE207" s="39" t="inlineStr">
        <is>
          <t>53105-86P</t>
        </is>
      </c>
      <c r="AF207" s="40" t="inlineStr">
        <is>
          <t>Lorenzo Pradella</t>
        </is>
      </c>
      <c r="AG207" s="41" t="inlineStr">
        <is>
          <t>Co-Founder, Chief Executive Officer &amp; Chief Operating Officer</t>
        </is>
      </c>
      <c r="AH207" s="42" t="inlineStr">
        <is>
          <t>lorenzo.pradella@greenbone.it</t>
        </is>
      </c>
      <c r="AI207" s="43" t="inlineStr">
        <is>
          <t/>
        </is>
      </c>
      <c r="AJ207" s="44" t="inlineStr">
        <is>
          <t>Faenza, Italy</t>
        </is>
      </c>
      <c r="AK207" s="45" t="inlineStr">
        <is>
          <t>Via Albert Einstein 8</t>
        </is>
      </c>
      <c r="AL207" s="46" t="inlineStr">
        <is>
          <t/>
        </is>
      </c>
      <c r="AM207" s="47" t="inlineStr">
        <is>
          <t>Faenza</t>
        </is>
      </c>
      <c r="AN207" s="48" t="inlineStr">
        <is>
          <t/>
        </is>
      </c>
      <c r="AO207" s="49" t="inlineStr">
        <is>
          <t>48018</t>
        </is>
      </c>
      <c r="AP207" s="50" t="inlineStr">
        <is>
          <t>Italy</t>
        </is>
      </c>
      <c r="AQ207" s="51" t="inlineStr">
        <is>
          <t/>
        </is>
      </c>
      <c r="AR207" s="52" t="inlineStr">
        <is>
          <t/>
        </is>
      </c>
      <c r="AS207" s="53" t="inlineStr">
        <is>
          <t>info@greenbone.it</t>
        </is>
      </c>
      <c r="AT207" s="54" t="inlineStr">
        <is>
          <t>Europe</t>
        </is>
      </c>
      <c r="AU207" s="55" t="inlineStr">
        <is>
          <t>Southern Europe</t>
        </is>
      </c>
      <c r="AV207" s="56" t="inlineStr">
        <is>
          <t>The company raised EUR 8.4 million of Series A venture funding in a deal led by Helsinn through their Helsinn Investment Fund on June 16, 2017. Invitalia Ventures, Innogest SGR, Italian Angels for Growth (IAG) and other private investors also participated in the round.The company intends to use the funds to complete by 2019 clinical development conducted in load bearing long bones defects, receive CE Mark, conduct the pre-clinical development for further applications in other skeleton diseases and other general corporate purposes.</t>
        </is>
      </c>
      <c r="AW207" s="57" t="inlineStr">
        <is>
          <t>Helsinn, Innogest, Invitalia Ventures, Italian Angels for Growth, ZernikeMeta Ventures</t>
        </is>
      </c>
      <c r="AX207" s="58" t="n">
        <v>5.0</v>
      </c>
      <c r="AY207" s="59" t="inlineStr">
        <is>
          <t/>
        </is>
      </c>
      <c r="AZ207" s="60" t="inlineStr">
        <is>
          <t/>
        </is>
      </c>
      <c r="BA207" s="61" t="inlineStr">
        <is>
          <t/>
        </is>
      </c>
      <c r="BB207" s="62" t="inlineStr">
        <is>
          <t>Helsinn (www.helsinn.com), Innogest (www.innogest.it), Invitalia Ventures (www.invitaliaventures.it), Italian Angels for Growth (www.italianangels.net), ZernikeMeta Ventures (www.zernikemetaventures.com)</t>
        </is>
      </c>
      <c r="BC207" s="63" t="inlineStr">
        <is>
          <t/>
        </is>
      </c>
      <c r="BD207" s="64" t="inlineStr">
        <is>
          <t/>
        </is>
      </c>
      <c r="BE207" s="65" t="inlineStr">
        <is>
          <t/>
        </is>
      </c>
      <c r="BF207" s="66" t="inlineStr">
        <is>
          <t/>
        </is>
      </c>
      <c r="BG207" s="67" t="n">
        <v>42265.0</v>
      </c>
      <c r="BH207" s="68" t="n">
        <v>3.0</v>
      </c>
      <c r="BI207" s="69" t="inlineStr">
        <is>
          <t>Actual</t>
        </is>
      </c>
      <c r="BJ207" s="70" t="inlineStr">
        <is>
          <t/>
        </is>
      </c>
      <c r="BK207" s="71" t="inlineStr">
        <is>
          <t/>
        </is>
      </c>
      <c r="BL207" s="72" t="inlineStr">
        <is>
          <t>Seed Round</t>
        </is>
      </c>
      <c r="BM207" s="73" t="inlineStr">
        <is>
          <t>Seed</t>
        </is>
      </c>
      <c r="BN207" s="74" t="inlineStr">
        <is>
          <t/>
        </is>
      </c>
      <c r="BO207" s="75" t="inlineStr">
        <is>
          <t>Venture Capital</t>
        </is>
      </c>
      <c r="BP207" s="76" t="inlineStr">
        <is>
          <t/>
        </is>
      </c>
      <c r="BQ207" s="77" t="inlineStr">
        <is>
          <t/>
        </is>
      </c>
      <c r="BR207" s="78" t="inlineStr">
        <is>
          <t/>
        </is>
      </c>
      <c r="BS207" s="79" t="inlineStr">
        <is>
          <t>Completed</t>
        </is>
      </c>
      <c r="BT207" s="80" t="n">
        <v>42902.0</v>
      </c>
      <c r="BU207" s="81" t="n">
        <v>8.4</v>
      </c>
      <c r="BV207" s="82" t="inlineStr">
        <is>
          <t>Actual</t>
        </is>
      </c>
      <c r="BW207" s="83" t="inlineStr">
        <is>
          <t/>
        </is>
      </c>
      <c r="BX207" s="84" t="inlineStr">
        <is>
          <t/>
        </is>
      </c>
      <c r="BY207" s="85" t="inlineStr">
        <is>
          <t>Early Stage VC</t>
        </is>
      </c>
      <c r="BZ207" s="86" t="inlineStr">
        <is>
          <t>Series A</t>
        </is>
      </c>
      <c r="CA207" s="87" t="inlineStr">
        <is>
          <t/>
        </is>
      </c>
      <c r="CB207" s="88" t="inlineStr">
        <is>
          <t>Venture Capital</t>
        </is>
      </c>
      <c r="CC207" s="89" t="inlineStr">
        <is>
          <t/>
        </is>
      </c>
      <c r="CD207" s="90" t="inlineStr">
        <is>
          <t/>
        </is>
      </c>
      <c r="CE207" s="91" t="inlineStr">
        <is>
          <t/>
        </is>
      </c>
      <c r="CF207" s="92" t="inlineStr">
        <is>
          <t>Completed</t>
        </is>
      </c>
      <c r="CG207" s="93" t="inlineStr">
        <is>
          <t>0,00%</t>
        </is>
      </c>
      <c r="CH207" s="94" t="inlineStr">
        <is>
          <t>23</t>
        </is>
      </c>
      <c r="CI207" s="95" t="inlineStr">
        <is>
          <t>0,00%</t>
        </is>
      </c>
      <c r="CJ207" s="96" t="inlineStr">
        <is>
          <t>0,00%</t>
        </is>
      </c>
      <c r="CK207" s="97" t="inlineStr">
        <is>
          <t>0,00%</t>
        </is>
      </c>
      <c r="CL207" s="98" t="inlineStr">
        <is>
          <t>18</t>
        </is>
      </c>
      <c r="CM207" s="99" t="inlineStr">
        <is>
          <t/>
        </is>
      </c>
      <c r="CN207" s="100" t="inlineStr">
        <is>
          <t/>
        </is>
      </c>
      <c r="CO207" s="101" t="inlineStr">
        <is>
          <t>0,00%</t>
        </is>
      </c>
      <c r="CP207" s="102" t="inlineStr">
        <is>
          <t>26</t>
        </is>
      </c>
      <c r="CQ207" s="103" t="inlineStr">
        <is>
          <t>0,00%</t>
        </is>
      </c>
      <c r="CR207" s="104" t="inlineStr">
        <is>
          <t>13</t>
        </is>
      </c>
      <c r="CS207" s="105" t="inlineStr">
        <is>
          <t/>
        </is>
      </c>
      <c r="CT207" s="106" t="inlineStr">
        <is>
          <t/>
        </is>
      </c>
      <c r="CU207" s="107" t="inlineStr">
        <is>
          <t/>
        </is>
      </c>
      <c r="CV207" s="108" t="inlineStr">
        <is>
          <t/>
        </is>
      </c>
      <c r="CW207" s="109" t="inlineStr">
        <is>
          <t>0,33x</t>
        </is>
      </c>
      <c r="CX207" s="110" t="inlineStr">
        <is>
          <t>25</t>
        </is>
      </c>
      <c r="CY207" s="111" t="inlineStr">
        <is>
          <t>-0,01x</t>
        </is>
      </c>
      <c r="CZ207" s="112" t="inlineStr">
        <is>
          <t>-1,56%</t>
        </is>
      </c>
      <c r="DA207" s="113" t="inlineStr">
        <is>
          <t>0,33x</t>
        </is>
      </c>
      <c r="DB207" s="114" t="inlineStr">
        <is>
          <t>28</t>
        </is>
      </c>
      <c r="DC207" s="115" t="inlineStr">
        <is>
          <t/>
        </is>
      </c>
      <c r="DD207" s="116" t="inlineStr">
        <is>
          <t/>
        </is>
      </c>
      <c r="DE207" s="117" t="inlineStr">
        <is>
          <t>0,05x</t>
        </is>
      </c>
      <c r="DF207" s="118" t="inlineStr">
        <is>
          <t>6</t>
        </is>
      </c>
      <c r="DG207" s="119" t="inlineStr">
        <is>
          <t>0,61x</t>
        </is>
      </c>
      <c r="DH207" s="120" t="inlineStr">
        <is>
          <t>40</t>
        </is>
      </c>
      <c r="DI207" s="121" t="inlineStr">
        <is>
          <t/>
        </is>
      </c>
      <c r="DJ207" s="122" t="inlineStr">
        <is>
          <t/>
        </is>
      </c>
      <c r="DK207" s="123" t="inlineStr">
        <is>
          <t/>
        </is>
      </c>
      <c r="DL207" s="124" t="inlineStr">
        <is>
          <t/>
        </is>
      </c>
      <c r="DM207" s="125" t="inlineStr">
        <is>
          <t>43</t>
        </is>
      </c>
      <c r="DN207" s="126" t="inlineStr">
        <is>
          <t>-37</t>
        </is>
      </c>
      <c r="DO207" s="127" t="inlineStr">
        <is>
          <t>-46,25%</t>
        </is>
      </c>
      <c r="DP207" s="128" t="inlineStr">
        <is>
          <t/>
        </is>
      </c>
      <c r="DQ207" s="129" t="inlineStr">
        <is>
          <t/>
        </is>
      </c>
      <c r="DR207" s="130" t="inlineStr">
        <is>
          <t/>
        </is>
      </c>
      <c r="DS207" s="131" t="inlineStr">
        <is>
          <t>22</t>
        </is>
      </c>
      <c r="DT207" s="132" t="inlineStr">
        <is>
          <t>-1</t>
        </is>
      </c>
      <c r="DU207" s="133" t="inlineStr">
        <is>
          <t>-4,35%</t>
        </is>
      </c>
      <c r="DV207" s="134" t="inlineStr">
        <is>
          <t/>
        </is>
      </c>
      <c r="DW207" s="135" t="inlineStr">
        <is>
          <t/>
        </is>
      </c>
      <c r="DX207" s="136" t="inlineStr">
        <is>
          <t/>
        </is>
      </c>
      <c r="DY207" s="137" t="inlineStr">
        <is>
          <t>PitchBook Research</t>
        </is>
      </c>
      <c r="DZ207" s="785">
        <f>HYPERLINK("https://my.pitchbook.com?c=124637-59", "View company online")</f>
      </c>
    </row>
    <row r="208">
      <c r="A208" s="139" t="inlineStr">
        <is>
          <t>98299-81</t>
        </is>
      </c>
      <c r="B208" s="140" t="inlineStr">
        <is>
          <t>G-Therapeutics</t>
        </is>
      </c>
      <c r="C208" s="141" t="inlineStr">
        <is>
          <t/>
        </is>
      </c>
      <c r="D208" s="142" t="inlineStr">
        <is>
          <t/>
        </is>
      </c>
      <c r="E208" s="143" t="inlineStr">
        <is>
          <t>98299-81</t>
        </is>
      </c>
      <c r="F208" s="144" t="inlineStr">
        <is>
          <t>Developer of a implantable neuro-stimulation system (INS). The company provides a neuro-stimulation system to rehabilitate patients suffering from neurological disorders such as spinal cord injury.</t>
        </is>
      </c>
      <c r="G208" s="145" t="inlineStr">
        <is>
          <t>Healthcare</t>
        </is>
      </c>
      <c r="H208" s="146" t="inlineStr">
        <is>
          <t>Healthcare Devices and Supplies</t>
        </is>
      </c>
      <c r="I208" s="147" t="inlineStr">
        <is>
          <t>Therapeutic Devices</t>
        </is>
      </c>
      <c r="J208" s="148" t="inlineStr">
        <is>
          <t>Therapeutic Devices*; Other Business Products and Services; Other Healthcare Technology Systems</t>
        </is>
      </c>
      <c r="K208" s="149" t="inlineStr">
        <is>
          <t/>
        </is>
      </c>
      <c r="L208" s="150" t="inlineStr">
        <is>
          <t>Venture Capital-Backed</t>
        </is>
      </c>
      <c r="M208" s="151" t="n">
        <v>36.0</v>
      </c>
      <c r="N208" s="152" t="inlineStr">
        <is>
          <t>Startup</t>
        </is>
      </c>
      <c r="O208" s="153" t="inlineStr">
        <is>
          <t>Privately Held (backing)</t>
        </is>
      </c>
      <c r="P208" s="154" t="inlineStr">
        <is>
          <t>Venture Capital</t>
        </is>
      </c>
      <c r="Q208" s="155" t="inlineStr">
        <is>
          <t>www.gtherapeutics.com</t>
        </is>
      </c>
      <c r="R208" s="156" t="inlineStr">
        <is>
          <t/>
        </is>
      </c>
      <c r="S208" s="157" t="inlineStr">
        <is>
          <t/>
        </is>
      </c>
      <c r="T208" s="158" t="inlineStr">
        <is>
          <t/>
        </is>
      </c>
      <c r="U208" s="159" t="n">
        <v>2014.0</v>
      </c>
      <c r="V208" s="160" t="inlineStr">
        <is>
          <t/>
        </is>
      </c>
      <c r="W208" s="161" t="inlineStr">
        <is>
          <t/>
        </is>
      </c>
      <c r="X208" s="162" t="inlineStr">
        <is>
          <t/>
        </is>
      </c>
      <c r="Y208" s="163" t="inlineStr">
        <is>
          <t/>
        </is>
      </c>
      <c r="Z208" s="164" t="inlineStr">
        <is>
          <t/>
        </is>
      </c>
      <c r="AA208" s="165" t="inlineStr">
        <is>
          <t/>
        </is>
      </c>
      <c r="AB208" s="166" t="inlineStr">
        <is>
          <t/>
        </is>
      </c>
      <c r="AC208" s="167" t="inlineStr">
        <is>
          <t/>
        </is>
      </c>
      <c r="AD208" s="168" t="inlineStr">
        <is>
          <t/>
        </is>
      </c>
      <c r="AE208" s="169" t="inlineStr">
        <is>
          <t>133227-37P</t>
        </is>
      </c>
      <c r="AF208" s="170" t="inlineStr">
        <is>
          <t>Vincent Delattre</t>
        </is>
      </c>
      <c r="AG208" s="171" t="inlineStr">
        <is>
          <t>Co-Founder &amp; Chief Operating Officer</t>
        </is>
      </c>
      <c r="AH208" s="172" t="inlineStr">
        <is>
          <t>vincent@gtherapeutics.com</t>
        </is>
      </c>
      <c r="AI208" s="173" t="inlineStr">
        <is>
          <t>+41 (0)21 693 9529</t>
        </is>
      </c>
      <c r="AJ208" s="174" t="inlineStr">
        <is>
          <t>Ecublens, Switzerland</t>
        </is>
      </c>
      <c r="AK208" s="175" t="inlineStr">
        <is>
          <t>Batiment C, EPFL Innovation Park</t>
        </is>
      </c>
      <c r="AL208" s="176" t="inlineStr">
        <is>
          <t/>
        </is>
      </c>
      <c r="AM208" s="177" t="inlineStr">
        <is>
          <t>Ecublens</t>
        </is>
      </c>
      <c r="AN208" s="178" t="inlineStr">
        <is>
          <t/>
        </is>
      </c>
      <c r="AO208" s="179" t="inlineStr">
        <is>
          <t>1015</t>
        </is>
      </c>
      <c r="AP208" s="180" t="inlineStr">
        <is>
          <t>Switzerland</t>
        </is>
      </c>
      <c r="AQ208" s="181" t="inlineStr">
        <is>
          <t>+41 (0)21 693 9529</t>
        </is>
      </c>
      <c r="AR208" s="182" t="inlineStr">
        <is>
          <t/>
        </is>
      </c>
      <c r="AS208" s="183" t="inlineStr">
        <is>
          <t>info@gtherapeutics.com</t>
        </is>
      </c>
      <c r="AT208" s="184" t="inlineStr">
        <is>
          <t>Europe</t>
        </is>
      </c>
      <c r="AU208" s="185" t="inlineStr">
        <is>
          <t>Western Europe</t>
        </is>
      </c>
      <c r="AV208" s="186" t="inlineStr">
        <is>
          <t>The company raised EUR 36 million of funding through a combination of debt and equity in August 2016. EUR 26 million Equity portion of Series A funding was provided by Life Sciences Partners, INKEF Capital, Gimv and Wellington Partners. A EUR 10 million debt portion (innovation loan) was provided by Rijksdienst voor Ondernemend Nederland. The company intends to use the funds for development of its innovative therapeutic products and introduce new therapy for improved rehabilitation of spinal-cord injuries from the lab to patients.</t>
        </is>
      </c>
      <c r="AW208" s="187" t="inlineStr">
        <is>
          <t>btov Partners, Gimv, Hello Tomorrow, INKEF Capital, Life Sciences Partners, MassChallenge, Prettybrook Partners, Venture kick, Wellington Partners, Will2Walk</t>
        </is>
      </c>
      <c r="AX208" s="188" t="n">
        <v>10.0</v>
      </c>
      <c r="AY208" s="189" t="inlineStr">
        <is>
          <t/>
        </is>
      </c>
      <c r="AZ208" s="190" t="inlineStr">
        <is>
          <t/>
        </is>
      </c>
      <c r="BA208" s="191" t="inlineStr">
        <is>
          <t/>
        </is>
      </c>
      <c r="BB208" s="192" t="inlineStr">
        <is>
          <t>btov Partners (www.btov.vc), Gimv (www.gimv.com), Hello Tomorrow (www.challenge.hello-tomorrow.org), INKEF Capital (www.inkefcapital.com), Life Sciences Partners (www.lspvc.com), MassChallenge (www.israel.masschallenge.org), Prettybrook Partners (www.prettybrookpartners.com), Venture kick (www.venturekick.ch), Wellington Partners (www.wellington-partners.com), Will2Walk (www.will2walk.org)</t>
        </is>
      </c>
      <c r="BC208" s="193" t="inlineStr">
        <is>
          <t/>
        </is>
      </c>
      <c r="BD208" s="194" t="inlineStr">
        <is>
          <t/>
        </is>
      </c>
      <c r="BE208" s="195" t="inlineStr">
        <is>
          <t/>
        </is>
      </c>
      <c r="BF208" s="196" t="inlineStr">
        <is>
          <t>Rijksdienst voor Ondernemend Nederland</t>
        </is>
      </c>
      <c r="BG208" s="197" t="n">
        <v>41640.0</v>
      </c>
      <c r="BH208" s="198" t="inlineStr">
        <is>
          <t/>
        </is>
      </c>
      <c r="BI208" s="199" t="inlineStr">
        <is>
          <t/>
        </is>
      </c>
      <c r="BJ208" s="200" t="inlineStr">
        <is>
          <t/>
        </is>
      </c>
      <c r="BK208" s="201" t="inlineStr">
        <is>
          <t/>
        </is>
      </c>
      <c r="BL208" s="202" t="inlineStr">
        <is>
          <t>Accelerator/Incubator</t>
        </is>
      </c>
      <c r="BM208" s="203" t="inlineStr">
        <is>
          <t/>
        </is>
      </c>
      <c r="BN208" s="204" t="inlineStr">
        <is>
          <t/>
        </is>
      </c>
      <c r="BO208" s="205" t="inlineStr">
        <is>
          <t>Other</t>
        </is>
      </c>
      <c r="BP208" s="206" t="inlineStr">
        <is>
          <t/>
        </is>
      </c>
      <c r="BQ208" s="207" t="inlineStr">
        <is>
          <t/>
        </is>
      </c>
      <c r="BR208" s="208" t="inlineStr">
        <is>
          <t/>
        </is>
      </c>
      <c r="BS208" s="209" t="inlineStr">
        <is>
          <t>Completed</t>
        </is>
      </c>
      <c r="BT208" s="210" t="n">
        <v>42583.0</v>
      </c>
      <c r="BU208" s="211" t="n">
        <v>36.0</v>
      </c>
      <c r="BV208" s="212" t="inlineStr">
        <is>
          <t>Actual</t>
        </is>
      </c>
      <c r="BW208" s="213" t="inlineStr">
        <is>
          <t/>
        </is>
      </c>
      <c r="BX208" s="214" t="inlineStr">
        <is>
          <t/>
        </is>
      </c>
      <c r="BY208" s="215" t="inlineStr">
        <is>
          <t>Early Stage VC</t>
        </is>
      </c>
      <c r="BZ208" s="216" t="inlineStr">
        <is>
          <t>Series A</t>
        </is>
      </c>
      <c r="CA208" s="217" t="inlineStr">
        <is>
          <t/>
        </is>
      </c>
      <c r="CB208" s="218" t="inlineStr">
        <is>
          <t>Venture Capital</t>
        </is>
      </c>
      <c r="CC208" s="219" t="inlineStr">
        <is>
          <t>Loan</t>
        </is>
      </c>
      <c r="CD208" s="220" t="inlineStr">
        <is>
          <t/>
        </is>
      </c>
      <c r="CE208" s="221" t="inlineStr">
        <is>
          <t/>
        </is>
      </c>
      <c r="CF208" s="222" t="inlineStr">
        <is>
          <t>Completed</t>
        </is>
      </c>
      <c r="CG208" s="223" t="inlineStr">
        <is>
          <t>1,22%</t>
        </is>
      </c>
      <c r="CH208" s="224" t="inlineStr">
        <is>
          <t>90</t>
        </is>
      </c>
      <c r="CI208" s="225" t="inlineStr">
        <is>
          <t>0,00%</t>
        </is>
      </c>
      <c r="CJ208" s="226" t="inlineStr">
        <is>
          <t>0,00%</t>
        </is>
      </c>
      <c r="CK208" s="227" t="inlineStr">
        <is>
          <t>1,22%</t>
        </is>
      </c>
      <c r="CL208" s="228" t="inlineStr">
        <is>
          <t>88</t>
        </is>
      </c>
      <c r="CM208" s="229" t="inlineStr">
        <is>
          <t/>
        </is>
      </c>
      <c r="CN208" s="230" t="inlineStr">
        <is>
          <t/>
        </is>
      </c>
      <c r="CO208" s="231" t="inlineStr">
        <is>
          <t>2,43%</t>
        </is>
      </c>
      <c r="CP208" s="232" t="inlineStr">
        <is>
          <t>90</t>
        </is>
      </c>
      <c r="CQ208" s="233" t="inlineStr">
        <is>
          <t>0,00%</t>
        </is>
      </c>
      <c r="CR208" s="234" t="inlineStr">
        <is>
          <t>13</t>
        </is>
      </c>
      <c r="CS208" s="235" t="inlineStr">
        <is>
          <t/>
        </is>
      </c>
      <c r="CT208" s="236" t="inlineStr">
        <is>
          <t/>
        </is>
      </c>
      <c r="CU208" s="237" t="inlineStr">
        <is>
          <t/>
        </is>
      </c>
      <c r="CV208" s="238" t="inlineStr">
        <is>
          <t/>
        </is>
      </c>
      <c r="CW208" s="239" t="inlineStr">
        <is>
          <t>1,79x</t>
        </is>
      </c>
      <c r="CX208" s="240" t="inlineStr">
        <is>
          <t>62</t>
        </is>
      </c>
      <c r="CY208" s="241" t="inlineStr">
        <is>
          <t>0,06x</t>
        </is>
      </c>
      <c r="CZ208" s="242" t="inlineStr">
        <is>
          <t>3,56%</t>
        </is>
      </c>
      <c r="DA208" s="243" t="inlineStr">
        <is>
          <t>1,79x</t>
        </is>
      </c>
      <c r="DB208" s="244" t="inlineStr">
        <is>
          <t>64</t>
        </is>
      </c>
      <c r="DC208" s="245" t="inlineStr">
        <is>
          <t/>
        </is>
      </c>
      <c r="DD208" s="246" t="inlineStr">
        <is>
          <t/>
        </is>
      </c>
      <c r="DE208" s="247" t="inlineStr">
        <is>
          <t>2,02x</t>
        </is>
      </c>
      <c r="DF208" s="248" t="inlineStr">
        <is>
          <t>64</t>
        </is>
      </c>
      <c r="DG208" s="249" t="inlineStr">
        <is>
          <t>1,56x</t>
        </is>
      </c>
      <c r="DH208" s="250" t="inlineStr">
        <is>
          <t>59</t>
        </is>
      </c>
      <c r="DI208" s="251" t="inlineStr">
        <is>
          <t/>
        </is>
      </c>
      <c r="DJ208" s="252" t="inlineStr">
        <is>
          <t/>
        </is>
      </c>
      <c r="DK208" s="253" t="inlineStr">
        <is>
          <t/>
        </is>
      </c>
      <c r="DL208" s="254" t="inlineStr">
        <is>
          <t/>
        </is>
      </c>
      <c r="DM208" s="255" t="inlineStr">
        <is>
          <t>1.204</t>
        </is>
      </c>
      <c r="DN208" s="256" t="inlineStr">
        <is>
          <t>118</t>
        </is>
      </c>
      <c r="DO208" s="257" t="inlineStr">
        <is>
          <t>10,87%</t>
        </is>
      </c>
      <c r="DP208" s="258" t="inlineStr">
        <is>
          <t/>
        </is>
      </c>
      <c r="DQ208" s="259" t="inlineStr">
        <is>
          <t/>
        </is>
      </c>
      <c r="DR208" s="260" t="inlineStr">
        <is>
          <t/>
        </is>
      </c>
      <c r="DS208" s="261" t="inlineStr">
        <is>
          <t>55</t>
        </is>
      </c>
      <c r="DT208" s="262" t="inlineStr">
        <is>
          <t>2</t>
        </is>
      </c>
      <c r="DU208" s="263" t="inlineStr">
        <is>
          <t>3,77%</t>
        </is>
      </c>
      <c r="DV208" s="264" t="inlineStr">
        <is>
          <t/>
        </is>
      </c>
      <c r="DW208" s="265" t="inlineStr">
        <is>
          <t/>
        </is>
      </c>
      <c r="DX208" s="266" t="inlineStr">
        <is>
          <t/>
        </is>
      </c>
      <c r="DY208" s="267" t="inlineStr">
        <is>
          <t>PitchBook Research</t>
        </is>
      </c>
      <c r="DZ208" s="786">
        <f>HYPERLINK("https://my.pitchbook.com?c=98299-81", "View company online")</f>
      </c>
    </row>
    <row r="209">
      <c r="A209" s="9" t="inlineStr">
        <is>
          <t>156930-40</t>
        </is>
      </c>
      <c r="B209" s="10" t="inlineStr">
        <is>
          <t>Habito</t>
        </is>
      </c>
      <c r="C209" s="11" t="inlineStr">
        <is>
          <t/>
        </is>
      </c>
      <c r="D209" s="12" t="inlineStr">
        <is>
          <t/>
        </is>
      </c>
      <c r="E209" s="13" t="inlineStr">
        <is>
          <t>156930-40</t>
        </is>
      </c>
      <c r="F209" s="14" t="inlineStr">
        <is>
          <t>Provider of a digital mortgage platform designed to sort out home mortgage deals. The company's digital mortgage platform offers its home buyers various types of deal based on individual requirements, enabling consumers to find the best deals for themselves.</t>
        </is>
      </c>
      <c r="G209" s="15" t="inlineStr">
        <is>
          <t>Financial Services</t>
        </is>
      </c>
      <c r="H209" s="16" t="inlineStr">
        <is>
          <t>Other Financial Services</t>
        </is>
      </c>
      <c r="I209" s="17" t="inlineStr">
        <is>
          <t>Consumer Finance</t>
        </is>
      </c>
      <c r="J209" s="18" t="inlineStr">
        <is>
          <t>Consumer Finance*; Real Estate Services (B2C); Other Financial Services</t>
        </is>
      </c>
      <c r="K209" s="19" t="inlineStr">
        <is>
          <t>FinTech</t>
        </is>
      </c>
      <c r="L209" s="20" t="inlineStr">
        <is>
          <t>Venture Capital-Backed</t>
        </is>
      </c>
      <c r="M209" s="21" t="n">
        <v>29.78</v>
      </c>
      <c r="N209" s="22" t="inlineStr">
        <is>
          <t>Startup</t>
        </is>
      </c>
      <c r="O209" s="23" t="inlineStr">
        <is>
          <t>Privately Held (backing)</t>
        </is>
      </c>
      <c r="P209" s="24" t="inlineStr">
        <is>
          <t>Venture Capital</t>
        </is>
      </c>
      <c r="Q209" s="25" t="inlineStr">
        <is>
          <t>www.habito.com</t>
        </is>
      </c>
      <c r="R209" s="26" t="n">
        <v>25.0</v>
      </c>
      <c r="S209" s="27" t="inlineStr">
        <is>
          <t/>
        </is>
      </c>
      <c r="T209" s="28" t="inlineStr">
        <is>
          <t/>
        </is>
      </c>
      <c r="U209" s="29" t="n">
        <v>2015.0</v>
      </c>
      <c r="V209" s="30" t="inlineStr">
        <is>
          <t/>
        </is>
      </c>
      <c r="W209" s="31" t="inlineStr">
        <is>
          <t/>
        </is>
      </c>
      <c r="X209" s="32" t="inlineStr">
        <is>
          <r>
            <rPr>
              <b/>
              <color rgb="ff26854d"/>
              <rFont val="Arial"/>
              <sz val="8.0"/>
            </rPr>
            <t>Deal</t>
          </r>
          <r>
            <rPr>
              <color rgb="ff707070"/>
              <rFont val="Arial"/>
              <sz val="7.0"/>
            </rPr>
            <t xml:space="preserve"> NEW  </t>
          </r>
          <r>
            <rPr>
              <color rgb="ff000000"/>
              <rFont val="Arial"/>
              <sz val="8.0"/>
            </rPr>
            <t>Early Stage VC (Series B), 2017</t>
          </r>
          <r>
            <rPr>
              <color rgb="ff707070"/>
              <rFont val="Arial"/>
              <sz val="7.0"/>
            </rPr>
            <t xml:space="preserve"> Completed</t>
          </r>
        </is>
      </c>
      <c r="Y209" s="33" t="inlineStr">
        <is>
          <t/>
        </is>
      </c>
      <c r="Z209" s="34" t="inlineStr">
        <is>
          <t/>
        </is>
      </c>
      <c r="AA209" s="35" t="inlineStr">
        <is>
          <t/>
        </is>
      </c>
      <c r="AB209" s="36" t="inlineStr">
        <is>
          <t/>
        </is>
      </c>
      <c r="AC209" s="37" t="inlineStr">
        <is>
          <t/>
        </is>
      </c>
      <c r="AD209" s="38" t="inlineStr">
        <is>
          <t/>
        </is>
      </c>
      <c r="AE209" s="39" t="inlineStr">
        <is>
          <t>132613-48P</t>
        </is>
      </c>
      <c r="AF209" s="40" t="inlineStr">
        <is>
          <t>Daniel Hegarty</t>
        </is>
      </c>
      <c r="AG209" s="41" t="inlineStr">
        <is>
          <t>Founder, Board Member and Chief Executive Officer</t>
        </is>
      </c>
      <c r="AH209" s="42" t="inlineStr">
        <is>
          <t>daniel@habito.com</t>
        </is>
      </c>
      <c r="AI209" s="43" t="inlineStr">
        <is>
          <t>+44 (0)33 0223 0196</t>
        </is>
      </c>
      <c r="AJ209" s="44" t="inlineStr">
        <is>
          <t>London, United Kingdom</t>
        </is>
      </c>
      <c r="AK209" s="45" t="inlineStr">
        <is>
          <t>The Loom</t>
        </is>
      </c>
      <c r="AL209" s="46" t="inlineStr">
        <is>
          <t>14 Gowers Walk</t>
        </is>
      </c>
      <c r="AM209" s="47" t="inlineStr">
        <is>
          <t>London</t>
        </is>
      </c>
      <c r="AN209" s="48" t="inlineStr">
        <is>
          <t>England</t>
        </is>
      </c>
      <c r="AO209" s="49" t="inlineStr">
        <is>
          <t>E1 8PY</t>
        </is>
      </c>
      <c r="AP209" s="50" t="inlineStr">
        <is>
          <t>United Kingdom</t>
        </is>
      </c>
      <c r="AQ209" s="51" t="inlineStr">
        <is>
          <t>+44 (0)33 0223 0196</t>
        </is>
      </c>
      <c r="AR209" s="52" t="inlineStr">
        <is>
          <t/>
        </is>
      </c>
      <c r="AS209" s="53" t="inlineStr">
        <is>
          <t>hey@habito.com</t>
        </is>
      </c>
      <c r="AT209" s="54" t="inlineStr">
        <is>
          <t>Europe</t>
        </is>
      </c>
      <c r="AU209" s="55" t="inlineStr">
        <is>
          <t>Western Europe</t>
        </is>
      </c>
      <c r="AV209" s="56" t="inlineStr">
        <is>
          <t>The company raised GBP 18.5 million of Series B venture funding in a deal led by Atomico on September 3, 2017. Ribbit Capital, Mosaic Ventures and Revolution also participated in this round. The funds will in part be used to integrate technology with major retail banks and high street lenders to facilitate "real-time mortgage approvals", in addition to marketing and other product development. The company till date has raised over GBP 27 million. Previously, the company raised GBP 5.44 million of Series A venture funding in a deal led by Ribbit Capital on January 23, 2017, putting the company's pre-money valuation at GBP 13.95 million. Mosaic Ventures, Taavet Hinrikus, Samir Desai and Yuri Milner also participated in this round. The company intends to use the funds to speed up its growth and enhance the technology behind its service, further developing its machine learning capabilities over the next 12 months.</t>
        </is>
      </c>
      <c r="AW209" s="57" t="inlineStr">
        <is>
          <t>Atomico, Mark Troughton, Mosaic Ventures, Paul Forster, Revolution, Ribbit Capital, Samir Desai, Taavet Hinrikus, Tom Stafford, Yuri Milner</t>
        </is>
      </c>
      <c r="AX209" s="58" t="n">
        <v>10.0</v>
      </c>
      <c r="AY209" s="59" t="inlineStr">
        <is>
          <t/>
        </is>
      </c>
      <c r="AZ209" s="60" t="inlineStr">
        <is>
          <t/>
        </is>
      </c>
      <c r="BA209" s="61" t="inlineStr">
        <is>
          <t/>
        </is>
      </c>
      <c r="BB209" s="62" t="inlineStr">
        <is>
          <t>Atomico (www.atomico.com), Mosaic Ventures (www.mosaicventures.com), Revolution (www.revolution.com), Ribbit Capital (www.ribbitcap.com)</t>
        </is>
      </c>
      <c r="BC209" s="63" t="inlineStr">
        <is>
          <t/>
        </is>
      </c>
      <c r="BD209" s="64" t="inlineStr">
        <is>
          <t/>
        </is>
      </c>
      <c r="BE209" s="65" t="inlineStr">
        <is>
          <t>JAG Shaw Baker (Legal Advisor)</t>
        </is>
      </c>
      <c r="BF209" s="66" t="inlineStr">
        <is>
          <t/>
        </is>
      </c>
      <c r="BG209" s="67" t="n">
        <v>42283.0</v>
      </c>
      <c r="BH209" s="68" t="n">
        <v>0.31</v>
      </c>
      <c r="BI209" s="69" t="inlineStr">
        <is>
          <t>Actual</t>
        </is>
      </c>
      <c r="BJ209" s="70" t="n">
        <v>1.54</v>
      </c>
      <c r="BK209" s="71" t="inlineStr">
        <is>
          <t>Actual</t>
        </is>
      </c>
      <c r="BL209" s="72" t="inlineStr">
        <is>
          <t>Angel (individual)</t>
        </is>
      </c>
      <c r="BM209" s="73" t="inlineStr">
        <is>
          <t>Angel</t>
        </is>
      </c>
      <c r="BN209" s="74" t="inlineStr">
        <is>
          <t/>
        </is>
      </c>
      <c r="BO209" s="75" t="inlineStr">
        <is>
          <t>Individual</t>
        </is>
      </c>
      <c r="BP209" s="76" t="inlineStr">
        <is>
          <t/>
        </is>
      </c>
      <c r="BQ209" s="77" t="inlineStr">
        <is>
          <t/>
        </is>
      </c>
      <c r="BR209" s="78" t="inlineStr">
        <is>
          <t/>
        </is>
      </c>
      <c r="BS209" s="79" t="inlineStr">
        <is>
          <t>Completed</t>
        </is>
      </c>
      <c r="BT209" s="80" t="n">
        <v>42981.0</v>
      </c>
      <c r="BU209" s="81" t="n">
        <v>20.31</v>
      </c>
      <c r="BV209" s="82" t="inlineStr">
        <is>
          <t>Actual</t>
        </is>
      </c>
      <c r="BW209" s="83" t="inlineStr">
        <is>
          <t/>
        </is>
      </c>
      <c r="BX209" s="84" t="inlineStr">
        <is>
          <t/>
        </is>
      </c>
      <c r="BY209" s="85" t="inlineStr">
        <is>
          <t>Early Stage VC</t>
        </is>
      </c>
      <c r="BZ209" s="86" t="inlineStr">
        <is>
          <t>Series B</t>
        </is>
      </c>
      <c r="CA209" s="87" t="inlineStr">
        <is>
          <t/>
        </is>
      </c>
      <c r="CB209" s="88" t="inlineStr">
        <is>
          <t>Venture Capital</t>
        </is>
      </c>
      <c r="CC209" s="89" t="inlineStr">
        <is>
          <t/>
        </is>
      </c>
      <c r="CD209" s="90" t="inlineStr">
        <is>
          <t/>
        </is>
      </c>
      <c r="CE209" s="91" t="inlineStr">
        <is>
          <t/>
        </is>
      </c>
      <c r="CF209" s="92" t="inlineStr">
        <is>
          <t>Completed</t>
        </is>
      </c>
      <c r="CG209" s="93" t="inlineStr">
        <is>
          <t>2,50%</t>
        </is>
      </c>
      <c r="CH209" s="94" t="inlineStr">
        <is>
          <t>95</t>
        </is>
      </c>
      <c r="CI209" s="95" t="inlineStr">
        <is>
          <t>3,92%</t>
        </is>
      </c>
      <c r="CJ209" s="96" t="inlineStr">
        <is>
          <t>275,91%</t>
        </is>
      </c>
      <c r="CK209" s="97" t="inlineStr">
        <is>
          <t>3,35%</t>
        </is>
      </c>
      <c r="CL209" s="98" t="inlineStr">
        <is>
          <t>94</t>
        </is>
      </c>
      <c r="CM209" s="99" t="inlineStr">
        <is>
          <t>1,66%</t>
        </is>
      </c>
      <c r="CN209" s="100" t="inlineStr">
        <is>
          <t>98</t>
        </is>
      </c>
      <c r="CO209" s="101" t="inlineStr">
        <is>
          <t>-0,14%</t>
        </is>
      </c>
      <c r="CP209" s="102" t="inlineStr">
        <is>
          <t>25</t>
        </is>
      </c>
      <c r="CQ209" s="103" t="inlineStr">
        <is>
          <t>6,83%</t>
        </is>
      </c>
      <c r="CR209" s="104" t="inlineStr">
        <is>
          <t>96</t>
        </is>
      </c>
      <c r="CS209" s="105" t="inlineStr">
        <is>
          <t>3,31%</t>
        </is>
      </c>
      <c r="CT209" s="106" t="inlineStr">
        <is>
          <t>99</t>
        </is>
      </c>
      <c r="CU209" s="107" t="inlineStr">
        <is>
          <t>0,00%</t>
        </is>
      </c>
      <c r="CV209" s="108" t="inlineStr">
        <is>
          <t>20</t>
        </is>
      </c>
      <c r="CW209" s="109" t="inlineStr">
        <is>
          <t>11,13x</t>
        </is>
      </c>
      <c r="CX209" s="110" t="inlineStr">
        <is>
          <t>88</t>
        </is>
      </c>
      <c r="CY209" s="111" t="inlineStr">
        <is>
          <t>1,07x</t>
        </is>
      </c>
      <c r="CZ209" s="112" t="inlineStr">
        <is>
          <t>10,65%</t>
        </is>
      </c>
      <c r="DA209" s="113" t="inlineStr">
        <is>
          <t>19,83x</t>
        </is>
      </c>
      <c r="DB209" s="114" t="inlineStr">
        <is>
          <t>92</t>
        </is>
      </c>
      <c r="DC209" s="115" t="inlineStr">
        <is>
          <t>2,43x</t>
        </is>
      </c>
      <c r="DD209" s="116" t="inlineStr">
        <is>
          <t>65</t>
        </is>
      </c>
      <c r="DE209" s="117" t="inlineStr">
        <is>
          <t>29,66x</t>
        </is>
      </c>
      <c r="DF209" s="118" t="inlineStr">
        <is>
          <t>91</t>
        </is>
      </c>
      <c r="DG209" s="119" t="inlineStr">
        <is>
          <t>10,00x</t>
        </is>
      </c>
      <c r="DH209" s="120" t="inlineStr">
        <is>
          <t>86</t>
        </is>
      </c>
      <c r="DI209" s="121" t="inlineStr">
        <is>
          <t>4,85x</t>
        </is>
      </c>
      <c r="DJ209" s="122" t="inlineStr">
        <is>
          <t>74</t>
        </is>
      </c>
      <c r="DK209" s="123" t="inlineStr">
        <is>
          <t>0,02x</t>
        </is>
      </c>
      <c r="DL209" s="124" t="inlineStr">
        <is>
          <t>5</t>
        </is>
      </c>
      <c r="DM209" s="125" t="inlineStr">
        <is>
          <t>18.120</t>
        </is>
      </c>
      <c r="DN209" s="126" t="inlineStr">
        <is>
          <t>356</t>
        </is>
      </c>
      <c r="DO209" s="127" t="inlineStr">
        <is>
          <t>2,00%</t>
        </is>
      </c>
      <c r="DP209" s="128" t="inlineStr">
        <is>
          <t>3.822</t>
        </is>
      </c>
      <c r="DQ209" s="129" t="inlineStr">
        <is>
          <t>116</t>
        </is>
      </c>
      <c r="DR209" s="130" t="inlineStr">
        <is>
          <t>3,13%</t>
        </is>
      </c>
      <c r="DS209" s="131" t="inlineStr">
        <is>
          <t>302</t>
        </is>
      </c>
      <c r="DT209" s="132" t="inlineStr">
        <is>
          <t>102</t>
        </is>
      </c>
      <c r="DU209" s="133" t="inlineStr">
        <is>
          <t>51,00%</t>
        </is>
      </c>
      <c r="DV209" s="134" t="inlineStr">
        <is>
          <t>6</t>
        </is>
      </c>
      <c r="DW209" s="135" t="inlineStr">
        <is>
          <t>2</t>
        </is>
      </c>
      <c r="DX209" s="136" t="inlineStr">
        <is>
          <t>50,00%</t>
        </is>
      </c>
      <c r="DY209" s="137" t="inlineStr">
        <is>
          <t>PitchBook Research</t>
        </is>
      </c>
      <c r="DZ209" s="785">
        <f>HYPERLINK("https://my.pitchbook.com?c=156930-40", "View company online")</f>
      </c>
    </row>
    <row r="210">
      <c r="A210" s="139" t="inlineStr">
        <is>
          <t>62009-83</t>
        </is>
      </c>
      <c r="B210" s="140" t="inlineStr">
        <is>
          <t>Healbe</t>
        </is>
      </c>
      <c r="C210" s="141" t="inlineStr">
        <is>
          <t/>
        </is>
      </c>
      <c r="D210" s="142" t="inlineStr">
        <is>
          <t/>
        </is>
      </c>
      <c r="E210" s="143" t="inlineStr">
        <is>
          <t>62009-83</t>
        </is>
      </c>
      <c r="F210" s="144" t="inlineStr">
        <is>
          <t>Provider of mobile application and wearable device designed to track body fitness. The company;'s mobile application and wearable device offers automatic calorie management technology that combines information from 5 sensors with an advanced algorithm, enabling users to track comprehensive information from human body like measure blood glucose concentrations.</t>
        </is>
      </c>
      <c r="G210" s="145" t="inlineStr">
        <is>
          <t>Healthcare</t>
        </is>
      </c>
      <c r="H210" s="146" t="inlineStr">
        <is>
          <t>Healthcare Devices and Supplies</t>
        </is>
      </c>
      <c r="I210" s="147" t="inlineStr">
        <is>
          <t>Monitoring Equipment</t>
        </is>
      </c>
      <c r="J210" s="148" t="inlineStr">
        <is>
          <t>Monitoring Equipment*; Application Software</t>
        </is>
      </c>
      <c r="K210" s="149" t="inlineStr">
        <is>
          <t>HealthTech, LOHAS &amp; Wellness, Mobile, Wearables &amp; Quantified Self</t>
        </is>
      </c>
      <c r="L210" s="150" t="inlineStr">
        <is>
          <t>Venture Capital-Backed</t>
        </is>
      </c>
      <c r="M210" s="151" t="n">
        <v>11.22</v>
      </c>
      <c r="N210" s="152" t="inlineStr">
        <is>
          <t>Generating Revenue/Not Profitable</t>
        </is>
      </c>
      <c r="O210" s="153" t="inlineStr">
        <is>
          <t>Privately Held (backing)</t>
        </is>
      </c>
      <c r="P210" s="154" t="inlineStr">
        <is>
          <t>Venture Capital</t>
        </is>
      </c>
      <c r="Q210" s="155" t="inlineStr">
        <is>
          <t>www.healbe.com</t>
        </is>
      </c>
      <c r="R210" s="156" t="n">
        <v>31.0</v>
      </c>
      <c r="S210" s="157" t="inlineStr">
        <is>
          <t/>
        </is>
      </c>
      <c r="T210" s="158" t="inlineStr">
        <is>
          <t/>
        </is>
      </c>
      <c r="U210" s="159" t="n">
        <v>2012.0</v>
      </c>
      <c r="V210" s="160" t="inlineStr">
        <is>
          <t/>
        </is>
      </c>
      <c r="W210" s="161" t="inlineStr">
        <is>
          <t/>
        </is>
      </c>
      <c r="X210" s="162" t="inlineStr">
        <is>
          <t/>
        </is>
      </c>
      <c r="Y210" s="163" t="n">
        <v>12.17565</v>
      </c>
      <c r="Z210" s="164" t="inlineStr">
        <is>
          <t/>
        </is>
      </c>
      <c r="AA210" s="165" t="n">
        <v>-4.05855</v>
      </c>
      <c r="AB210" s="166" t="n">
        <v>20.29275</v>
      </c>
      <c r="AC210" s="167" t="inlineStr">
        <is>
          <t/>
        </is>
      </c>
      <c r="AD210" s="168" t="inlineStr">
        <is>
          <t>FY 2014</t>
        </is>
      </c>
      <c r="AE210" s="169" t="inlineStr">
        <is>
          <t>78368-32P</t>
        </is>
      </c>
      <c r="AF210" s="170" t="inlineStr">
        <is>
          <t>Artem Shipitsyn</t>
        </is>
      </c>
      <c r="AG210" s="171" t="inlineStr">
        <is>
          <t>Chief Executive Officer &amp; Co-Founder</t>
        </is>
      </c>
      <c r="AH210" s="172" t="inlineStr">
        <is>
          <t>shipitsyn@healbe.com</t>
        </is>
      </c>
      <c r="AI210" s="173" t="inlineStr">
        <is>
          <t>+7 (8)985 999 8119</t>
        </is>
      </c>
      <c r="AJ210" s="174" t="inlineStr">
        <is>
          <t>Moscow, Russia</t>
        </is>
      </c>
      <c r="AK210" s="175" t="inlineStr">
        <is>
          <t>2nd Roshchinskaya, 4</t>
        </is>
      </c>
      <c r="AL210" s="176" t="inlineStr">
        <is>
          <t>Ofis 503</t>
        </is>
      </c>
      <c r="AM210" s="177" t="inlineStr">
        <is>
          <t>Moscow</t>
        </is>
      </c>
      <c r="AN210" s="178" t="inlineStr">
        <is>
          <t/>
        </is>
      </c>
      <c r="AO210" s="179" t="inlineStr">
        <is>
          <t>115191</t>
        </is>
      </c>
      <c r="AP210" s="180" t="inlineStr">
        <is>
          <t>Russia</t>
        </is>
      </c>
      <c r="AQ210" s="181" t="inlineStr">
        <is>
          <t>+7 (8)985 999 8119</t>
        </is>
      </c>
      <c r="AR210" s="182" t="inlineStr">
        <is>
          <t>+7 (8)495 916 7621</t>
        </is>
      </c>
      <c r="AS210" s="183" t="inlineStr">
        <is>
          <t>gobe@healbe.com</t>
        </is>
      </c>
      <c r="AT210" s="184" t="inlineStr">
        <is>
          <t>Europe</t>
        </is>
      </c>
      <c r="AU210" s="185" t="inlineStr">
        <is>
          <t>Eastern Europe</t>
        </is>
      </c>
      <c r="AV210" s="186" t="inlineStr">
        <is>
          <t>The company closed on $6.5 million of convertible debt financing from undisclosed investors on October 6, 2016. The funds will be used on international expansion and the creation of a new version of the bracelet Healbe GoBe. Previously, the company joined Starta Accelerator as part of 1st class on January 13, 2016. The company is being actively tracked by PitchBook.</t>
        </is>
      </c>
      <c r="AW210" s="187" t="inlineStr">
        <is>
          <t>Alexander Tarakanov, Alexey Girin, API Moscow, Artem Shipitsyn, Dmitry Chaliy, Starta Accelerator, Starta Capital</t>
        </is>
      </c>
      <c r="AX210" s="188" t="n">
        <v>7.0</v>
      </c>
      <c r="AY210" s="189" t="inlineStr">
        <is>
          <t/>
        </is>
      </c>
      <c r="AZ210" s="190" t="inlineStr">
        <is>
          <t/>
        </is>
      </c>
      <c r="BA210" s="191" t="inlineStr">
        <is>
          <t/>
        </is>
      </c>
      <c r="BB210" s="192" t="inlineStr">
        <is>
          <t>API Moscow (www.apimoscow.ru), Starta Accelerator (www.startaaccelerator.com), Starta Capital (www.startacapital.com)</t>
        </is>
      </c>
      <c r="BC210" s="193" t="inlineStr">
        <is>
          <t/>
        </is>
      </c>
      <c r="BD210" s="194" t="inlineStr">
        <is>
          <t/>
        </is>
      </c>
      <c r="BE210" s="195" t="inlineStr">
        <is>
          <t>White Summers Caffee &amp; James (Legal Advisor)</t>
        </is>
      </c>
      <c r="BF210" s="196" t="inlineStr">
        <is>
          <t>Indiegogo (Lead Manager or Arranger)</t>
        </is>
      </c>
      <c r="BG210" s="197" t="n">
        <v>41091.0</v>
      </c>
      <c r="BH210" s="198" t="n">
        <v>0.59</v>
      </c>
      <c r="BI210" s="199" t="inlineStr">
        <is>
          <t>Actual</t>
        </is>
      </c>
      <c r="BJ210" s="200" t="inlineStr">
        <is>
          <t/>
        </is>
      </c>
      <c r="BK210" s="201" t="inlineStr">
        <is>
          <t/>
        </is>
      </c>
      <c r="BL210" s="202" t="inlineStr">
        <is>
          <t>Seed Round</t>
        </is>
      </c>
      <c r="BM210" s="203" t="inlineStr">
        <is>
          <t>Seed</t>
        </is>
      </c>
      <c r="BN210" s="204" t="inlineStr">
        <is>
          <t/>
        </is>
      </c>
      <c r="BO210" s="205" t="inlineStr">
        <is>
          <t>Venture Capital</t>
        </is>
      </c>
      <c r="BP210" s="206" t="inlineStr">
        <is>
          <t/>
        </is>
      </c>
      <c r="BQ210" s="207" t="inlineStr">
        <is>
          <t/>
        </is>
      </c>
      <c r="BR210" s="208" t="inlineStr">
        <is>
          <t/>
        </is>
      </c>
      <c r="BS210" s="209" t="inlineStr">
        <is>
          <t>Completed</t>
        </is>
      </c>
      <c r="BT210" s="210" t="n">
        <v>42649.0</v>
      </c>
      <c r="BU210" s="211" t="n">
        <v>5.89</v>
      </c>
      <c r="BV210" s="212" t="inlineStr">
        <is>
          <t>Actual</t>
        </is>
      </c>
      <c r="BW210" s="213" t="inlineStr">
        <is>
          <t/>
        </is>
      </c>
      <c r="BX210" s="214" t="inlineStr">
        <is>
          <t/>
        </is>
      </c>
      <c r="BY210" s="215" t="inlineStr">
        <is>
          <t>Early Stage VC</t>
        </is>
      </c>
      <c r="BZ210" s="216" t="inlineStr">
        <is>
          <t/>
        </is>
      </c>
      <c r="CA210" s="217" t="inlineStr">
        <is>
          <t/>
        </is>
      </c>
      <c r="CB210" s="218" t="inlineStr">
        <is>
          <t>Venture Capital</t>
        </is>
      </c>
      <c r="CC210" s="219" t="inlineStr">
        <is>
          <t>Convertible Debt</t>
        </is>
      </c>
      <c r="CD210" s="220" t="inlineStr">
        <is>
          <t/>
        </is>
      </c>
      <c r="CE210" s="221" t="inlineStr">
        <is>
          <t/>
        </is>
      </c>
      <c r="CF210" s="222" t="inlineStr">
        <is>
          <t>Announced/In Progress</t>
        </is>
      </c>
      <c r="CG210" s="223" t="inlineStr">
        <is>
          <t>-0,71%</t>
        </is>
      </c>
      <c r="CH210" s="224" t="inlineStr">
        <is>
          <t>7</t>
        </is>
      </c>
      <c r="CI210" s="225" t="inlineStr">
        <is>
          <t>0,00%</t>
        </is>
      </c>
      <c r="CJ210" s="226" t="inlineStr">
        <is>
          <t>-0,63%</t>
        </is>
      </c>
      <c r="CK210" s="227" t="inlineStr">
        <is>
          <t>-1,38%</t>
        </is>
      </c>
      <c r="CL210" s="228" t="inlineStr">
        <is>
          <t>7</t>
        </is>
      </c>
      <c r="CM210" s="229" t="inlineStr">
        <is>
          <t>-0,04%</t>
        </is>
      </c>
      <c r="CN210" s="230" t="inlineStr">
        <is>
          <t>9</t>
        </is>
      </c>
      <c r="CO210" s="231" t="inlineStr">
        <is>
          <t>-2,76%</t>
        </is>
      </c>
      <c r="CP210" s="232" t="inlineStr">
        <is>
          <t>13</t>
        </is>
      </c>
      <c r="CQ210" s="233" t="inlineStr">
        <is>
          <t>0,00%</t>
        </is>
      </c>
      <c r="CR210" s="234" t="inlineStr">
        <is>
          <t>13</t>
        </is>
      </c>
      <c r="CS210" s="235" t="inlineStr">
        <is>
          <t>-0,02%</t>
        </is>
      </c>
      <c r="CT210" s="236" t="inlineStr">
        <is>
          <t>12</t>
        </is>
      </c>
      <c r="CU210" s="237" t="inlineStr">
        <is>
          <t>-0,06%</t>
        </is>
      </c>
      <c r="CV210" s="238" t="inlineStr">
        <is>
          <t>10</t>
        </is>
      </c>
      <c r="CW210" s="239" t="inlineStr">
        <is>
          <t>17,58x</t>
        </is>
      </c>
      <c r="CX210" s="240" t="inlineStr">
        <is>
          <t>91</t>
        </is>
      </c>
      <c r="CY210" s="241" t="inlineStr">
        <is>
          <t>0,26x</t>
        </is>
      </c>
      <c r="CZ210" s="242" t="inlineStr">
        <is>
          <t>1,51%</t>
        </is>
      </c>
      <c r="DA210" s="243" t="inlineStr">
        <is>
          <t>9,26x</t>
        </is>
      </c>
      <c r="DB210" s="244" t="inlineStr">
        <is>
          <t>87</t>
        </is>
      </c>
      <c r="DC210" s="245" t="inlineStr">
        <is>
          <t>25,91x</t>
        </is>
      </c>
      <c r="DD210" s="246" t="inlineStr">
        <is>
          <t>91</t>
        </is>
      </c>
      <c r="DE210" s="247" t="inlineStr">
        <is>
          <t>16,44x</t>
        </is>
      </c>
      <c r="DF210" s="248" t="inlineStr">
        <is>
          <t>87</t>
        </is>
      </c>
      <c r="DG210" s="249" t="inlineStr">
        <is>
          <t>2,08x</t>
        </is>
      </c>
      <c r="DH210" s="250" t="inlineStr">
        <is>
          <t>65</t>
        </is>
      </c>
      <c r="DI210" s="251" t="inlineStr">
        <is>
          <t>30,77x</t>
        </is>
      </c>
      <c r="DJ210" s="252" t="inlineStr">
        <is>
          <t>90</t>
        </is>
      </c>
      <c r="DK210" s="253" t="inlineStr">
        <is>
          <t>21,04x</t>
        </is>
      </c>
      <c r="DL210" s="254" t="inlineStr">
        <is>
          <t>92</t>
        </is>
      </c>
      <c r="DM210" s="255" t="inlineStr">
        <is>
          <t>10.329</t>
        </is>
      </c>
      <c r="DN210" s="256" t="inlineStr">
        <is>
          <t>-649</t>
        </is>
      </c>
      <c r="DO210" s="257" t="inlineStr">
        <is>
          <t>-5,91%</t>
        </is>
      </c>
      <c r="DP210" s="258" t="inlineStr">
        <is>
          <t>24.585</t>
        </is>
      </c>
      <c r="DQ210" s="259" t="inlineStr">
        <is>
          <t>-2</t>
        </is>
      </c>
      <c r="DR210" s="260" t="inlineStr">
        <is>
          <t>-0,01%</t>
        </is>
      </c>
      <c r="DS210" s="261" t="inlineStr">
        <is>
          <t>75</t>
        </is>
      </c>
      <c r="DT210" s="262" t="inlineStr">
        <is>
          <t>-2</t>
        </is>
      </c>
      <c r="DU210" s="263" t="inlineStr">
        <is>
          <t>-2,60%</t>
        </is>
      </c>
      <c r="DV210" s="264" t="inlineStr">
        <is>
          <t>7.219</t>
        </is>
      </c>
      <c r="DW210" s="265" t="inlineStr">
        <is>
          <t>-10</t>
        </is>
      </c>
      <c r="DX210" s="266" t="inlineStr">
        <is>
          <t>-0,14%</t>
        </is>
      </c>
      <c r="DY210" s="267" t="inlineStr">
        <is>
          <t>PitchBook Research</t>
        </is>
      </c>
      <c r="DZ210" s="786">
        <f>HYPERLINK("https://my.pitchbook.com?c=62009-83", "View company online")</f>
      </c>
    </row>
    <row r="211">
      <c r="A211" s="9" t="inlineStr">
        <is>
          <t>153909-91</t>
        </is>
      </c>
      <c r="B211" s="10" t="inlineStr">
        <is>
          <t>HeavenHR</t>
        </is>
      </c>
      <c r="C211" s="11" t="inlineStr">
        <is>
          <t/>
        </is>
      </c>
      <c r="D211" s="12" t="inlineStr">
        <is>
          <t/>
        </is>
      </c>
      <c r="E211" s="13" t="inlineStr">
        <is>
          <t>153909-91</t>
        </is>
      </c>
      <c r="F211" s="14" t="inlineStr">
        <is>
          <t>Provider of a cloud HR management platform for small and medium enterprises. The company provides a cloud-based human resources management platform that offer tools to digitize and automate HR administrative tasks as well as to enable money management and HR staff to focus on recruiting, training and engaging employees.</t>
        </is>
      </c>
      <c r="G211" s="15" t="inlineStr">
        <is>
          <t>Information Technology</t>
        </is>
      </c>
      <c r="H211" s="16" t="inlineStr">
        <is>
          <t>Software</t>
        </is>
      </c>
      <c r="I211" s="17" t="inlineStr">
        <is>
          <t>Business/Productivity Software</t>
        </is>
      </c>
      <c r="J211" s="18" t="inlineStr">
        <is>
          <t>Business/Productivity Software*; Human Capital Services</t>
        </is>
      </c>
      <c r="K211" s="19" t="inlineStr">
        <is>
          <t/>
        </is>
      </c>
      <c r="L211" s="20" t="inlineStr">
        <is>
          <t>Venture Capital-Backed</t>
        </is>
      </c>
      <c r="M211" s="21" t="n">
        <v>6.0</v>
      </c>
      <c r="N211" s="22" t="inlineStr">
        <is>
          <t>Startup</t>
        </is>
      </c>
      <c r="O211" s="23" t="inlineStr">
        <is>
          <t>Privately Held (backing)</t>
        </is>
      </c>
      <c r="P211" s="24" t="inlineStr">
        <is>
          <t>Venture Capital</t>
        </is>
      </c>
      <c r="Q211" s="25" t="inlineStr">
        <is>
          <t>www.heavenhr.com</t>
        </is>
      </c>
      <c r="R211" s="26" t="n">
        <v>45.0</v>
      </c>
      <c r="S211" s="27" t="inlineStr">
        <is>
          <t/>
        </is>
      </c>
      <c r="T211" s="28" t="inlineStr">
        <is>
          <t/>
        </is>
      </c>
      <c r="U211" s="29" t="n">
        <v>2015.0</v>
      </c>
      <c r="V211" s="30" t="inlineStr">
        <is>
          <t/>
        </is>
      </c>
      <c r="W211" s="31" t="inlineStr">
        <is>
          <t/>
        </is>
      </c>
      <c r="X211" s="32" t="inlineStr">
        <is>
          <t/>
        </is>
      </c>
      <c r="Y211" s="33" t="inlineStr">
        <is>
          <t/>
        </is>
      </c>
      <c r="Z211" s="34" t="inlineStr">
        <is>
          <t/>
        </is>
      </c>
      <c r="AA211" s="35" t="inlineStr">
        <is>
          <t/>
        </is>
      </c>
      <c r="AB211" s="36" t="inlineStr">
        <is>
          <t/>
        </is>
      </c>
      <c r="AC211" s="37" t="inlineStr">
        <is>
          <t/>
        </is>
      </c>
      <c r="AD211" s="38" t="inlineStr">
        <is>
          <t/>
        </is>
      </c>
      <c r="AE211" s="39" t="inlineStr">
        <is>
          <t>128529-46P</t>
        </is>
      </c>
      <c r="AF211" s="40" t="inlineStr">
        <is>
          <t>Johannes Roggendorf</t>
        </is>
      </c>
      <c r="AG211" s="41" t="inlineStr">
        <is>
          <t>Founder, Chief Executive Officer and Managing Director</t>
        </is>
      </c>
      <c r="AH211" s="42" t="inlineStr">
        <is>
          <t/>
        </is>
      </c>
      <c r="AI211" s="43" t="inlineStr">
        <is>
          <t>+49 (0)30 5557 4399 0</t>
        </is>
      </c>
      <c r="AJ211" s="44" t="inlineStr">
        <is>
          <t>Berlin, Germany</t>
        </is>
      </c>
      <c r="AK211" s="45" t="inlineStr">
        <is>
          <t>Bergmannstraße 72</t>
        </is>
      </c>
      <c r="AL211" s="46" t="inlineStr">
        <is>
          <t/>
        </is>
      </c>
      <c r="AM211" s="47" t="inlineStr">
        <is>
          <t>Berlin</t>
        </is>
      </c>
      <c r="AN211" s="48" t="inlineStr">
        <is>
          <t/>
        </is>
      </c>
      <c r="AO211" s="49" t="inlineStr">
        <is>
          <t>10961</t>
        </is>
      </c>
      <c r="AP211" s="50" t="inlineStr">
        <is>
          <t>Germany</t>
        </is>
      </c>
      <c r="AQ211" s="51" t="inlineStr">
        <is>
          <t>+49 (0)30 5557 4399 0</t>
        </is>
      </c>
      <c r="AR211" s="52" t="inlineStr">
        <is>
          <t/>
        </is>
      </c>
      <c r="AS211" s="53" t="inlineStr">
        <is>
          <t>info@heavenhr.de</t>
        </is>
      </c>
      <c r="AT211" s="54" t="inlineStr">
        <is>
          <t>Europe</t>
        </is>
      </c>
      <c r="AU211" s="55" t="inlineStr">
        <is>
          <t>Western Europe</t>
        </is>
      </c>
      <c r="AV211" s="56" t="inlineStr">
        <is>
          <t>The company raised EUR 6 million of Series A venture funding led by Target Global, DN Capital and OpenOcean on August 12, 2016. Piton Capital and Mutschler Ventures also participated. The company intends to use the funds for technical optimization of the platform and to accelerate growth.</t>
        </is>
      </c>
      <c r="AW211" s="57" t="inlineStr">
        <is>
          <t>Apoletto Asia, Cavalry Ventures, DN Capital, Felix Jahn, Lakestar, Open Ocean Partners, Piton Capital, Target Global, The Mutschler Group, Voltage Ventures, Warpspeed Ventures</t>
        </is>
      </c>
      <c r="AX211" s="58" t="n">
        <v>11.0</v>
      </c>
      <c r="AY211" s="59" t="inlineStr">
        <is>
          <t/>
        </is>
      </c>
      <c r="AZ211" s="60" t="inlineStr">
        <is>
          <t/>
        </is>
      </c>
      <c r="BA211" s="61" t="inlineStr">
        <is>
          <t/>
        </is>
      </c>
      <c r="BB211" s="62" t="inlineStr">
        <is>
          <t>Cavalry Ventures (www.cavalry.vc), DN Capital (www.dncapital.com), Lakestar (www.lakestar.com), Open Ocean Partners (www.openocean.vc), Piton Capital (www.pitoncap.com), Target Global (www.targetglobal.vc), The Mutschler Group (www.mutschler-immobilien.com), Voltage Ventures (www.voltage.vc)</t>
        </is>
      </c>
      <c r="BC211" s="63" t="inlineStr">
        <is>
          <t/>
        </is>
      </c>
      <c r="BD211" s="64" t="inlineStr">
        <is>
          <t/>
        </is>
      </c>
      <c r="BE211" s="65" t="inlineStr">
        <is>
          <t/>
        </is>
      </c>
      <c r="BF211" s="66" t="inlineStr">
        <is>
          <t/>
        </is>
      </c>
      <c r="BG211" s="67" t="n">
        <v>42125.0</v>
      </c>
      <c r="BH211" s="68" t="inlineStr">
        <is>
          <t/>
        </is>
      </c>
      <c r="BI211" s="69" t="inlineStr">
        <is>
          <t/>
        </is>
      </c>
      <c r="BJ211" s="70" t="inlineStr">
        <is>
          <t/>
        </is>
      </c>
      <c r="BK211" s="71" t="inlineStr">
        <is>
          <t/>
        </is>
      </c>
      <c r="BL211" s="72" t="inlineStr">
        <is>
          <t>Accelerator/Incubator</t>
        </is>
      </c>
      <c r="BM211" s="73" t="inlineStr">
        <is>
          <t/>
        </is>
      </c>
      <c r="BN211" s="74" t="inlineStr">
        <is>
          <t/>
        </is>
      </c>
      <c r="BO211" s="75" t="inlineStr">
        <is>
          <t>Other</t>
        </is>
      </c>
      <c r="BP211" s="76" t="inlineStr">
        <is>
          <t/>
        </is>
      </c>
      <c r="BQ211" s="77" t="inlineStr">
        <is>
          <t/>
        </is>
      </c>
      <c r="BR211" s="78" t="inlineStr">
        <is>
          <t/>
        </is>
      </c>
      <c r="BS211" s="79" t="inlineStr">
        <is>
          <t>Completed</t>
        </is>
      </c>
      <c r="BT211" s="80" t="n">
        <v>42594.0</v>
      </c>
      <c r="BU211" s="81" t="n">
        <v>6.0</v>
      </c>
      <c r="BV211" s="82" t="inlineStr">
        <is>
          <t>Actual</t>
        </is>
      </c>
      <c r="BW211" s="83" t="inlineStr">
        <is>
          <t/>
        </is>
      </c>
      <c r="BX211" s="84" t="inlineStr">
        <is>
          <t/>
        </is>
      </c>
      <c r="BY211" s="85" t="inlineStr">
        <is>
          <t>Early Stage VC</t>
        </is>
      </c>
      <c r="BZ211" s="86" t="inlineStr">
        <is>
          <t>Series A</t>
        </is>
      </c>
      <c r="CA211" s="87" t="inlineStr">
        <is>
          <t/>
        </is>
      </c>
      <c r="CB211" s="88" t="inlineStr">
        <is>
          <t>Venture Capital</t>
        </is>
      </c>
      <c r="CC211" s="89" t="inlineStr">
        <is>
          <t>Convertible Debt</t>
        </is>
      </c>
      <c r="CD211" s="90" t="inlineStr">
        <is>
          <t/>
        </is>
      </c>
      <c r="CE211" s="91" t="inlineStr">
        <is>
          <t/>
        </is>
      </c>
      <c r="CF211" s="92" t="inlineStr">
        <is>
          <t>Completed</t>
        </is>
      </c>
      <c r="CG211" s="93" t="inlineStr">
        <is>
          <t>-1,07%</t>
        </is>
      </c>
      <c r="CH211" s="94" t="inlineStr">
        <is>
          <t>5</t>
        </is>
      </c>
      <c r="CI211" s="95" t="inlineStr">
        <is>
          <t>0,06%</t>
        </is>
      </c>
      <c r="CJ211" s="96" t="inlineStr">
        <is>
          <t>5,44%</t>
        </is>
      </c>
      <c r="CK211" s="97" t="inlineStr">
        <is>
          <t>-1,99%</t>
        </is>
      </c>
      <c r="CL211" s="98" t="inlineStr">
        <is>
          <t>5</t>
        </is>
      </c>
      <c r="CM211" s="99" t="inlineStr">
        <is>
          <t>-0,15%</t>
        </is>
      </c>
      <c r="CN211" s="100" t="inlineStr">
        <is>
          <t>2</t>
        </is>
      </c>
      <c r="CO211" s="101" t="inlineStr">
        <is>
          <t>-3,98%</t>
        </is>
      </c>
      <c r="CP211" s="102" t="inlineStr">
        <is>
          <t>9</t>
        </is>
      </c>
      <c r="CQ211" s="103" t="inlineStr">
        <is>
          <t>0,00%</t>
        </is>
      </c>
      <c r="CR211" s="104" t="inlineStr">
        <is>
          <t>13</t>
        </is>
      </c>
      <c r="CS211" s="105" t="inlineStr">
        <is>
          <t/>
        </is>
      </c>
      <c r="CT211" s="106" t="inlineStr">
        <is>
          <t/>
        </is>
      </c>
      <c r="CU211" s="107" t="inlineStr">
        <is>
          <t>-0,15%</t>
        </is>
      </c>
      <c r="CV211" s="108" t="inlineStr">
        <is>
          <t>4</t>
        </is>
      </c>
      <c r="CW211" s="109" t="inlineStr">
        <is>
          <t>7,24x</t>
        </is>
      </c>
      <c r="CX211" s="110" t="inlineStr">
        <is>
          <t>83</t>
        </is>
      </c>
      <c r="CY211" s="111" t="inlineStr">
        <is>
          <t>0,05x</t>
        </is>
      </c>
      <c r="CZ211" s="112" t="inlineStr">
        <is>
          <t>0,71%</t>
        </is>
      </c>
      <c r="DA211" s="113" t="inlineStr">
        <is>
          <t>14,00x</t>
        </is>
      </c>
      <c r="DB211" s="114" t="inlineStr">
        <is>
          <t>90</t>
        </is>
      </c>
      <c r="DC211" s="115" t="inlineStr">
        <is>
          <t>0,48x</t>
        </is>
      </c>
      <c r="DD211" s="116" t="inlineStr">
        <is>
          <t>35</t>
        </is>
      </c>
      <c r="DE211" s="117" t="inlineStr">
        <is>
          <t>24,20x</t>
        </is>
      </c>
      <c r="DF211" s="118" t="inlineStr">
        <is>
          <t>90</t>
        </is>
      </c>
      <c r="DG211" s="119" t="inlineStr">
        <is>
          <t>3,81x</t>
        </is>
      </c>
      <c r="DH211" s="120" t="inlineStr">
        <is>
          <t>75</t>
        </is>
      </c>
      <c r="DI211" s="121" t="inlineStr">
        <is>
          <t/>
        </is>
      </c>
      <c r="DJ211" s="122" t="inlineStr">
        <is>
          <t/>
        </is>
      </c>
      <c r="DK211" s="123" t="inlineStr">
        <is>
          <t>0,48x</t>
        </is>
      </c>
      <c r="DL211" s="124" t="inlineStr">
        <is>
          <t>38</t>
        </is>
      </c>
      <c r="DM211" s="125" t="inlineStr">
        <is>
          <t>15.237</t>
        </is>
      </c>
      <c r="DN211" s="126" t="inlineStr">
        <is>
          <t>-1.058</t>
        </is>
      </c>
      <c r="DO211" s="127" t="inlineStr">
        <is>
          <t>-6,49%</t>
        </is>
      </c>
      <c r="DP211" s="128" t="inlineStr">
        <is>
          <t/>
        </is>
      </c>
      <c r="DQ211" s="129" t="inlineStr">
        <is>
          <t/>
        </is>
      </c>
      <c r="DR211" s="130" t="inlineStr">
        <is>
          <t/>
        </is>
      </c>
      <c r="DS211" s="131" t="inlineStr">
        <is>
          <t>136</t>
        </is>
      </c>
      <c r="DT211" s="132" t="inlineStr">
        <is>
          <t>2</t>
        </is>
      </c>
      <c r="DU211" s="133" t="inlineStr">
        <is>
          <t>1,49%</t>
        </is>
      </c>
      <c r="DV211" s="134" t="inlineStr">
        <is>
          <t>166</t>
        </is>
      </c>
      <c r="DW211" s="135" t="inlineStr">
        <is>
          <t>1</t>
        </is>
      </c>
      <c r="DX211" s="136" t="inlineStr">
        <is>
          <t>0,61%</t>
        </is>
      </c>
      <c r="DY211" s="137" t="inlineStr">
        <is>
          <t>PitchBook Research</t>
        </is>
      </c>
      <c r="DZ211" s="785">
        <f>HYPERLINK("https://my.pitchbook.com?c=153909-91", "View company online")</f>
      </c>
    </row>
    <row r="212">
      <c r="A212" s="139" t="inlineStr">
        <is>
          <t>100059-04</t>
        </is>
      </c>
      <c r="B212" s="140" t="inlineStr">
        <is>
          <t>Helpling</t>
        </is>
      </c>
      <c r="C212" s="141" t="inlineStr">
        <is>
          <t/>
        </is>
      </c>
      <c r="D212" s="142" t="inlineStr">
        <is>
          <t/>
        </is>
      </c>
      <c r="E212" s="143" t="inlineStr">
        <is>
          <t>100059-04</t>
        </is>
      </c>
      <c r="F212" s="144" t="inlineStr">
        <is>
          <t>Provider of an online platform for on-demand home cleaning services intended to takecare of the household. The company's platform is a subscription-based platform that selects independent helping aid through a multi-stage selection process along with a police certificate, the identity card and the trade license and connects them with the customers, enabling users to easily book an appointment with an authorized and insured cleaning staff in their nearby location.</t>
        </is>
      </c>
      <c r="G212" s="145" t="inlineStr">
        <is>
          <t>Information Technology</t>
        </is>
      </c>
      <c r="H212" s="146" t="inlineStr">
        <is>
          <t>Software</t>
        </is>
      </c>
      <c r="I212" s="147" t="inlineStr">
        <is>
          <t>Application Software</t>
        </is>
      </c>
      <c r="J212" s="148" t="inlineStr">
        <is>
          <t>Application Software*; Other Services (B2C Non-Financial)</t>
        </is>
      </c>
      <c r="K212" s="149" t="inlineStr">
        <is>
          <t>Mobile</t>
        </is>
      </c>
      <c r="L212" s="150" t="inlineStr">
        <is>
          <t>Venture Capital-Backed</t>
        </is>
      </c>
      <c r="M212" s="151" t="n">
        <v>66.8</v>
      </c>
      <c r="N212" s="152" t="inlineStr">
        <is>
          <t>Generating Revenue</t>
        </is>
      </c>
      <c r="O212" s="153" t="inlineStr">
        <is>
          <t>Privately Held (backing)</t>
        </is>
      </c>
      <c r="P212" s="154" t="inlineStr">
        <is>
          <t>Venture Capital</t>
        </is>
      </c>
      <c r="Q212" s="155" t="inlineStr">
        <is>
          <t>www.helpling.de</t>
        </is>
      </c>
      <c r="R212" s="156" t="n">
        <v>201.0</v>
      </c>
      <c r="S212" s="157" t="inlineStr">
        <is>
          <t/>
        </is>
      </c>
      <c r="T212" s="158" t="inlineStr">
        <is>
          <t/>
        </is>
      </c>
      <c r="U212" s="159" t="n">
        <v>2014.0</v>
      </c>
      <c r="V212" s="160" t="inlineStr">
        <is>
          <t/>
        </is>
      </c>
      <c r="W212" s="161" t="inlineStr">
        <is>
          <t/>
        </is>
      </c>
      <c r="X212" s="162" t="inlineStr">
        <is>
          <t/>
        </is>
      </c>
      <c r="Y212" s="163" t="inlineStr">
        <is>
          <t/>
        </is>
      </c>
      <c r="Z212" s="164" t="inlineStr">
        <is>
          <t/>
        </is>
      </c>
      <c r="AA212" s="165" t="inlineStr">
        <is>
          <t/>
        </is>
      </c>
      <c r="AB212" s="166" t="inlineStr">
        <is>
          <t/>
        </is>
      </c>
      <c r="AC212" s="167" t="inlineStr">
        <is>
          <t/>
        </is>
      </c>
      <c r="AD212" s="168" t="inlineStr">
        <is>
          <t/>
        </is>
      </c>
      <c r="AE212" s="169" t="inlineStr">
        <is>
          <t>86443-66P</t>
        </is>
      </c>
      <c r="AF212" s="170" t="inlineStr">
        <is>
          <t>Benedikt Franke</t>
        </is>
      </c>
      <c r="AG212" s="171" t="inlineStr">
        <is>
          <t>Co-Founder &amp; Managing Director</t>
        </is>
      </c>
      <c r="AH212" s="172" t="inlineStr">
        <is>
          <t>benedikt.franke@helpling.de</t>
        </is>
      </c>
      <c r="AI212" s="173" t="inlineStr">
        <is>
          <t/>
        </is>
      </c>
      <c r="AJ212" s="174" t="inlineStr">
        <is>
          <t>Berlin, Germany</t>
        </is>
      </c>
      <c r="AK212" s="175" t="inlineStr">
        <is>
          <t>Jagerstraße 67</t>
        </is>
      </c>
      <c r="AL212" s="176" t="inlineStr">
        <is>
          <t/>
        </is>
      </c>
      <c r="AM212" s="177" t="inlineStr">
        <is>
          <t>Berlin</t>
        </is>
      </c>
      <c r="AN212" s="178" t="inlineStr">
        <is>
          <t/>
        </is>
      </c>
      <c r="AO212" s="179" t="inlineStr">
        <is>
          <t>10117</t>
        </is>
      </c>
      <c r="AP212" s="180" t="inlineStr">
        <is>
          <t>Germany</t>
        </is>
      </c>
      <c r="AQ212" s="181" t="inlineStr">
        <is>
          <t/>
        </is>
      </c>
      <c r="AR212" s="182" t="inlineStr">
        <is>
          <t>+49 (0)30 2201 2010 7</t>
        </is>
      </c>
      <c r="AS212" s="183" t="inlineStr">
        <is>
          <t>kontakt@helpling.de</t>
        </is>
      </c>
      <c r="AT212" s="184" t="inlineStr">
        <is>
          <t>Europe</t>
        </is>
      </c>
      <c r="AU212" s="185" t="inlineStr">
        <is>
          <t>Western Europe</t>
        </is>
      </c>
      <c r="AV212" s="186" t="inlineStr">
        <is>
          <t>The company raised an undisclosed amount of venture funding from Unilever Ventures, Rocket Internet and Mangrove Capital on August 1, 2017. Earlier, the company raised EUR 10 million of venture funding in a deal led by Asia Pacific Internet Group on March 16, 2017. Rocket Internet, Mangrove Capital Partners, Lakestar, Accel and other undisclosed investors also participated in the round.</t>
        </is>
      </c>
      <c r="AW212" s="187" t="inlineStr">
        <is>
          <t>Accel, Asia Pacific Internet Group, Kite Ventures, Lakestar, Lukasz Gadowski, Mangrove Capital Partners, Phenomen Ventures, Point Nine Capital, Rocket Internet, Unilever Ventures, Ventech</t>
        </is>
      </c>
      <c r="AX212" s="188" t="n">
        <v>11.0</v>
      </c>
      <c r="AY212" s="189" t="inlineStr">
        <is>
          <t/>
        </is>
      </c>
      <c r="AZ212" s="190" t="inlineStr">
        <is>
          <t/>
        </is>
      </c>
      <c r="BA212" s="191" t="inlineStr">
        <is>
          <t/>
        </is>
      </c>
      <c r="BB212" s="192" t="inlineStr">
        <is>
          <t>Accel (www.accel.com), Asia Pacific Internet Group (www.asiapacificinternetgroup.com), Kite Ventures (www.kiteventures.com), Lakestar (www.lakestar.com), Lukasz Gadowski (www.lukaszgadowski.com), Mangrove Capital Partners (www.mangrove.vc), Phenomen Ventures (www.phenomenventures.com), Point Nine Capital (www.pointninecap.com), Rocket Internet (www.rocket-internet.com), Unilever Ventures (www.unileverventures.com), Ventech (www.ventechvc.com)</t>
        </is>
      </c>
      <c r="BC212" s="193" t="inlineStr">
        <is>
          <t/>
        </is>
      </c>
      <c r="BD212" s="194" t="inlineStr">
        <is>
          <t/>
        </is>
      </c>
      <c r="BE212" s="195" t="inlineStr">
        <is>
          <t/>
        </is>
      </c>
      <c r="BF212" s="196" t="inlineStr">
        <is>
          <t/>
        </is>
      </c>
      <c r="BG212" s="197" t="inlineStr">
        <is>
          <t/>
        </is>
      </c>
      <c r="BH212" s="198" t="inlineStr">
        <is>
          <t/>
        </is>
      </c>
      <c r="BI212" s="199" t="inlineStr">
        <is>
          <t/>
        </is>
      </c>
      <c r="BJ212" s="200" t="inlineStr">
        <is>
          <t/>
        </is>
      </c>
      <c r="BK212" s="201" t="inlineStr">
        <is>
          <t/>
        </is>
      </c>
      <c r="BL212" s="202" t="inlineStr">
        <is>
          <t>Accelerator/Incubator</t>
        </is>
      </c>
      <c r="BM212" s="203" t="inlineStr">
        <is>
          <t/>
        </is>
      </c>
      <c r="BN212" s="204" t="inlineStr">
        <is>
          <t/>
        </is>
      </c>
      <c r="BO212" s="205" t="inlineStr">
        <is>
          <t>Venture Capital</t>
        </is>
      </c>
      <c r="BP212" s="206" t="inlineStr">
        <is>
          <t/>
        </is>
      </c>
      <c r="BQ212" s="207" t="inlineStr">
        <is>
          <t/>
        </is>
      </c>
      <c r="BR212" s="208" t="inlineStr">
        <is>
          <t/>
        </is>
      </c>
      <c r="BS212" s="209" t="inlineStr">
        <is>
          <t>Completed</t>
        </is>
      </c>
      <c r="BT212" s="210" t="n">
        <v>42948.0</v>
      </c>
      <c r="BU212" s="211" t="inlineStr">
        <is>
          <t/>
        </is>
      </c>
      <c r="BV212" s="212" t="inlineStr">
        <is>
          <t/>
        </is>
      </c>
      <c r="BW212" s="213" t="inlineStr">
        <is>
          <t/>
        </is>
      </c>
      <c r="BX212" s="214" t="inlineStr">
        <is>
          <t/>
        </is>
      </c>
      <c r="BY212" s="215" t="inlineStr">
        <is>
          <t>Early Stage VC</t>
        </is>
      </c>
      <c r="BZ212" s="216" t="inlineStr">
        <is>
          <t/>
        </is>
      </c>
      <c r="CA212" s="217" t="inlineStr">
        <is>
          <t/>
        </is>
      </c>
      <c r="CB212" s="218" t="inlineStr">
        <is>
          <t>Venture Capital</t>
        </is>
      </c>
      <c r="CC212" s="219" t="inlineStr">
        <is>
          <t/>
        </is>
      </c>
      <c r="CD212" s="220" t="inlineStr">
        <is>
          <t/>
        </is>
      </c>
      <c r="CE212" s="221" t="inlineStr">
        <is>
          <t/>
        </is>
      </c>
      <c r="CF212" s="222" t="inlineStr">
        <is>
          <t>Completed</t>
        </is>
      </c>
      <c r="CG212" s="223" t="inlineStr">
        <is>
          <t>0,58%</t>
        </is>
      </c>
      <c r="CH212" s="224" t="inlineStr">
        <is>
          <t>85</t>
        </is>
      </c>
      <c r="CI212" s="225" t="inlineStr">
        <is>
          <t>0,01%</t>
        </is>
      </c>
      <c r="CJ212" s="226" t="inlineStr">
        <is>
          <t>2,52%</t>
        </is>
      </c>
      <c r="CK212" s="227" t="inlineStr">
        <is>
          <t>0,80%</t>
        </is>
      </c>
      <c r="CL212" s="228" t="inlineStr">
        <is>
          <t>86</t>
        </is>
      </c>
      <c r="CM212" s="229" t="inlineStr">
        <is>
          <t>0,35%</t>
        </is>
      </c>
      <c r="CN212" s="230" t="inlineStr">
        <is>
          <t>84</t>
        </is>
      </c>
      <c r="CO212" s="231" t="inlineStr">
        <is>
          <t>0,58%</t>
        </is>
      </c>
      <c r="CP212" s="232" t="inlineStr">
        <is>
          <t>82</t>
        </is>
      </c>
      <c r="CQ212" s="233" t="inlineStr">
        <is>
          <t>1,03%</t>
        </is>
      </c>
      <c r="CR212" s="234" t="inlineStr">
        <is>
          <t>89</t>
        </is>
      </c>
      <c r="CS212" s="235" t="inlineStr">
        <is>
          <t>0,56%</t>
        </is>
      </c>
      <c r="CT212" s="236" t="inlineStr">
        <is>
          <t>89</t>
        </is>
      </c>
      <c r="CU212" s="237" t="inlineStr">
        <is>
          <t>0,14%</t>
        </is>
      </c>
      <c r="CV212" s="238" t="inlineStr">
        <is>
          <t>72</t>
        </is>
      </c>
      <c r="CW212" s="239" t="inlineStr">
        <is>
          <t>55,78x</t>
        </is>
      </c>
      <c r="CX212" s="240" t="inlineStr">
        <is>
          <t>96</t>
        </is>
      </c>
      <c r="CY212" s="241" t="inlineStr">
        <is>
          <t>0,91x</t>
        </is>
      </c>
      <c r="CZ212" s="242" t="inlineStr">
        <is>
          <t>1,65%</t>
        </is>
      </c>
      <c r="DA212" s="243" t="inlineStr">
        <is>
          <t>41,31x</t>
        </is>
      </c>
      <c r="DB212" s="244" t="inlineStr">
        <is>
          <t>96</t>
        </is>
      </c>
      <c r="DC212" s="245" t="inlineStr">
        <is>
          <t>70,25x</t>
        </is>
      </c>
      <c r="DD212" s="246" t="inlineStr">
        <is>
          <t>96</t>
        </is>
      </c>
      <c r="DE212" s="247" t="inlineStr">
        <is>
          <t>65,48x</t>
        </is>
      </c>
      <c r="DF212" s="248" t="inlineStr">
        <is>
          <t>94</t>
        </is>
      </c>
      <c r="DG212" s="249" t="inlineStr">
        <is>
          <t>17,14x</t>
        </is>
      </c>
      <c r="DH212" s="250" t="inlineStr">
        <is>
          <t>91</t>
        </is>
      </c>
      <c r="DI212" s="251" t="inlineStr">
        <is>
          <t>138,40x</t>
        </is>
      </c>
      <c r="DJ212" s="252" t="inlineStr">
        <is>
          <t>96</t>
        </is>
      </c>
      <c r="DK212" s="253" t="inlineStr">
        <is>
          <t>2,10x</t>
        </is>
      </c>
      <c r="DL212" s="254" t="inlineStr">
        <is>
          <t>64</t>
        </is>
      </c>
      <c r="DM212" s="255" t="inlineStr">
        <is>
          <t>39.947</t>
        </is>
      </c>
      <c r="DN212" s="256" t="inlineStr">
        <is>
          <t>969</t>
        </is>
      </c>
      <c r="DO212" s="257" t="inlineStr">
        <is>
          <t>2,49%</t>
        </is>
      </c>
      <c r="DP212" s="258" t="inlineStr">
        <is>
          <t>110.442</t>
        </is>
      </c>
      <c r="DQ212" s="259" t="inlineStr">
        <is>
          <t>379</t>
        </is>
      </c>
      <c r="DR212" s="260" t="inlineStr">
        <is>
          <t>0,34%</t>
        </is>
      </c>
      <c r="DS212" s="261" t="inlineStr">
        <is>
          <t>619</t>
        </is>
      </c>
      <c r="DT212" s="262" t="inlineStr">
        <is>
          <t>-4</t>
        </is>
      </c>
      <c r="DU212" s="263" t="inlineStr">
        <is>
          <t>-0,64%</t>
        </is>
      </c>
      <c r="DV212" s="264" t="inlineStr">
        <is>
          <t>718</t>
        </is>
      </c>
      <c r="DW212" s="265" t="inlineStr">
        <is>
          <t>3</t>
        </is>
      </c>
      <c r="DX212" s="266" t="inlineStr">
        <is>
          <t>0,42%</t>
        </is>
      </c>
      <c r="DY212" s="267" t="inlineStr">
        <is>
          <t>PitchBook Research</t>
        </is>
      </c>
      <c r="DZ212" s="786">
        <f>HYPERLINK("https://my.pitchbook.com?c=100059-04", "View company online")</f>
      </c>
    </row>
    <row r="213">
      <c r="A213" s="9" t="inlineStr">
        <is>
          <t>168351-40</t>
        </is>
      </c>
      <c r="B213" s="10" t="inlineStr">
        <is>
          <t>HepaRegenix</t>
        </is>
      </c>
      <c r="C213" s="11" t="inlineStr">
        <is>
          <t/>
        </is>
      </c>
      <c r="D213" s="12" t="inlineStr">
        <is>
          <t/>
        </is>
      </c>
      <c r="E213" s="13" t="inlineStr">
        <is>
          <t>168351-40</t>
        </is>
      </c>
      <c r="F213" s="14" t="inlineStr">
        <is>
          <t>Developer of medicines focused mainly for the liver treatment. The company is developing drugs for treating acute and chronic liver diseases that effectively restore the regenerative capacity of hepatocytes.</t>
        </is>
      </c>
      <c r="G213" s="15" t="inlineStr">
        <is>
          <t>Healthcare</t>
        </is>
      </c>
      <c r="H213" s="16" t="inlineStr">
        <is>
          <t>Pharmaceuticals and Biotechnology</t>
        </is>
      </c>
      <c r="I213" s="17" t="inlineStr">
        <is>
          <t>Drug Discovery</t>
        </is>
      </c>
      <c r="J213" s="18" t="inlineStr">
        <is>
          <t>Drug Discovery*; Pharmaceuticals</t>
        </is>
      </c>
      <c r="K213" s="19" t="inlineStr">
        <is>
          <t>Life Sciences</t>
        </is>
      </c>
      <c r="L213" s="20" t="inlineStr">
        <is>
          <t>Venture Capital-Backed</t>
        </is>
      </c>
      <c r="M213" s="21" t="n">
        <v>9.0</v>
      </c>
      <c r="N213" s="22" t="inlineStr">
        <is>
          <t>Startup</t>
        </is>
      </c>
      <c r="O213" s="23" t="inlineStr">
        <is>
          <t>Privately Held (backing)</t>
        </is>
      </c>
      <c r="P213" s="24" t="inlineStr">
        <is>
          <t>Venture Capital</t>
        </is>
      </c>
      <c r="Q213" s="25" t="inlineStr">
        <is>
          <t/>
        </is>
      </c>
      <c r="R213" s="26" t="inlineStr">
        <is>
          <t/>
        </is>
      </c>
      <c r="S213" s="27" t="inlineStr">
        <is>
          <t/>
        </is>
      </c>
      <c r="T213" s="28" t="inlineStr">
        <is>
          <t/>
        </is>
      </c>
      <c r="U213" s="29" t="n">
        <v>2015.0</v>
      </c>
      <c r="V213" s="30" t="inlineStr">
        <is>
          <t/>
        </is>
      </c>
      <c r="W213" s="31" t="inlineStr">
        <is>
          <t/>
        </is>
      </c>
      <c r="X213" s="32" t="inlineStr">
        <is>
          <t/>
        </is>
      </c>
      <c r="Y213" s="33" t="inlineStr">
        <is>
          <t/>
        </is>
      </c>
      <c r="Z213" s="34" t="inlineStr">
        <is>
          <t/>
        </is>
      </c>
      <c r="AA213" s="35" t="inlineStr">
        <is>
          <t/>
        </is>
      </c>
      <c r="AB213" s="36" t="inlineStr">
        <is>
          <t/>
        </is>
      </c>
      <c r="AC213" s="37" t="inlineStr">
        <is>
          <t/>
        </is>
      </c>
      <c r="AD213" s="38" t="inlineStr">
        <is>
          <t/>
        </is>
      </c>
      <c r="AE213" s="39" t="inlineStr">
        <is>
          <t>150491-26P</t>
        </is>
      </c>
      <c r="AF213" s="40" t="inlineStr">
        <is>
          <t>Wolfgang Albrecht</t>
        </is>
      </c>
      <c r="AG213" s="41" t="inlineStr">
        <is>
          <t>Chief Executive Officer</t>
        </is>
      </c>
      <c r="AH213" s="42" t="inlineStr">
        <is>
          <t>w.albrecht@heparegenix.com</t>
        </is>
      </c>
      <c r="AI213" s="43" t="inlineStr">
        <is>
          <t>+49 (0)73 1265 0428</t>
        </is>
      </c>
      <c r="AJ213" s="44" t="inlineStr">
        <is>
          <t>Germany</t>
        </is>
      </c>
      <c r="AK213" s="45" t="inlineStr">
        <is>
          <t/>
        </is>
      </c>
      <c r="AL213" s="46" t="inlineStr">
        <is>
          <t/>
        </is>
      </c>
      <c r="AM213" s="47" t="inlineStr">
        <is>
          <t/>
        </is>
      </c>
      <c r="AN213" s="48" t="inlineStr">
        <is>
          <t/>
        </is>
      </c>
      <c r="AO213" s="49" t="inlineStr">
        <is>
          <t/>
        </is>
      </c>
      <c r="AP213" s="50" t="inlineStr">
        <is>
          <t>Germany</t>
        </is>
      </c>
      <c r="AQ213" s="51" t="inlineStr">
        <is>
          <t/>
        </is>
      </c>
      <c r="AR213" s="52" t="inlineStr">
        <is>
          <t/>
        </is>
      </c>
      <c r="AS213" s="53" t="inlineStr">
        <is>
          <t/>
        </is>
      </c>
      <c r="AT213" s="54" t="inlineStr">
        <is>
          <t>Europe</t>
        </is>
      </c>
      <c r="AU213" s="55" t="inlineStr">
        <is>
          <t>Western Europe</t>
        </is>
      </c>
      <c r="AV213" s="56" t="inlineStr">
        <is>
          <t>The company raised EUR 9 million of Series A venture funding from lead investors Boehringer Ingelheim Venture Fund and Novo Seeds on January 5, 2017. High-Tech Gruenderfonds and Coparion also participated in the round. The company will use the funding for the ongoing medicinal chemistry discovery programs and preclinical development of drug candidates through IND filing.</t>
        </is>
      </c>
      <c r="AW213" s="57" t="inlineStr">
        <is>
          <t>Ascenion, Boehringer Ingelheim Venture Fund, Coparion, High-Tech Gründerfonds, Novo</t>
        </is>
      </c>
      <c r="AX213" s="58" t="n">
        <v>5.0</v>
      </c>
      <c r="AY213" s="59" t="inlineStr">
        <is>
          <t/>
        </is>
      </c>
      <c r="AZ213" s="60" t="inlineStr">
        <is>
          <t/>
        </is>
      </c>
      <c r="BA213" s="61" t="inlineStr">
        <is>
          <t/>
        </is>
      </c>
      <c r="BB213" s="62" t="inlineStr">
        <is>
          <t>Ascenion (www.ascenion.de), Boehringer Ingelheim Venture Fund (www.boehringer-ingelheim-venture.com), Coparion (www.coparion.vc), High-Tech Gründerfonds (www.high-tech-gruenderfonds.de), Novo (www.novoholdings.dk)</t>
        </is>
      </c>
      <c r="BC213" s="63" t="inlineStr">
        <is>
          <t/>
        </is>
      </c>
      <c r="BD213" s="64" t="inlineStr">
        <is>
          <t/>
        </is>
      </c>
      <c r="BE213" s="65" t="inlineStr">
        <is>
          <t/>
        </is>
      </c>
      <c r="BF213" s="66" t="inlineStr">
        <is>
          <t/>
        </is>
      </c>
      <c r="BG213" s="67" t="n">
        <v>42370.0</v>
      </c>
      <c r="BH213" s="68" t="inlineStr">
        <is>
          <t/>
        </is>
      </c>
      <c r="BI213" s="69" t="inlineStr">
        <is>
          <t/>
        </is>
      </c>
      <c r="BJ213" s="70" t="inlineStr">
        <is>
          <t/>
        </is>
      </c>
      <c r="BK213" s="71" t="inlineStr">
        <is>
          <t/>
        </is>
      </c>
      <c r="BL213" s="72" t="inlineStr">
        <is>
          <t>Early Stage VC</t>
        </is>
      </c>
      <c r="BM213" s="73" t="inlineStr">
        <is>
          <t/>
        </is>
      </c>
      <c r="BN213" s="74" t="inlineStr">
        <is>
          <t/>
        </is>
      </c>
      <c r="BO213" s="75" t="inlineStr">
        <is>
          <t>Venture Capital</t>
        </is>
      </c>
      <c r="BP213" s="76" t="inlineStr">
        <is>
          <t/>
        </is>
      </c>
      <c r="BQ213" s="77" t="inlineStr">
        <is>
          <t/>
        </is>
      </c>
      <c r="BR213" s="78" t="inlineStr">
        <is>
          <t/>
        </is>
      </c>
      <c r="BS213" s="79" t="inlineStr">
        <is>
          <t>Completed</t>
        </is>
      </c>
      <c r="BT213" s="80" t="n">
        <v>42740.0</v>
      </c>
      <c r="BU213" s="81" t="n">
        <v>9.0</v>
      </c>
      <c r="BV213" s="82" t="inlineStr">
        <is>
          <t>Actual</t>
        </is>
      </c>
      <c r="BW213" s="83" t="inlineStr">
        <is>
          <t/>
        </is>
      </c>
      <c r="BX213" s="84" t="inlineStr">
        <is>
          <t/>
        </is>
      </c>
      <c r="BY213" s="85" t="inlineStr">
        <is>
          <t>Early Stage VC</t>
        </is>
      </c>
      <c r="BZ213" s="86" t="inlineStr">
        <is>
          <t>Series A</t>
        </is>
      </c>
      <c r="CA213" s="87" t="inlineStr">
        <is>
          <t/>
        </is>
      </c>
      <c r="CB213" s="88" t="inlineStr">
        <is>
          <t>Venture Capital</t>
        </is>
      </c>
      <c r="CC213" s="89" t="inlineStr">
        <is>
          <t/>
        </is>
      </c>
      <c r="CD213" s="90" t="inlineStr">
        <is>
          <t/>
        </is>
      </c>
      <c r="CE213" s="91" t="inlineStr">
        <is>
          <t/>
        </is>
      </c>
      <c r="CF213" s="92" t="inlineStr">
        <is>
          <t>Completed</t>
        </is>
      </c>
      <c r="CG213" s="93" t="inlineStr">
        <is>
          <t/>
        </is>
      </c>
      <c r="CH213" s="94" t="inlineStr">
        <is>
          <t/>
        </is>
      </c>
      <c r="CI213" s="95" t="inlineStr">
        <is>
          <t/>
        </is>
      </c>
      <c r="CJ213" s="96" t="inlineStr">
        <is>
          <t/>
        </is>
      </c>
      <c r="CK213" s="97" t="inlineStr">
        <is>
          <t/>
        </is>
      </c>
      <c r="CL213" s="98" t="inlineStr">
        <is>
          <t/>
        </is>
      </c>
      <c r="CM213" s="99" t="inlineStr">
        <is>
          <t/>
        </is>
      </c>
      <c r="CN213" s="100" t="inlineStr">
        <is>
          <t/>
        </is>
      </c>
      <c r="CO213" s="101" t="inlineStr">
        <is>
          <t/>
        </is>
      </c>
      <c r="CP213" s="102" t="inlineStr">
        <is>
          <t/>
        </is>
      </c>
      <c r="CQ213" s="103" t="inlineStr">
        <is>
          <t/>
        </is>
      </c>
      <c r="CR213" s="104" t="inlineStr">
        <is>
          <t/>
        </is>
      </c>
      <c r="CS213" s="105" t="inlineStr">
        <is>
          <t/>
        </is>
      </c>
      <c r="CT213" s="106" t="inlineStr">
        <is>
          <t/>
        </is>
      </c>
      <c r="CU213" s="107" t="inlineStr">
        <is>
          <t/>
        </is>
      </c>
      <c r="CV213" s="108" t="inlineStr">
        <is>
          <t/>
        </is>
      </c>
      <c r="CW213" s="109" t="inlineStr">
        <is>
          <t/>
        </is>
      </c>
      <c r="CX213" s="110" t="inlineStr">
        <is>
          <t/>
        </is>
      </c>
      <c r="CY213" s="111" t="inlineStr">
        <is>
          <t/>
        </is>
      </c>
      <c r="CZ213" s="112" t="inlineStr">
        <is>
          <t/>
        </is>
      </c>
      <c r="DA213" s="113" t="inlineStr">
        <is>
          <t/>
        </is>
      </c>
      <c r="DB213" s="114" t="inlineStr">
        <is>
          <t/>
        </is>
      </c>
      <c r="DC213" s="115" t="inlineStr">
        <is>
          <t/>
        </is>
      </c>
      <c r="DD213" s="116" t="inlineStr">
        <is>
          <t/>
        </is>
      </c>
      <c r="DE213" s="117" t="inlineStr">
        <is>
          <t/>
        </is>
      </c>
      <c r="DF213" s="118" t="inlineStr">
        <is>
          <t/>
        </is>
      </c>
      <c r="DG213" s="119" t="inlineStr">
        <is>
          <t/>
        </is>
      </c>
      <c r="DH213" s="120" t="inlineStr">
        <is>
          <t/>
        </is>
      </c>
      <c r="DI213" s="121" t="inlineStr">
        <is>
          <t/>
        </is>
      </c>
      <c r="DJ213" s="122" t="inlineStr">
        <is>
          <t/>
        </is>
      </c>
      <c r="DK213" s="123" t="inlineStr">
        <is>
          <t/>
        </is>
      </c>
      <c r="DL213" s="124" t="inlineStr">
        <is>
          <t/>
        </is>
      </c>
      <c r="DM213" s="125" t="inlineStr">
        <is>
          <t/>
        </is>
      </c>
      <c r="DN213" s="126" t="inlineStr">
        <is>
          <t/>
        </is>
      </c>
      <c r="DO213" s="127" t="inlineStr">
        <is>
          <t/>
        </is>
      </c>
      <c r="DP213" s="128" t="inlineStr">
        <is>
          <t/>
        </is>
      </c>
      <c r="DQ213" s="129" t="inlineStr">
        <is>
          <t/>
        </is>
      </c>
      <c r="DR213" s="130" t="inlineStr">
        <is>
          <t/>
        </is>
      </c>
      <c r="DS213" s="131" t="inlineStr">
        <is>
          <t/>
        </is>
      </c>
      <c r="DT213" s="132" t="inlineStr">
        <is>
          <t/>
        </is>
      </c>
      <c r="DU213" s="133" t="inlineStr">
        <is>
          <t/>
        </is>
      </c>
      <c r="DV213" s="134" t="inlineStr">
        <is>
          <t/>
        </is>
      </c>
      <c r="DW213" s="135" t="inlineStr">
        <is>
          <t/>
        </is>
      </c>
      <c r="DX213" s="136" t="inlineStr">
        <is>
          <t/>
        </is>
      </c>
      <c r="DY213" s="137" t="inlineStr">
        <is>
          <t>PitchBook Research</t>
        </is>
      </c>
      <c r="DZ213" s="785">
        <f>HYPERLINK("https://my.pitchbook.com?c=168351-40", "View company online")</f>
      </c>
    </row>
    <row r="214">
      <c r="A214" s="139" t="inlineStr">
        <is>
          <t>160783-93</t>
        </is>
      </c>
      <c r="B214" s="140" t="inlineStr">
        <is>
          <t>Hibob</t>
        </is>
      </c>
      <c r="C214" s="141" t="inlineStr">
        <is>
          <t/>
        </is>
      </c>
      <c r="D214" s="142" t="inlineStr">
        <is>
          <t/>
        </is>
      </c>
      <c r="E214" s="143" t="inlineStr">
        <is>
          <t>160783-93</t>
        </is>
      </c>
      <c r="F214" s="144" t="inlineStr">
        <is>
          <t>Developer of a SaaS HR and benefits platform designed to transform the way modern businesses understand, interact and manage their talent. The company's software Bob, serves as a central hub for a company's every HR need and includes attendance records, time-off schedules and all of the data a firm would collect from their employees, enabling organizations to make informed, strategic decisions, increase employee engagement and drive retention.</t>
        </is>
      </c>
      <c r="G214" s="145" t="inlineStr">
        <is>
          <t>Information Technology</t>
        </is>
      </c>
      <c r="H214" s="146" t="inlineStr">
        <is>
          <t>Software</t>
        </is>
      </c>
      <c r="I214" s="147" t="inlineStr">
        <is>
          <t>Business/Productivity Software</t>
        </is>
      </c>
      <c r="J214" s="148" t="inlineStr">
        <is>
          <t>Business/Productivity Software*; Human Capital Services; Application Software</t>
        </is>
      </c>
      <c r="K214" s="149" t="inlineStr">
        <is>
          <t>SaaS</t>
        </is>
      </c>
      <c r="L214" s="150" t="inlineStr">
        <is>
          <t>Venture Capital-Backed</t>
        </is>
      </c>
      <c r="M214" s="151" t="n">
        <v>22.81</v>
      </c>
      <c r="N214" s="152" t="inlineStr">
        <is>
          <t>Generating Revenue</t>
        </is>
      </c>
      <c r="O214" s="153" t="inlineStr">
        <is>
          <t>Privately Held (backing)</t>
        </is>
      </c>
      <c r="P214" s="154" t="inlineStr">
        <is>
          <t>Venture Capital</t>
        </is>
      </c>
      <c r="Q214" s="155" t="inlineStr">
        <is>
          <t>www.hibob.com</t>
        </is>
      </c>
      <c r="R214" s="156" t="n">
        <v>50.0</v>
      </c>
      <c r="S214" s="157" t="inlineStr">
        <is>
          <t/>
        </is>
      </c>
      <c r="T214" s="158" t="inlineStr">
        <is>
          <t/>
        </is>
      </c>
      <c r="U214" s="159" t="n">
        <v>2014.0</v>
      </c>
      <c r="V214" s="160" t="inlineStr">
        <is>
          <t/>
        </is>
      </c>
      <c r="W214" s="161" t="inlineStr">
        <is>
          <t/>
        </is>
      </c>
      <c r="X214" s="162" t="inlineStr">
        <is>
          <t/>
        </is>
      </c>
      <c r="Y214" s="163" t="inlineStr">
        <is>
          <t/>
        </is>
      </c>
      <c r="Z214" s="164" t="inlineStr">
        <is>
          <t/>
        </is>
      </c>
      <c r="AA214" s="165" t="inlineStr">
        <is>
          <t/>
        </is>
      </c>
      <c r="AB214" s="166" t="inlineStr">
        <is>
          <t/>
        </is>
      </c>
      <c r="AC214" s="167" t="inlineStr">
        <is>
          <t/>
        </is>
      </c>
      <c r="AD214" s="168" t="inlineStr">
        <is>
          <t/>
        </is>
      </c>
      <c r="AE214" s="169" t="inlineStr">
        <is>
          <t>35780-41P</t>
        </is>
      </c>
      <c r="AF214" s="170" t="inlineStr">
        <is>
          <t>Ronni Zehavi</t>
        </is>
      </c>
      <c r="AG214" s="171" t="inlineStr">
        <is>
          <t>Co-Founder, Chief Executive Officer &amp; Board Member</t>
        </is>
      </c>
      <c r="AH214" s="172" t="inlineStr">
        <is>
          <t>ronni.zehavi@hibob.com</t>
        </is>
      </c>
      <c r="AI214" s="173" t="inlineStr">
        <is>
          <t>+44 (0)20 7193 5120</t>
        </is>
      </c>
      <c r="AJ214" s="174" t="inlineStr">
        <is>
          <t>London, United Kingdom</t>
        </is>
      </c>
      <c r="AK214" s="175" t="inlineStr">
        <is>
          <t>2-4 Great Eastern Street</t>
        </is>
      </c>
      <c r="AL214" s="176" t="inlineStr">
        <is>
          <t/>
        </is>
      </c>
      <c r="AM214" s="177" t="inlineStr">
        <is>
          <t>London</t>
        </is>
      </c>
      <c r="AN214" s="178" t="inlineStr">
        <is>
          <t>England</t>
        </is>
      </c>
      <c r="AO214" s="179" t="inlineStr">
        <is>
          <t>EC2A 3NW</t>
        </is>
      </c>
      <c r="AP214" s="180" t="inlineStr">
        <is>
          <t>United Kingdom</t>
        </is>
      </c>
      <c r="AQ214" s="181" t="inlineStr">
        <is>
          <t>+44 (0)20 7193 5120</t>
        </is>
      </c>
      <c r="AR214" s="182" t="inlineStr">
        <is>
          <t/>
        </is>
      </c>
      <c r="AS214" s="183" t="inlineStr">
        <is>
          <t>contact@hibob.com</t>
        </is>
      </c>
      <c r="AT214" s="184" t="inlineStr">
        <is>
          <t>Europe</t>
        </is>
      </c>
      <c r="AU214" s="185" t="inlineStr">
        <is>
          <t>Western Europe</t>
        </is>
      </c>
      <c r="AV214" s="186" t="inlineStr">
        <is>
          <t>The company raised $17.5 million of Series A venture funding in a deal led by Battery Ventures on April 25, 2017. Eight Roads Ventures, Fidelity International, Arbor Ventures and Bessemer Venture Partners also participated in the round. The funds will be used to further develop the technology behind its HR and employee benefits platform, build additional benefit partnerships, to increase its sales capacity and to expand its operations globally by the end of 2017. The company raised GBP 7.25 million of venture funding led by Bessemer Venture Partners on June 7, 2016, putting the company's pre-money valuation at GBP 11.08 million. Entrée Capital, LocalGlobe, Taavet Hinrikus and other undisclosed angel investors also participated. The seed funding is being used to fuel the launch of the platform.</t>
        </is>
      </c>
      <c r="AW214" s="187" t="inlineStr">
        <is>
          <t>Arbor Ventures, Battery Ventures, Bessemer Venture Partners, Cerca Partners, Eight Roads Ventures, Entrée Capital, Fidelity International, LocalGlobe, Taavet Hinrikus</t>
        </is>
      </c>
      <c r="AX214" s="188" t="n">
        <v>9.0</v>
      </c>
      <c r="AY214" s="189" t="inlineStr">
        <is>
          <t/>
        </is>
      </c>
      <c r="AZ214" s="190" t="inlineStr">
        <is>
          <t/>
        </is>
      </c>
      <c r="BA214" s="191" t="inlineStr">
        <is>
          <t/>
        </is>
      </c>
      <c r="BB214" s="192" t="inlineStr">
        <is>
          <t>Arbor Ventures (www.arborventures.com), Battery Ventures (www.battery.com), Bessemer Venture Partners (www.bvp.com), Cerca Partners (www.cerca-partners.com), Eight Roads Ventures (www.eightroads.com), Entrée Capital (www.entreecap.com), Fidelity International (www.fidelityinternational.com), LocalGlobe (www.localglobe.vc)</t>
        </is>
      </c>
      <c r="BC214" s="193" t="inlineStr">
        <is>
          <t/>
        </is>
      </c>
      <c r="BD214" s="194" t="inlineStr">
        <is>
          <t/>
        </is>
      </c>
      <c r="BE214" s="195" t="inlineStr">
        <is>
          <t/>
        </is>
      </c>
      <c r="BF214" s="196" t="inlineStr">
        <is>
          <t/>
        </is>
      </c>
      <c r="BG214" s="197" t="n">
        <v>42528.0</v>
      </c>
      <c r="BH214" s="198" t="n">
        <v>6.45</v>
      </c>
      <c r="BI214" s="199" t="inlineStr">
        <is>
          <t>Actual</t>
        </is>
      </c>
      <c r="BJ214" s="200" t="n">
        <v>16.31</v>
      </c>
      <c r="BK214" s="201" t="inlineStr">
        <is>
          <t>Actual</t>
        </is>
      </c>
      <c r="BL214" s="202" t="inlineStr">
        <is>
          <t>Early Stage VC</t>
        </is>
      </c>
      <c r="BM214" s="203" t="inlineStr">
        <is>
          <t/>
        </is>
      </c>
      <c r="BN214" s="204" t="inlineStr">
        <is>
          <t/>
        </is>
      </c>
      <c r="BO214" s="205" t="inlineStr">
        <is>
          <t>Venture Capital</t>
        </is>
      </c>
      <c r="BP214" s="206" t="inlineStr">
        <is>
          <t/>
        </is>
      </c>
      <c r="BQ214" s="207" t="inlineStr">
        <is>
          <t/>
        </is>
      </c>
      <c r="BR214" s="208" t="inlineStr">
        <is>
          <t/>
        </is>
      </c>
      <c r="BS214" s="209" t="inlineStr">
        <is>
          <t>Completed</t>
        </is>
      </c>
      <c r="BT214" s="210" t="n">
        <v>42850.0</v>
      </c>
      <c r="BU214" s="211" t="n">
        <v>16.36</v>
      </c>
      <c r="BV214" s="212" t="inlineStr">
        <is>
          <t>Actual</t>
        </is>
      </c>
      <c r="BW214" s="213" t="inlineStr">
        <is>
          <t/>
        </is>
      </c>
      <c r="BX214" s="214" t="inlineStr">
        <is>
          <t/>
        </is>
      </c>
      <c r="BY214" s="215" t="inlineStr">
        <is>
          <t>Early Stage VC</t>
        </is>
      </c>
      <c r="BZ214" s="216" t="inlineStr">
        <is>
          <t>Series A</t>
        </is>
      </c>
      <c r="CA214" s="217" t="inlineStr">
        <is>
          <t/>
        </is>
      </c>
      <c r="CB214" s="218" t="inlineStr">
        <is>
          <t>Venture Capital</t>
        </is>
      </c>
      <c r="CC214" s="219" t="inlineStr">
        <is>
          <t/>
        </is>
      </c>
      <c r="CD214" s="220" t="inlineStr">
        <is>
          <t/>
        </is>
      </c>
      <c r="CE214" s="221" t="inlineStr">
        <is>
          <t/>
        </is>
      </c>
      <c r="CF214" s="222" t="inlineStr">
        <is>
          <t>Completed</t>
        </is>
      </c>
      <c r="CG214" s="223" t="inlineStr">
        <is>
          <t>-1,69%</t>
        </is>
      </c>
      <c r="CH214" s="224" t="inlineStr">
        <is>
          <t>3</t>
        </is>
      </c>
      <c r="CI214" s="225" t="inlineStr">
        <is>
          <t>-0,05%</t>
        </is>
      </c>
      <c r="CJ214" s="226" t="inlineStr">
        <is>
          <t>-3,09%</t>
        </is>
      </c>
      <c r="CK214" s="227" t="inlineStr">
        <is>
          <t>-3,75%</t>
        </is>
      </c>
      <c r="CL214" s="228" t="inlineStr">
        <is>
          <t>2</t>
        </is>
      </c>
      <c r="CM214" s="229" t="inlineStr">
        <is>
          <t>0,36%</t>
        </is>
      </c>
      <c r="CN214" s="230" t="inlineStr">
        <is>
          <t>84</t>
        </is>
      </c>
      <c r="CO214" s="231" t="inlineStr">
        <is>
          <t>-6,93%</t>
        </is>
      </c>
      <c r="CP214" s="232" t="inlineStr">
        <is>
          <t>4</t>
        </is>
      </c>
      <c r="CQ214" s="233" t="inlineStr">
        <is>
          <t>-0,57%</t>
        </is>
      </c>
      <c r="CR214" s="234" t="inlineStr">
        <is>
          <t>6</t>
        </is>
      </c>
      <c r="CS214" s="235" t="inlineStr">
        <is>
          <t>0,10%</t>
        </is>
      </c>
      <c r="CT214" s="236" t="inlineStr">
        <is>
          <t>58</t>
        </is>
      </c>
      <c r="CU214" s="237" t="inlineStr">
        <is>
          <t>0,62%</t>
        </is>
      </c>
      <c r="CV214" s="238" t="inlineStr">
        <is>
          <t>94</t>
        </is>
      </c>
      <c r="CW214" s="239" t="inlineStr">
        <is>
          <t>4,28x</t>
        </is>
      </c>
      <c r="CX214" s="240" t="inlineStr">
        <is>
          <t>77</t>
        </is>
      </c>
      <c r="CY214" s="241" t="inlineStr">
        <is>
          <t>0,08x</t>
        </is>
      </c>
      <c r="CZ214" s="242" t="inlineStr">
        <is>
          <t>1,82%</t>
        </is>
      </c>
      <c r="DA214" s="243" t="inlineStr">
        <is>
          <t>5,62x</t>
        </is>
      </c>
      <c r="DB214" s="244" t="inlineStr">
        <is>
          <t>81</t>
        </is>
      </c>
      <c r="DC214" s="245" t="inlineStr">
        <is>
          <t>2,93x</t>
        </is>
      </c>
      <c r="DD214" s="246" t="inlineStr">
        <is>
          <t>68</t>
        </is>
      </c>
      <c r="DE214" s="247" t="inlineStr">
        <is>
          <t>5,36x</t>
        </is>
      </c>
      <c r="DF214" s="248" t="inlineStr">
        <is>
          <t>77</t>
        </is>
      </c>
      <c r="DG214" s="249" t="inlineStr">
        <is>
          <t>5,89x</t>
        </is>
      </c>
      <c r="DH214" s="250" t="inlineStr">
        <is>
          <t>80</t>
        </is>
      </c>
      <c r="DI214" s="251" t="inlineStr">
        <is>
          <t>2,44x</t>
        </is>
      </c>
      <c r="DJ214" s="252" t="inlineStr">
        <is>
          <t>65</t>
        </is>
      </c>
      <c r="DK214" s="253" t="inlineStr">
        <is>
          <t>3,42x</t>
        </is>
      </c>
      <c r="DL214" s="254" t="inlineStr">
        <is>
          <t>72</t>
        </is>
      </c>
      <c r="DM214" s="255" t="inlineStr">
        <is>
          <t>3.365</t>
        </is>
      </c>
      <c r="DN214" s="256" t="inlineStr">
        <is>
          <t>-207</t>
        </is>
      </c>
      <c r="DO214" s="257" t="inlineStr">
        <is>
          <t>-5,80%</t>
        </is>
      </c>
      <c r="DP214" s="258" t="inlineStr">
        <is>
          <t>1.949</t>
        </is>
      </c>
      <c r="DQ214" s="259" t="inlineStr">
        <is>
          <t>-1</t>
        </is>
      </c>
      <c r="DR214" s="260" t="inlineStr">
        <is>
          <t>-0,05%</t>
        </is>
      </c>
      <c r="DS214" s="261" t="inlineStr">
        <is>
          <t>212</t>
        </is>
      </c>
      <c r="DT214" s="262" t="inlineStr">
        <is>
          <t>-1</t>
        </is>
      </c>
      <c r="DU214" s="263" t="inlineStr">
        <is>
          <t>-0,47%</t>
        </is>
      </c>
      <c r="DV214" s="264" t="inlineStr">
        <is>
          <t>1.161</t>
        </is>
      </c>
      <c r="DW214" s="265" t="inlineStr">
        <is>
          <t>8</t>
        </is>
      </c>
      <c r="DX214" s="266" t="inlineStr">
        <is>
          <t>0,69%</t>
        </is>
      </c>
      <c r="DY214" s="267" t="inlineStr">
        <is>
          <t>PitchBook Research</t>
        </is>
      </c>
      <c r="DZ214" s="786">
        <f>HYPERLINK("https://my.pitchbook.com?c=160783-93", "View company online")</f>
      </c>
    </row>
    <row r="215">
      <c r="A215" s="9" t="inlineStr">
        <is>
          <t>101789-02</t>
        </is>
      </c>
      <c r="B215" s="10" t="inlineStr">
        <is>
          <t>Holidu</t>
        </is>
      </c>
      <c r="C215" s="11" t="inlineStr">
        <is>
          <t/>
        </is>
      </c>
      <c r="D215" s="12" t="inlineStr">
        <is>
          <t/>
        </is>
      </c>
      <c r="E215" s="13" t="inlineStr">
        <is>
          <t>101789-02</t>
        </is>
      </c>
      <c r="F215" s="14" t="inlineStr">
        <is>
          <t>Provider of a search engine for vacation rentals designed to compare prices. The company's vacation rentals search engine simplifies the process of finding and booking holiday homes, as well as uses an image recognition technology to identify the lowest price for each property, enabling consumers to select budget ranges, accommodation types and amenities required.</t>
        </is>
      </c>
      <c r="G215" s="15" t="inlineStr">
        <is>
          <t>Consumer Products and Services (B2C)</t>
        </is>
      </c>
      <c r="H215" s="16" t="inlineStr">
        <is>
          <t>Media</t>
        </is>
      </c>
      <c r="I215" s="17" t="inlineStr">
        <is>
          <t>Information Services (B2C)</t>
        </is>
      </c>
      <c r="J215" s="18" t="inlineStr">
        <is>
          <t>Information Services (B2C)*; Other Restaurants, Hotels and Leisure; Social/Platform Software</t>
        </is>
      </c>
      <c r="K215" s="19" t="inlineStr">
        <is>
          <t/>
        </is>
      </c>
      <c r="L215" s="20" t="inlineStr">
        <is>
          <t>Venture Capital-Backed</t>
        </is>
      </c>
      <c r="M215" s="21" t="n">
        <v>6.0</v>
      </c>
      <c r="N215" s="22" t="inlineStr">
        <is>
          <t>Startup</t>
        </is>
      </c>
      <c r="O215" s="23" t="inlineStr">
        <is>
          <t>Privately Held (backing)</t>
        </is>
      </c>
      <c r="P215" s="24" t="inlineStr">
        <is>
          <t>Venture Capital</t>
        </is>
      </c>
      <c r="Q215" s="25" t="inlineStr">
        <is>
          <t>www.holidu.com</t>
        </is>
      </c>
      <c r="R215" s="26" t="n">
        <v>20.0</v>
      </c>
      <c r="S215" s="27" t="inlineStr">
        <is>
          <t/>
        </is>
      </c>
      <c r="T215" s="28" t="inlineStr">
        <is>
          <t/>
        </is>
      </c>
      <c r="U215" s="29" t="n">
        <v>2014.0</v>
      </c>
      <c r="V215" s="30" t="inlineStr">
        <is>
          <t/>
        </is>
      </c>
      <c r="W215" s="31" t="inlineStr">
        <is>
          <t/>
        </is>
      </c>
      <c r="X215" s="32" t="inlineStr">
        <is>
          <t/>
        </is>
      </c>
      <c r="Y215" s="33" t="inlineStr">
        <is>
          <t/>
        </is>
      </c>
      <c r="Z215" s="34" t="inlineStr">
        <is>
          <t/>
        </is>
      </c>
      <c r="AA215" s="35" t="inlineStr">
        <is>
          <t/>
        </is>
      </c>
      <c r="AB215" s="36" t="inlineStr">
        <is>
          <t/>
        </is>
      </c>
      <c r="AC215" s="37" t="inlineStr">
        <is>
          <t/>
        </is>
      </c>
      <c r="AD215" s="38" t="inlineStr">
        <is>
          <t/>
        </is>
      </c>
      <c r="AE215" s="39" t="inlineStr">
        <is>
          <t>109342-09P</t>
        </is>
      </c>
      <c r="AF215" s="40" t="inlineStr">
        <is>
          <t>Rasmus Porsgaard</t>
        </is>
      </c>
      <c r="AG215" s="41" t="inlineStr">
        <is>
          <t>Co-Founder and Chief Marketing Officer</t>
        </is>
      </c>
      <c r="AH215" s="42" t="inlineStr">
        <is>
          <t>rasmus.porsgaard@holidu.com</t>
        </is>
      </c>
      <c r="AI215" s="43" t="inlineStr">
        <is>
          <t>+49 (0)12 0260 2247 7</t>
        </is>
      </c>
      <c r="AJ215" s="44" t="inlineStr">
        <is>
          <t>Munich, Germany</t>
        </is>
      </c>
      <c r="AK215" s="45" t="inlineStr">
        <is>
          <t>Riesstrasse 24</t>
        </is>
      </c>
      <c r="AL215" s="46" t="inlineStr">
        <is>
          <t/>
        </is>
      </c>
      <c r="AM215" s="47" t="inlineStr">
        <is>
          <t>Munich</t>
        </is>
      </c>
      <c r="AN215" s="48" t="inlineStr">
        <is>
          <t/>
        </is>
      </c>
      <c r="AO215" s="49" t="inlineStr">
        <is>
          <t>80992</t>
        </is>
      </c>
      <c r="AP215" s="50" t="inlineStr">
        <is>
          <t>Germany</t>
        </is>
      </c>
      <c r="AQ215" s="51" t="inlineStr">
        <is>
          <t>+49 (0)12 0260 2247 7</t>
        </is>
      </c>
      <c r="AR215" s="52" t="inlineStr">
        <is>
          <t/>
        </is>
      </c>
      <c r="AS215" s="53" t="inlineStr">
        <is>
          <t/>
        </is>
      </c>
      <c r="AT215" s="54" t="inlineStr">
        <is>
          <t>Europe</t>
        </is>
      </c>
      <c r="AU215" s="55" t="inlineStr">
        <is>
          <t>Western Europe</t>
        </is>
      </c>
      <c r="AV215" s="56" t="inlineStr">
        <is>
          <t>The company raised EUR 5 million of Series A venture funding in a deal led by EQT Ventures on January 7, 2016. Venture Stars and Senovo also participated in the round. The company will use the funding to further expand the business and accelerate growth.</t>
        </is>
      </c>
      <c r="AW215" s="57" t="inlineStr">
        <is>
          <t>Chris Hitchen, EQT Ventures, Jared Oken, Martin Junker, Mike Majors, Senovo, Venture Stars, Vinny Lingham</t>
        </is>
      </c>
      <c r="AX215" s="58" t="n">
        <v>8.0</v>
      </c>
      <c r="AY215" s="59" t="inlineStr">
        <is>
          <t/>
        </is>
      </c>
      <c r="AZ215" s="60" t="inlineStr">
        <is>
          <t/>
        </is>
      </c>
      <c r="BA215" s="61" t="inlineStr">
        <is>
          <t/>
        </is>
      </c>
      <c r="BB215" s="62" t="inlineStr">
        <is>
          <t>EQT Ventures (www.eqtventures.com), Senovo (www.senovo.vc), Venture Stars (www.venture-stars.com), Vinny Lingham (www.vinnylingham.com)</t>
        </is>
      </c>
      <c r="BC215" s="63" t="inlineStr">
        <is>
          <t/>
        </is>
      </c>
      <c r="BD215" s="64" t="inlineStr">
        <is>
          <t/>
        </is>
      </c>
      <c r="BE215" s="65" t="inlineStr">
        <is>
          <t/>
        </is>
      </c>
      <c r="BF215" s="66" t="inlineStr">
        <is>
          <t/>
        </is>
      </c>
      <c r="BG215" s="67" t="n">
        <v>41853.0</v>
      </c>
      <c r="BH215" s="68" t="n">
        <v>1.0</v>
      </c>
      <c r="BI215" s="69" t="inlineStr">
        <is>
          <t>Actual</t>
        </is>
      </c>
      <c r="BJ215" s="70" t="inlineStr">
        <is>
          <t/>
        </is>
      </c>
      <c r="BK215" s="71" t="inlineStr">
        <is>
          <t/>
        </is>
      </c>
      <c r="BL215" s="72" t="inlineStr">
        <is>
          <t>Seed Round</t>
        </is>
      </c>
      <c r="BM215" s="73" t="inlineStr">
        <is>
          <t>Seed</t>
        </is>
      </c>
      <c r="BN215" s="74" t="inlineStr">
        <is>
          <t/>
        </is>
      </c>
      <c r="BO215" s="75" t="inlineStr">
        <is>
          <t>Venture Capital</t>
        </is>
      </c>
      <c r="BP215" s="76" t="inlineStr">
        <is>
          <t/>
        </is>
      </c>
      <c r="BQ215" s="77" t="inlineStr">
        <is>
          <t/>
        </is>
      </c>
      <c r="BR215" s="78" t="inlineStr">
        <is>
          <t/>
        </is>
      </c>
      <c r="BS215" s="79" t="inlineStr">
        <is>
          <t>Completed</t>
        </is>
      </c>
      <c r="BT215" s="80" t="n">
        <v>42376.0</v>
      </c>
      <c r="BU215" s="81" t="n">
        <v>5.0</v>
      </c>
      <c r="BV215" s="82" t="inlineStr">
        <is>
          <t>Actual</t>
        </is>
      </c>
      <c r="BW215" s="83" t="inlineStr">
        <is>
          <t/>
        </is>
      </c>
      <c r="BX215" s="84" t="inlineStr">
        <is>
          <t/>
        </is>
      </c>
      <c r="BY215" s="85" t="inlineStr">
        <is>
          <t>Early Stage VC</t>
        </is>
      </c>
      <c r="BZ215" s="86" t="inlineStr">
        <is>
          <t>Series A</t>
        </is>
      </c>
      <c r="CA215" s="87" t="inlineStr">
        <is>
          <t/>
        </is>
      </c>
      <c r="CB215" s="88" t="inlineStr">
        <is>
          <t>Venture Capital</t>
        </is>
      </c>
      <c r="CC215" s="89" t="inlineStr">
        <is>
          <t/>
        </is>
      </c>
      <c r="CD215" s="90" t="inlineStr">
        <is>
          <t/>
        </is>
      </c>
      <c r="CE215" s="91" t="inlineStr">
        <is>
          <t/>
        </is>
      </c>
      <c r="CF215" s="92" t="inlineStr">
        <is>
          <t>Completed</t>
        </is>
      </c>
      <c r="CG215" s="93" t="inlineStr">
        <is>
          <t>2,28%</t>
        </is>
      </c>
      <c r="CH215" s="94" t="inlineStr">
        <is>
          <t>94</t>
        </is>
      </c>
      <c r="CI215" s="95" t="inlineStr">
        <is>
          <t>-0,08%</t>
        </is>
      </c>
      <c r="CJ215" s="96" t="inlineStr">
        <is>
          <t>-3,28%</t>
        </is>
      </c>
      <c r="CK215" s="97" t="inlineStr">
        <is>
          <t>-0,96%</t>
        </is>
      </c>
      <c r="CL215" s="98" t="inlineStr">
        <is>
          <t>9</t>
        </is>
      </c>
      <c r="CM215" s="99" t="inlineStr">
        <is>
          <t>5,53%</t>
        </is>
      </c>
      <c r="CN215" s="100" t="inlineStr">
        <is>
          <t>100</t>
        </is>
      </c>
      <c r="CO215" s="101" t="inlineStr">
        <is>
          <t>-2,90%</t>
        </is>
      </c>
      <c r="CP215" s="102" t="inlineStr">
        <is>
          <t>12</t>
        </is>
      </c>
      <c r="CQ215" s="103" t="inlineStr">
        <is>
          <t>0,98%</t>
        </is>
      </c>
      <c r="CR215" s="104" t="inlineStr">
        <is>
          <t>88</t>
        </is>
      </c>
      <c r="CS215" s="105" t="inlineStr">
        <is>
          <t>7,68%</t>
        </is>
      </c>
      <c r="CT215" s="106" t="inlineStr">
        <is>
          <t>100</t>
        </is>
      </c>
      <c r="CU215" s="107" t="inlineStr">
        <is>
          <t>3,38%</t>
        </is>
      </c>
      <c r="CV215" s="108" t="inlineStr">
        <is>
          <t>100</t>
        </is>
      </c>
      <c r="CW215" s="109" t="inlineStr">
        <is>
          <t>13,76x</t>
        </is>
      </c>
      <c r="CX215" s="110" t="inlineStr">
        <is>
          <t>89</t>
        </is>
      </c>
      <c r="CY215" s="111" t="inlineStr">
        <is>
          <t>0,42x</t>
        </is>
      </c>
      <c r="CZ215" s="112" t="inlineStr">
        <is>
          <t>3,18%</t>
        </is>
      </c>
      <c r="DA215" s="113" t="inlineStr">
        <is>
          <t>15,47x</t>
        </is>
      </c>
      <c r="DB215" s="114" t="inlineStr">
        <is>
          <t>91</t>
        </is>
      </c>
      <c r="DC215" s="115" t="inlineStr">
        <is>
          <t>12,06x</t>
        </is>
      </c>
      <c r="DD215" s="116" t="inlineStr">
        <is>
          <t>86</t>
        </is>
      </c>
      <c r="DE215" s="117" t="inlineStr">
        <is>
          <t>27,19x</t>
        </is>
      </c>
      <c r="DF215" s="118" t="inlineStr">
        <is>
          <t>90</t>
        </is>
      </c>
      <c r="DG215" s="119" t="inlineStr">
        <is>
          <t>3,75x</t>
        </is>
      </c>
      <c r="DH215" s="120" t="inlineStr">
        <is>
          <t>75</t>
        </is>
      </c>
      <c r="DI215" s="121" t="inlineStr">
        <is>
          <t>23,41x</t>
        </is>
      </c>
      <c r="DJ215" s="122" t="inlineStr">
        <is>
          <t>89</t>
        </is>
      </c>
      <c r="DK215" s="123" t="inlineStr">
        <is>
          <t>0,71x</t>
        </is>
      </c>
      <c r="DL215" s="124" t="inlineStr">
        <is>
          <t>44</t>
        </is>
      </c>
      <c r="DM215" s="125" t="inlineStr">
        <is>
          <t>17.595</t>
        </is>
      </c>
      <c r="DN215" s="126" t="inlineStr">
        <is>
          <t>-2.619</t>
        </is>
      </c>
      <c r="DO215" s="127" t="inlineStr">
        <is>
          <t>-12,96%</t>
        </is>
      </c>
      <c r="DP215" s="128" t="inlineStr">
        <is>
          <t>18.376</t>
        </is>
      </c>
      <c r="DQ215" s="129" t="inlineStr">
        <is>
          <t>962</t>
        </is>
      </c>
      <c r="DR215" s="130" t="inlineStr">
        <is>
          <t>5,52%</t>
        </is>
      </c>
      <c r="DS215" s="131" t="inlineStr">
        <is>
          <t>134</t>
        </is>
      </c>
      <c r="DT215" s="132" t="inlineStr">
        <is>
          <t>1</t>
        </is>
      </c>
      <c r="DU215" s="133" t="inlineStr">
        <is>
          <t>0,75%</t>
        </is>
      </c>
      <c r="DV215" s="134" t="inlineStr">
        <is>
          <t>243</t>
        </is>
      </c>
      <c r="DW215" s="135" t="inlineStr">
        <is>
          <t>2</t>
        </is>
      </c>
      <c r="DX215" s="136" t="inlineStr">
        <is>
          <t>0,83%</t>
        </is>
      </c>
      <c r="DY215" s="137" t="inlineStr">
        <is>
          <t>PitchBook Research</t>
        </is>
      </c>
      <c r="DZ215" s="785">
        <f>HYPERLINK("https://my.pitchbook.com?c=101789-02", "View company online")</f>
      </c>
    </row>
    <row r="216">
      <c r="A216" s="139" t="inlineStr">
        <is>
          <t>111321-55</t>
        </is>
      </c>
      <c r="B216" s="140" t="inlineStr">
        <is>
          <t>HomeToGo</t>
        </is>
      </c>
      <c r="C216" s="141" t="inlineStr">
        <is>
          <t/>
        </is>
      </c>
      <c r="D216" s="142" t="inlineStr">
        <is>
          <t/>
        </is>
      </c>
      <c r="E216" s="143" t="inlineStr">
        <is>
          <t>111321-55</t>
        </is>
      </c>
      <c r="F216" s="144" t="inlineStr">
        <is>
          <t>Provider of a metasearch engine for vacation rentals. The company's platform enables users to find their vacation rentals by sorting and comparing destinations according to their preferred locations, travel dates, budget and amenities.</t>
        </is>
      </c>
      <c r="G216" s="145" t="inlineStr">
        <is>
          <t>Consumer Products and Services (B2C)</t>
        </is>
      </c>
      <c r="H216" s="146" t="inlineStr">
        <is>
          <t>Media</t>
        </is>
      </c>
      <c r="I216" s="147" t="inlineStr">
        <is>
          <t>Information Services (B2C)</t>
        </is>
      </c>
      <c r="J216" s="148" t="inlineStr">
        <is>
          <t>Information Services (B2C)*; Other Software</t>
        </is>
      </c>
      <c r="K216" s="149" t="inlineStr">
        <is>
          <t>SaaS</t>
        </is>
      </c>
      <c r="L216" s="150" t="inlineStr">
        <is>
          <t>Venture Capital-Backed</t>
        </is>
      </c>
      <c r="M216" s="151" t="n">
        <v>25.64</v>
      </c>
      <c r="N216" s="152" t="inlineStr">
        <is>
          <t>Startup</t>
        </is>
      </c>
      <c r="O216" s="153" t="inlineStr">
        <is>
          <t>Privately Held (backing)</t>
        </is>
      </c>
      <c r="P216" s="154" t="inlineStr">
        <is>
          <t>Venture Capital</t>
        </is>
      </c>
      <c r="Q216" s="155" t="inlineStr">
        <is>
          <t>www.hometogo.de</t>
        </is>
      </c>
      <c r="R216" s="156" t="n">
        <v>70.0</v>
      </c>
      <c r="S216" s="157" t="inlineStr">
        <is>
          <t/>
        </is>
      </c>
      <c r="T216" s="158" t="inlineStr">
        <is>
          <t/>
        </is>
      </c>
      <c r="U216" s="159" t="n">
        <v>2014.0</v>
      </c>
      <c r="V216" s="160" t="inlineStr">
        <is>
          <t/>
        </is>
      </c>
      <c r="W216" s="161" t="inlineStr">
        <is>
          <t/>
        </is>
      </c>
      <c r="X216" s="162" t="inlineStr">
        <is>
          <t/>
        </is>
      </c>
      <c r="Y216" s="163" t="inlineStr">
        <is>
          <t/>
        </is>
      </c>
      <c r="Z216" s="164" t="inlineStr">
        <is>
          <t/>
        </is>
      </c>
      <c r="AA216" s="165" t="inlineStr">
        <is>
          <t/>
        </is>
      </c>
      <c r="AB216" s="166" t="inlineStr">
        <is>
          <t/>
        </is>
      </c>
      <c r="AC216" s="167" t="inlineStr">
        <is>
          <t/>
        </is>
      </c>
      <c r="AD216" s="168" t="inlineStr">
        <is>
          <t/>
        </is>
      </c>
      <c r="AE216" s="169" t="inlineStr">
        <is>
          <t>97578-46P</t>
        </is>
      </c>
      <c r="AF216" s="170" t="inlineStr">
        <is>
          <t>Patrick Andrae</t>
        </is>
      </c>
      <c r="AG216" s="171" t="inlineStr">
        <is>
          <t>Managing Director, Chief Executive Officer &amp; Co-Founder</t>
        </is>
      </c>
      <c r="AH216" s="172" t="inlineStr">
        <is>
          <t>patrick@hometogo.de</t>
        </is>
      </c>
      <c r="AI216" s="173" t="inlineStr">
        <is>
          <t>+49 (0)30 2084 7396</t>
        </is>
      </c>
      <c r="AJ216" s="174" t="inlineStr">
        <is>
          <t>Berlin, Germany</t>
        </is>
      </c>
      <c r="AK216" s="175" t="inlineStr">
        <is>
          <t>Sonnenburger Strasse 73</t>
        </is>
      </c>
      <c r="AL216" s="176" t="inlineStr">
        <is>
          <t/>
        </is>
      </c>
      <c r="AM216" s="177" t="inlineStr">
        <is>
          <t>Berlin</t>
        </is>
      </c>
      <c r="AN216" s="178" t="inlineStr">
        <is>
          <t/>
        </is>
      </c>
      <c r="AO216" s="179" t="inlineStr">
        <is>
          <t>10437</t>
        </is>
      </c>
      <c r="AP216" s="180" t="inlineStr">
        <is>
          <t>Germany</t>
        </is>
      </c>
      <c r="AQ216" s="181" t="inlineStr">
        <is>
          <t>+49 (0)30 2084 7396</t>
        </is>
      </c>
      <c r="AR216" s="182" t="inlineStr">
        <is>
          <t>+49 (0)30 2084 7326 0</t>
        </is>
      </c>
      <c r="AS216" s="183" t="inlineStr">
        <is>
          <t>info@hometogo.de</t>
        </is>
      </c>
      <c r="AT216" s="184" t="inlineStr">
        <is>
          <t>Europe</t>
        </is>
      </c>
      <c r="AU216" s="185" t="inlineStr">
        <is>
          <t>Western Europe</t>
        </is>
      </c>
      <c r="AV216" s="186" t="inlineStr">
        <is>
          <t>Insight Venture Partners sold its stake in the company to undisclosed investors. Previously, the company raised $20 million of Series B venture funding in a deal led by Insight Venture Partners on April 15, 2016. DN Capital and Acton Capital Partners also participated. The company will use the funding for further international expansion and accelerate product innovation.</t>
        </is>
      </c>
      <c r="AW216" s="187" t="inlineStr">
        <is>
          <t>Acton Capital Partners, DN Capital, EMH Partners, Felix Jahn</t>
        </is>
      </c>
      <c r="AX216" s="188" t="n">
        <v>4.0</v>
      </c>
      <c r="AY216" s="189" t="inlineStr">
        <is>
          <t/>
        </is>
      </c>
      <c r="AZ216" s="190" t="inlineStr">
        <is>
          <t>Insight Venture Partners</t>
        </is>
      </c>
      <c r="BA216" s="191" t="inlineStr">
        <is>
          <t/>
        </is>
      </c>
      <c r="BB216" s="192" t="inlineStr">
        <is>
          <t>Acton Capital Partners (www.actoncapital.com), DN Capital (www.dncapital.com), EMH Partners (www.emh.com)</t>
        </is>
      </c>
      <c r="BC216" s="193" t="inlineStr">
        <is>
          <t>Insight Venture Partners (www.insightpartners.com)</t>
        </is>
      </c>
      <c r="BD216" s="194" t="inlineStr">
        <is>
          <t/>
        </is>
      </c>
      <c r="BE216" s="195" t="inlineStr">
        <is>
          <t/>
        </is>
      </c>
      <c r="BF216" s="196" t="inlineStr">
        <is>
          <t/>
        </is>
      </c>
      <c r="BG216" s="197" t="inlineStr">
        <is>
          <t/>
        </is>
      </c>
      <c r="BH216" s="198" t="n">
        <v>2.0</v>
      </c>
      <c r="BI216" s="199" t="inlineStr">
        <is>
          <t>Actual</t>
        </is>
      </c>
      <c r="BJ216" s="200" t="inlineStr">
        <is>
          <t/>
        </is>
      </c>
      <c r="BK216" s="201" t="inlineStr">
        <is>
          <t/>
        </is>
      </c>
      <c r="BL216" s="202" t="inlineStr">
        <is>
          <t>Angel (individual)</t>
        </is>
      </c>
      <c r="BM216" s="203" t="inlineStr">
        <is>
          <t>Angel</t>
        </is>
      </c>
      <c r="BN216" s="204" t="inlineStr">
        <is>
          <t/>
        </is>
      </c>
      <c r="BO216" s="205" t="inlineStr">
        <is>
          <t>Individual</t>
        </is>
      </c>
      <c r="BP216" s="206" t="inlineStr">
        <is>
          <t/>
        </is>
      </c>
      <c r="BQ216" s="207" t="inlineStr">
        <is>
          <t/>
        </is>
      </c>
      <c r="BR216" s="208" t="inlineStr">
        <is>
          <t/>
        </is>
      </c>
      <c r="BS216" s="209" t="inlineStr">
        <is>
          <t>Completed</t>
        </is>
      </c>
      <c r="BT216" s="210" t="inlineStr">
        <is>
          <t/>
        </is>
      </c>
      <c r="BU216" s="211" t="inlineStr">
        <is>
          <t/>
        </is>
      </c>
      <c r="BV216" s="212" t="inlineStr">
        <is>
          <t/>
        </is>
      </c>
      <c r="BW216" s="213" t="inlineStr">
        <is>
          <t/>
        </is>
      </c>
      <c r="BX216" s="214" t="inlineStr">
        <is>
          <t/>
        </is>
      </c>
      <c r="BY216" s="215" t="inlineStr">
        <is>
          <t>Secondary Transaction - Private</t>
        </is>
      </c>
      <c r="BZ216" s="216" t="inlineStr">
        <is>
          <t/>
        </is>
      </c>
      <c r="CA216" s="217" t="inlineStr">
        <is>
          <t/>
        </is>
      </c>
      <c r="CB216" s="218" t="inlineStr">
        <is>
          <t>Venture Capital</t>
        </is>
      </c>
      <c r="CC216" s="219" t="inlineStr">
        <is>
          <t/>
        </is>
      </c>
      <c r="CD216" s="220" t="inlineStr">
        <is>
          <t/>
        </is>
      </c>
      <c r="CE216" s="221" t="inlineStr">
        <is>
          <t/>
        </is>
      </c>
      <c r="CF216" s="222" t="inlineStr">
        <is>
          <t>Completed</t>
        </is>
      </c>
      <c r="CG216" s="223" t="inlineStr">
        <is>
          <t>2,87%</t>
        </is>
      </c>
      <c r="CH216" s="224" t="inlineStr">
        <is>
          <t>95</t>
        </is>
      </c>
      <c r="CI216" s="225" t="inlineStr">
        <is>
          <t>-0,05%</t>
        </is>
      </c>
      <c r="CJ216" s="226" t="inlineStr">
        <is>
          <t>-1,80%</t>
        </is>
      </c>
      <c r="CK216" s="227" t="inlineStr">
        <is>
          <t>4,22%</t>
        </is>
      </c>
      <c r="CL216" s="228" t="inlineStr">
        <is>
          <t>95</t>
        </is>
      </c>
      <c r="CM216" s="229" t="inlineStr">
        <is>
          <t>1,53%</t>
        </is>
      </c>
      <c r="CN216" s="230" t="inlineStr">
        <is>
          <t>98</t>
        </is>
      </c>
      <c r="CO216" s="231" t="inlineStr">
        <is>
          <t>7,81%</t>
        </is>
      </c>
      <c r="CP216" s="232" t="inlineStr">
        <is>
          <t>99</t>
        </is>
      </c>
      <c r="CQ216" s="233" t="inlineStr">
        <is>
          <t>0,62%</t>
        </is>
      </c>
      <c r="CR216" s="234" t="inlineStr">
        <is>
          <t>87</t>
        </is>
      </c>
      <c r="CS216" s="235" t="inlineStr">
        <is>
          <t>2,94%</t>
        </is>
      </c>
      <c r="CT216" s="236" t="inlineStr">
        <is>
          <t>99</t>
        </is>
      </c>
      <c r="CU216" s="237" t="inlineStr">
        <is>
          <t>0,12%</t>
        </is>
      </c>
      <c r="CV216" s="238" t="inlineStr">
        <is>
          <t>70</t>
        </is>
      </c>
      <c r="CW216" s="239" t="inlineStr">
        <is>
          <t>160,25x</t>
        </is>
      </c>
      <c r="CX216" s="240" t="inlineStr">
        <is>
          <t>98</t>
        </is>
      </c>
      <c r="CY216" s="241" t="inlineStr">
        <is>
          <t>1,37x</t>
        </is>
      </c>
      <c r="CZ216" s="242" t="inlineStr">
        <is>
          <t>0,86%</t>
        </is>
      </c>
      <c r="DA216" s="243" t="inlineStr">
        <is>
          <t>246,98x</t>
        </is>
      </c>
      <c r="DB216" s="244" t="inlineStr">
        <is>
          <t>99</t>
        </is>
      </c>
      <c r="DC216" s="245" t="inlineStr">
        <is>
          <t>73,53x</t>
        </is>
      </c>
      <c r="DD216" s="246" t="inlineStr">
        <is>
          <t>96</t>
        </is>
      </c>
      <c r="DE216" s="247" t="inlineStr">
        <is>
          <t>483,01x</t>
        </is>
      </c>
      <c r="DF216" s="248" t="inlineStr">
        <is>
          <t>99</t>
        </is>
      </c>
      <c r="DG216" s="249" t="inlineStr">
        <is>
          <t>10,94x</t>
        </is>
      </c>
      <c r="DH216" s="250" t="inlineStr">
        <is>
          <t>87</t>
        </is>
      </c>
      <c r="DI216" s="251" t="inlineStr">
        <is>
          <t>146,75x</t>
        </is>
      </c>
      <c r="DJ216" s="252" t="inlineStr">
        <is>
          <t>96</t>
        </is>
      </c>
      <c r="DK216" s="253" t="inlineStr">
        <is>
          <t>0,32x</t>
        </is>
      </c>
      <c r="DL216" s="254" t="inlineStr">
        <is>
          <t>32</t>
        </is>
      </c>
      <c r="DM216" s="255" t="inlineStr">
        <is>
          <t>295.715</t>
        </is>
      </c>
      <c r="DN216" s="256" t="inlineStr">
        <is>
          <t>12.012</t>
        </is>
      </c>
      <c r="DO216" s="257" t="inlineStr">
        <is>
          <t>4,23%</t>
        </is>
      </c>
      <c r="DP216" s="258" t="inlineStr">
        <is>
          <t>116.593</t>
        </is>
      </c>
      <c r="DQ216" s="259" t="inlineStr">
        <is>
          <t>1.834</t>
        </is>
      </c>
      <c r="DR216" s="260" t="inlineStr">
        <is>
          <t>1,60%</t>
        </is>
      </c>
      <c r="DS216" s="261" t="inlineStr">
        <is>
          <t>392</t>
        </is>
      </c>
      <c r="DT216" s="262" t="inlineStr">
        <is>
          <t>3</t>
        </is>
      </c>
      <c r="DU216" s="263" t="inlineStr">
        <is>
          <t>0,77%</t>
        </is>
      </c>
      <c r="DV216" s="264" t="inlineStr">
        <is>
          <t>108</t>
        </is>
      </c>
      <c r="DW216" s="265" t="inlineStr">
        <is>
          <t>0</t>
        </is>
      </c>
      <c r="DX216" s="266" t="inlineStr">
        <is>
          <t>0,00%</t>
        </is>
      </c>
      <c r="DY216" s="267" t="inlineStr">
        <is>
          <t>PitchBook Research</t>
        </is>
      </c>
      <c r="DZ216" s="786">
        <f>HYPERLINK("https://my.pitchbook.com?c=111321-55", "View company online")</f>
      </c>
    </row>
    <row r="217">
      <c r="A217" s="9" t="inlineStr">
        <is>
          <t>101790-01</t>
        </is>
      </c>
      <c r="B217" s="10" t="inlineStr">
        <is>
          <t>Hopwork</t>
        </is>
      </c>
      <c r="C217" s="11" t="inlineStr">
        <is>
          <t/>
        </is>
      </c>
      <c r="D217" s="12" t="inlineStr">
        <is>
          <t/>
        </is>
      </c>
      <c r="E217" s="13" t="inlineStr">
        <is>
          <t>101790-01</t>
        </is>
      </c>
      <c r="F217" s="14" t="inlineStr">
        <is>
          <t>Provider of an online platform for freelancers. The company offers a platform which enables freelancers including developers, designers, editors and marketers to update their experience, work, previous customers comments on a profile page, which lets users to communicate with them.</t>
        </is>
      </c>
      <c r="G217" s="15" t="inlineStr">
        <is>
          <t>Information Technology</t>
        </is>
      </c>
      <c r="H217" s="16" t="inlineStr">
        <is>
          <t>Software</t>
        </is>
      </c>
      <c r="I217" s="17" t="inlineStr">
        <is>
          <t>Social/Platform Software</t>
        </is>
      </c>
      <c r="J217" s="18" t="inlineStr">
        <is>
          <t>Social/Platform Software*; Communication Software</t>
        </is>
      </c>
      <c r="K217" s="19" t="inlineStr">
        <is>
          <t>SaaS</t>
        </is>
      </c>
      <c r="L217" s="20" t="inlineStr">
        <is>
          <t>Venture Capital-Backed</t>
        </is>
      </c>
      <c r="M217" s="21" t="n">
        <v>7.05</v>
      </c>
      <c r="N217" s="22" t="inlineStr">
        <is>
          <t>Generating Revenue</t>
        </is>
      </c>
      <c r="O217" s="23" t="inlineStr">
        <is>
          <t>Privately Held (backing)</t>
        </is>
      </c>
      <c r="P217" s="24" t="inlineStr">
        <is>
          <t>Venture Capital</t>
        </is>
      </c>
      <c r="Q217" s="25" t="inlineStr">
        <is>
          <t>www.hopwork.fr</t>
        </is>
      </c>
      <c r="R217" s="26" t="n">
        <v>16.0</v>
      </c>
      <c r="S217" s="27" t="inlineStr">
        <is>
          <t/>
        </is>
      </c>
      <c r="T217" s="28" t="inlineStr">
        <is>
          <t/>
        </is>
      </c>
      <c r="U217" s="29" t="n">
        <v>2013.0</v>
      </c>
      <c r="V217" s="30" t="inlineStr">
        <is>
          <t/>
        </is>
      </c>
      <c r="W217" s="31" t="inlineStr">
        <is>
          <t/>
        </is>
      </c>
      <c r="X217" s="32" t="inlineStr">
        <is>
          <t/>
        </is>
      </c>
      <c r="Y217" s="33" t="n">
        <v>0.11364</v>
      </c>
      <c r="Z217" s="34" t="inlineStr">
        <is>
          <t/>
        </is>
      </c>
      <c r="AA217" s="35" t="n">
        <v>-0.21104</v>
      </c>
      <c r="AB217" s="36" t="inlineStr">
        <is>
          <t/>
        </is>
      </c>
      <c r="AC217" s="37" t="inlineStr">
        <is>
          <t/>
        </is>
      </c>
      <c r="AD217" s="38" t="inlineStr">
        <is>
          <t>FY 2014</t>
        </is>
      </c>
      <c r="AE217" s="39" t="inlineStr">
        <is>
          <t>97395-85P</t>
        </is>
      </c>
      <c r="AF217" s="40" t="inlineStr">
        <is>
          <t>Vincent Huguet</t>
        </is>
      </c>
      <c r="AG217" s="41" t="inlineStr">
        <is>
          <t>Chief Executive Officer, Co-Founder &amp; Board Member</t>
        </is>
      </c>
      <c r="AH217" s="42" t="inlineStr">
        <is>
          <t>vincent@hopwork.com</t>
        </is>
      </c>
      <c r="AI217" s="43" t="inlineStr">
        <is>
          <t>+33 (0)1 82 83 15 11</t>
        </is>
      </c>
      <c r="AJ217" s="44" t="inlineStr">
        <is>
          <t>Paris, France</t>
        </is>
      </c>
      <c r="AK217" s="45" t="inlineStr">
        <is>
          <t>57 Boulevard de la Villette</t>
        </is>
      </c>
      <c r="AL217" s="46" t="inlineStr">
        <is>
          <t/>
        </is>
      </c>
      <c r="AM217" s="47" t="inlineStr">
        <is>
          <t>Paris</t>
        </is>
      </c>
      <c r="AN217" s="48" t="inlineStr">
        <is>
          <t/>
        </is>
      </c>
      <c r="AO217" s="49" t="inlineStr">
        <is>
          <t>75010</t>
        </is>
      </c>
      <c r="AP217" s="50" t="inlineStr">
        <is>
          <t>France</t>
        </is>
      </c>
      <c r="AQ217" s="51" t="inlineStr">
        <is>
          <t>+33 (0)1 82 83 15 11</t>
        </is>
      </c>
      <c r="AR217" s="52" t="inlineStr">
        <is>
          <t/>
        </is>
      </c>
      <c r="AS217" s="53" t="inlineStr">
        <is>
          <t/>
        </is>
      </c>
      <c r="AT217" s="54" t="inlineStr">
        <is>
          <t>Europe</t>
        </is>
      </c>
      <c r="AU217" s="55" t="inlineStr">
        <is>
          <t>Western Europe</t>
        </is>
      </c>
      <c r="AV217" s="56" t="inlineStr">
        <is>
          <t>The company raised EUR 5 million of venture funding from Serena Capital and ISAI on December 15, 2016. The company intends to use the funds to build its platform and recruit 30 plus new people.</t>
        </is>
      </c>
      <c r="AW217" s="57" t="inlineStr">
        <is>
          <t>Antoine Freysz, ISAI, Jérôme Caille, Kerala Ventures, Olivier Occelli, Serena Capital</t>
        </is>
      </c>
      <c r="AX217" s="58" t="n">
        <v>6.0</v>
      </c>
      <c r="AY217" s="59" t="inlineStr">
        <is>
          <t/>
        </is>
      </c>
      <c r="AZ217" s="60" t="inlineStr">
        <is>
          <t/>
        </is>
      </c>
      <c r="BA217" s="61" t="inlineStr">
        <is>
          <t/>
        </is>
      </c>
      <c r="BB217" s="62" t="inlineStr">
        <is>
          <t>ISAI (www.isai.fr), Kerala Ventures (www.krlventures.com), Serena Capital (www.serenacapital.com)</t>
        </is>
      </c>
      <c r="BC217" s="63" t="inlineStr">
        <is>
          <t/>
        </is>
      </c>
      <c r="BD217" s="64" t="inlineStr">
        <is>
          <t/>
        </is>
      </c>
      <c r="BE217" s="65" t="inlineStr">
        <is>
          <t/>
        </is>
      </c>
      <c r="BF217" s="66" t="inlineStr">
        <is>
          <t>Pinot de Villechenon &amp; Associés (Legal Advisor)</t>
        </is>
      </c>
      <c r="BG217" s="67" t="n">
        <v>41760.0</v>
      </c>
      <c r="BH217" s="68" t="n">
        <v>0.55</v>
      </c>
      <c r="BI217" s="69" t="inlineStr">
        <is>
          <t>Actual</t>
        </is>
      </c>
      <c r="BJ217" s="70" t="inlineStr">
        <is>
          <t/>
        </is>
      </c>
      <c r="BK217" s="71" t="inlineStr">
        <is>
          <t/>
        </is>
      </c>
      <c r="BL217" s="72" t="inlineStr">
        <is>
          <t>Seed Round</t>
        </is>
      </c>
      <c r="BM217" s="73" t="inlineStr">
        <is>
          <t>Seed</t>
        </is>
      </c>
      <c r="BN217" s="74" t="inlineStr">
        <is>
          <t/>
        </is>
      </c>
      <c r="BO217" s="75" t="inlineStr">
        <is>
          <t>Venture Capital</t>
        </is>
      </c>
      <c r="BP217" s="76" t="inlineStr">
        <is>
          <t/>
        </is>
      </c>
      <c r="BQ217" s="77" t="inlineStr">
        <is>
          <t/>
        </is>
      </c>
      <c r="BR217" s="78" t="inlineStr">
        <is>
          <t/>
        </is>
      </c>
      <c r="BS217" s="79" t="inlineStr">
        <is>
          <t>Completed</t>
        </is>
      </c>
      <c r="BT217" s="80" t="n">
        <v>42719.0</v>
      </c>
      <c r="BU217" s="81" t="n">
        <v>5.0</v>
      </c>
      <c r="BV217" s="82" t="inlineStr">
        <is>
          <t>Actual</t>
        </is>
      </c>
      <c r="BW217" s="83" t="inlineStr">
        <is>
          <t/>
        </is>
      </c>
      <c r="BX217" s="84" t="inlineStr">
        <is>
          <t/>
        </is>
      </c>
      <c r="BY217" s="85" t="inlineStr">
        <is>
          <t>Early Stage VC</t>
        </is>
      </c>
      <c r="BZ217" s="86" t="inlineStr">
        <is>
          <t/>
        </is>
      </c>
      <c r="CA217" s="87" t="inlineStr">
        <is>
          <t/>
        </is>
      </c>
      <c r="CB217" s="88" t="inlineStr">
        <is>
          <t>Venture Capital</t>
        </is>
      </c>
      <c r="CC217" s="89" t="inlineStr">
        <is>
          <t/>
        </is>
      </c>
      <c r="CD217" s="90" t="inlineStr">
        <is>
          <t/>
        </is>
      </c>
      <c r="CE217" s="91" t="inlineStr">
        <is>
          <t/>
        </is>
      </c>
      <c r="CF217" s="92" t="inlineStr">
        <is>
          <t>Completed</t>
        </is>
      </c>
      <c r="CG217" s="93" t="inlineStr">
        <is>
          <t>-10,82%</t>
        </is>
      </c>
      <c r="CH217" s="94" t="inlineStr">
        <is>
          <t>1</t>
        </is>
      </c>
      <c r="CI217" s="95" t="inlineStr">
        <is>
          <t>-0,03%</t>
        </is>
      </c>
      <c r="CJ217" s="96" t="inlineStr">
        <is>
          <t>-0,29%</t>
        </is>
      </c>
      <c r="CK217" s="97" t="inlineStr">
        <is>
          <t>-1,56%</t>
        </is>
      </c>
      <c r="CL217" s="98" t="inlineStr">
        <is>
          <t>7</t>
        </is>
      </c>
      <c r="CM217" s="99" t="inlineStr">
        <is>
          <t>-20,08%</t>
        </is>
      </c>
      <c r="CN217" s="100" t="inlineStr">
        <is>
          <t>1</t>
        </is>
      </c>
      <c r="CO217" s="101" t="inlineStr">
        <is>
          <t>-2,72%</t>
        </is>
      </c>
      <c r="CP217" s="102" t="inlineStr">
        <is>
          <t>13</t>
        </is>
      </c>
      <c r="CQ217" s="103" t="inlineStr">
        <is>
          <t>-0,41%</t>
        </is>
      </c>
      <c r="CR217" s="104" t="inlineStr">
        <is>
          <t>8</t>
        </is>
      </c>
      <c r="CS217" s="105" t="inlineStr">
        <is>
          <t>-20,20%</t>
        </is>
      </c>
      <c r="CT217" s="106" t="inlineStr">
        <is>
          <t>1</t>
        </is>
      </c>
      <c r="CU217" s="107" t="inlineStr">
        <is>
          <t>-19,96%</t>
        </is>
      </c>
      <c r="CV217" s="108" t="inlineStr">
        <is>
          <t>1</t>
        </is>
      </c>
      <c r="CW217" s="109" t="inlineStr">
        <is>
          <t>3,01x</t>
        </is>
      </c>
      <c r="CX217" s="110" t="inlineStr">
        <is>
          <t>71</t>
        </is>
      </c>
      <c r="CY217" s="111" t="inlineStr">
        <is>
          <t>0,06x</t>
        </is>
      </c>
      <c r="CZ217" s="112" t="inlineStr">
        <is>
          <t>1,98%</t>
        </is>
      </c>
      <c r="DA217" s="113" t="inlineStr">
        <is>
          <t>5,97x</t>
        </is>
      </c>
      <c r="DB217" s="114" t="inlineStr">
        <is>
          <t>82</t>
        </is>
      </c>
      <c r="DC217" s="115" t="inlineStr">
        <is>
          <t>0,04x</t>
        </is>
      </c>
      <c r="DD217" s="116" t="inlineStr">
        <is>
          <t>7</t>
        </is>
      </c>
      <c r="DE217" s="117" t="inlineStr">
        <is>
          <t>1,86x</t>
        </is>
      </c>
      <c r="DF217" s="118" t="inlineStr">
        <is>
          <t>62</t>
        </is>
      </c>
      <c r="DG217" s="119" t="inlineStr">
        <is>
          <t>10,08x</t>
        </is>
      </c>
      <c r="DH217" s="120" t="inlineStr">
        <is>
          <t>86</t>
        </is>
      </c>
      <c r="DI217" s="121" t="inlineStr">
        <is>
          <t>0,04x</t>
        </is>
      </c>
      <c r="DJ217" s="122" t="inlineStr">
        <is>
          <t>7</t>
        </is>
      </c>
      <c r="DK217" s="123" t="inlineStr">
        <is>
          <t>0,04x</t>
        </is>
      </c>
      <c r="DL217" s="124" t="inlineStr">
        <is>
          <t>10</t>
        </is>
      </c>
      <c r="DM217" s="125" t="inlineStr">
        <is>
          <t>1.125</t>
        </is>
      </c>
      <c r="DN217" s="126" t="inlineStr">
        <is>
          <t>48</t>
        </is>
      </c>
      <c r="DO217" s="127" t="inlineStr">
        <is>
          <t>4,46%</t>
        </is>
      </c>
      <c r="DP217" s="128" t="inlineStr">
        <is>
          <t>29</t>
        </is>
      </c>
      <c r="DQ217" s="129" t="inlineStr">
        <is>
          <t>3</t>
        </is>
      </c>
      <c r="DR217" s="130" t="inlineStr">
        <is>
          <t>11,54%</t>
        </is>
      </c>
      <c r="DS217" s="131" t="inlineStr">
        <is>
          <t>363</t>
        </is>
      </c>
      <c r="DT217" s="132" t="inlineStr">
        <is>
          <t>-2</t>
        </is>
      </c>
      <c r="DU217" s="133" t="inlineStr">
        <is>
          <t>-0,55%</t>
        </is>
      </c>
      <c r="DV217" s="134" t="inlineStr">
        <is>
          <t>13</t>
        </is>
      </c>
      <c r="DW217" s="135" t="inlineStr">
        <is>
          <t>3</t>
        </is>
      </c>
      <c r="DX217" s="136" t="inlineStr">
        <is>
          <t>30,00%</t>
        </is>
      </c>
      <c r="DY217" s="137" t="inlineStr">
        <is>
          <t>PitchBook Research</t>
        </is>
      </c>
      <c r="DZ217" s="785">
        <f>HYPERLINK("https://my.pitchbook.com?c=101790-01", "View company online")</f>
      </c>
    </row>
    <row r="218">
      <c r="A218" s="139" t="inlineStr">
        <is>
          <t>131242-42</t>
        </is>
      </c>
      <c r="B218" s="140" t="inlineStr">
        <is>
          <t>Hostmaker</t>
        </is>
      </c>
      <c r="C218" s="141" t="inlineStr">
        <is>
          <t/>
        </is>
      </c>
      <c r="D218" s="142" t="inlineStr">
        <is>
          <t/>
        </is>
      </c>
      <c r="E218" s="143" t="inlineStr">
        <is>
          <t>131242-42</t>
        </is>
      </c>
      <c r="F218" s="144" t="inlineStr">
        <is>
          <t>Provider of hospitality management services for Airbnb hosts to manage their Airbnb listing. The company provides a hospitality management platform and services such as cleaning, professional housekeeping, linen hire service, check in service and profile listing and management for Airbnb hosts and offers local market expertise and custom-built pricing tools, enabling them to optimize occupancy and maximize income.</t>
        </is>
      </c>
      <c r="G218" s="145" t="inlineStr">
        <is>
          <t>Consumer Products and Services (B2C)</t>
        </is>
      </c>
      <c r="H218" s="146" t="inlineStr">
        <is>
          <t>Restaurants, Hotels and Leisure</t>
        </is>
      </c>
      <c r="I218" s="147" t="inlineStr">
        <is>
          <t>Hotels and Resorts</t>
        </is>
      </c>
      <c r="J218" s="148" t="inlineStr">
        <is>
          <t>Hotels and Resorts*; Leisure Facilities; Other Services (B2C Non-Financial)</t>
        </is>
      </c>
      <c r="K218" s="149" t="inlineStr">
        <is>
          <t/>
        </is>
      </c>
      <c r="L218" s="150" t="inlineStr">
        <is>
          <t>Venture Capital-Backed</t>
        </is>
      </c>
      <c r="M218" s="151" t="n">
        <v>9.02</v>
      </c>
      <c r="N218" s="152" t="inlineStr">
        <is>
          <t>Generating Revenue</t>
        </is>
      </c>
      <c r="O218" s="153" t="inlineStr">
        <is>
          <t>Privately Held (backing)</t>
        </is>
      </c>
      <c r="P218" s="154" t="inlineStr">
        <is>
          <t>Venture Capital</t>
        </is>
      </c>
      <c r="Q218" s="155" t="inlineStr">
        <is>
          <t>www.hostmaker.co</t>
        </is>
      </c>
      <c r="R218" s="156" t="n">
        <v>50.0</v>
      </c>
      <c r="S218" s="157" t="inlineStr">
        <is>
          <t/>
        </is>
      </c>
      <c r="T218" s="158" t="inlineStr">
        <is>
          <t/>
        </is>
      </c>
      <c r="U218" s="159" t="n">
        <v>2014.0</v>
      </c>
      <c r="V218" s="160" t="inlineStr">
        <is>
          <t/>
        </is>
      </c>
      <c r="W218" s="161" t="inlineStr">
        <is>
          <t/>
        </is>
      </c>
      <c r="X218" s="162" t="inlineStr">
        <is>
          <t/>
        </is>
      </c>
      <c r="Y218" s="163" t="inlineStr">
        <is>
          <t/>
        </is>
      </c>
      <c r="Z218" s="164" t="inlineStr">
        <is>
          <t/>
        </is>
      </c>
      <c r="AA218" s="165" t="inlineStr">
        <is>
          <t/>
        </is>
      </c>
      <c r="AB218" s="166" t="inlineStr">
        <is>
          <t/>
        </is>
      </c>
      <c r="AC218" s="167" t="inlineStr">
        <is>
          <t/>
        </is>
      </c>
      <c r="AD218" s="168" t="inlineStr">
        <is>
          <t/>
        </is>
      </c>
      <c r="AE218" s="169" t="inlineStr">
        <is>
          <t>120137-77P</t>
        </is>
      </c>
      <c r="AF218" s="170" t="inlineStr">
        <is>
          <t>Nakul Sharma</t>
        </is>
      </c>
      <c r="AG218" s="171" t="inlineStr">
        <is>
          <t>Co-Founder, Chief Executive Officer &amp; Board Member</t>
        </is>
      </c>
      <c r="AH218" s="172" t="inlineStr">
        <is>
          <t>nakul@hostmaker.co</t>
        </is>
      </c>
      <c r="AI218" s="173" t="inlineStr">
        <is>
          <t>+44 (0)20 3733 9327</t>
        </is>
      </c>
      <c r="AJ218" s="174" t="inlineStr">
        <is>
          <t>London, United Kingdom</t>
        </is>
      </c>
      <c r="AK218" s="175" t="inlineStr">
        <is>
          <t>2 Angel Square</t>
        </is>
      </c>
      <c r="AL218" s="176" t="inlineStr">
        <is>
          <t/>
        </is>
      </c>
      <c r="AM218" s="177" t="inlineStr">
        <is>
          <t>London</t>
        </is>
      </c>
      <c r="AN218" s="178" t="inlineStr">
        <is>
          <t>England</t>
        </is>
      </c>
      <c r="AO218" s="179" t="inlineStr">
        <is>
          <t>EC1V 1NY</t>
        </is>
      </c>
      <c r="AP218" s="180" t="inlineStr">
        <is>
          <t>United Kingdom</t>
        </is>
      </c>
      <c r="AQ218" s="181" t="inlineStr">
        <is>
          <t>+44 (0)20 3733 9327</t>
        </is>
      </c>
      <c r="AR218" s="182" t="inlineStr">
        <is>
          <t/>
        </is>
      </c>
      <c r="AS218" s="183" t="inlineStr">
        <is>
          <t>london@hostmaker.co</t>
        </is>
      </c>
      <c r="AT218" s="184" t="inlineStr">
        <is>
          <t>Europe</t>
        </is>
      </c>
      <c r="AU218" s="185" t="inlineStr">
        <is>
          <t>Western Europe</t>
        </is>
      </c>
      <c r="AV218" s="186" t="inlineStr">
        <is>
          <t>The company raised GBP 5 million of Series A venture funding in a deal co-led by Ventech and DN Capital on February 23, 2017. DSG Consumer Partners and GuanQun Investment also participated in the round. The funds will be invested in strengthening the company's presence in its existing markets as well as supporting expansion in 25 pipeline cities. Previously, the company raised $1.1 million of seed funding in a deal led by Initial Capital on September 20, 2016.</t>
        </is>
      </c>
      <c r="AW218" s="187" t="inlineStr">
        <is>
          <t>Anantharaman Pattabiraman, Avala Capital, Balwant Sharma, Bret Halford, Bright Park, Darryl Isip, David Schlegel, DN Capital, DSG Consumer Partners, Evan Jaysane-Darr, GuanQun Investment, Initial Capital, Isabel Pereira, Jason Goldlist, Karan Girotra, Leo Moon, Marcos Guerrero, Mark Ewing, Mohit Srivastava, Nikita Fahrenholz, Peter Ombres, Philip Vecht, Phillip Schlegel, Prashant Gupta, Russel Sutton, Steven Song, Swastik Nigam, Ventech</t>
        </is>
      </c>
      <c r="AX218" s="188" t="n">
        <v>28.0</v>
      </c>
      <c r="AY218" s="189" t="inlineStr">
        <is>
          <t/>
        </is>
      </c>
      <c r="AZ218" s="190" t="inlineStr">
        <is>
          <t/>
        </is>
      </c>
      <c r="BA218" s="191" t="inlineStr">
        <is>
          <t/>
        </is>
      </c>
      <c r="BB218" s="192" t="inlineStr">
        <is>
          <t>Avala Capital (www.avalacapital.com), DN Capital (www.dncapital.com), DSG Consumer Partners (www.dsgcp.com), GuanQun Investment (www.gqfunding.com), Initial Capital (www.initialcapital.com), Ventech (www.ventechvc.com)</t>
        </is>
      </c>
      <c r="BC218" s="193" t="inlineStr">
        <is>
          <t/>
        </is>
      </c>
      <c r="BD218" s="194" t="inlineStr">
        <is>
          <t/>
        </is>
      </c>
      <c r="BE218" s="195" t="inlineStr">
        <is>
          <t>Olswang (Legal Advisor)</t>
        </is>
      </c>
      <c r="BF218" s="196" t="inlineStr">
        <is>
          <t>Olswang (Legal Advisor)</t>
        </is>
      </c>
      <c r="BG218" s="197" t="n">
        <v>41974.0</v>
      </c>
      <c r="BH218" s="198" t="n">
        <v>0.32</v>
      </c>
      <c r="BI218" s="199" t="inlineStr">
        <is>
          <t>Actual</t>
        </is>
      </c>
      <c r="BJ218" s="200" t="n">
        <v>1.9</v>
      </c>
      <c r="BK218" s="201" t="inlineStr">
        <is>
          <t>Actual</t>
        </is>
      </c>
      <c r="BL218" s="202" t="inlineStr">
        <is>
          <t>Angel (individual)</t>
        </is>
      </c>
      <c r="BM218" s="203" t="inlineStr">
        <is>
          <t>Angel</t>
        </is>
      </c>
      <c r="BN218" s="204" t="inlineStr">
        <is>
          <t/>
        </is>
      </c>
      <c r="BO218" s="205" t="inlineStr">
        <is>
          <t>Individual</t>
        </is>
      </c>
      <c r="BP218" s="206" t="inlineStr">
        <is>
          <t/>
        </is>
      </c>
      <c r="BQ218" s="207" t="inlineStr">
        <is>
          <t/>
        </is>
      </c>
      <c r="BR218" s="208" t="inlineStr">
        <is>
          <t/>
        </is>
      </c>
      <c r="BS218" s="209" t="inlineStr">
        <is>
          <t>Completed</t>
        </is>
      </c>
      <c r="BT218" s="210" t="n">
        <v>42789.0</v>
      </c>
      <c r="BU218" s="211" t="n">
        <v>5.86</v>
      </c>
      <c r="BV218" s="212" t="inlineStr">
        <is>
          <t>Actual</t>
        </is>
      </c>
      <c r="BW218" s="213" t="inlineStr">
        <is>
          <t/>
        </is>
      </c>
      <c r="BX218" s="214" t="inlineStr">
        <is>
          <t/>
        </is>
      </c>
      <c r="BY218" s="215" t="inlineStr">
        <is>
          <t>Early Stage VC</t>
        </is>
      </c>
      <c r="BZ218" s="216" t="inlineStr">
        <is>
          <t>Series A</t>
        </is>
      </c>
      <c r="CA218" s="217" t="inlineStr">
        <is>
          <t/>
        </is>
      </c>
      <c r="CB218" s="218" t="inlineStr">
        <is>
          <t>Venture Capital</t>
        </is>
      </c>
      <c r="CC218" s="219" t="inlineStr">
        <is>
          <t>Convertible Debt</t>
        </is>
      </c>
      <c r="CD218" s="220" t="inlineStr">
        <is>
          <t/>
        </is>
      </c>
      <c r="CE218" s="221" t="inlineStr">
        <is>
          <t/>
        </is>
      </c>
      <c r="CF218" s="222" t="inlineStr">
        <is>
          <t>Completed</t>
        </is>
      </c>
      <c r="CG218" s="223" t="inlineStr">
        <is>
          <t>-1,18%</t>
        </is>
      </c>
      <c r="CH218" s="224" t="inlineStr">
        <is>
          <t>5</t>
        </is>
      </c>
      <c r="CI218" s="225" t="inlineStr">
        <is>
          <t>0,01%</t>
        </is>
      </c>
      <c r="CJ218" s="226" t="inlineStr">
        <is>
          <t>0,56%</t>
        </is>
      </c>
      <c r="CK218" s="227" t="inlineStr">
        <is>
          <t>-2,80%</t>
        </is>
      </c>
      <c r="CL218" s="228" t="inlineStr">
        <is>
          <t>3</t>
        </is>
      </c>
      <c r="CM218" s="229" t="inlineStr">
        <is>
          <t>0,45%</t>
        </is>
      </c>
      <c r="CN218" s="230" t="inlineStr">
        <is>
          <t>88</t>
        </is>
      </c>
      <c r="CO218" s="231" t="inlineStr">
        <is>
          <t>-5,61%</t>
        </is>
      </c>
      <c r="CP218" s="232" t="inlineStr">
        <is>
          <t>6</t>
        </is>
      </c>
      <c r="CQ218" s="233" t="inlineStr">
        <is>
          <t>0,00%</t>
        </is>
      </c>
      <c r="CR218" s="234" t="inlineStr">
        <is>
          <t>13</t>
        </is>
      </c>
      <c r="CS218" s="235" t="inlineStr">
        <is>
          <t>0,31%</t>
        </is>
      </c>
      <c r="CT218" s="236" t="inlineStr">
        <is>
          <t>79</t>
        </is>
      </c>
      <c r="CU218" s="237" t="inlineStr">
        <is>
          <t>0,60%</t>
        </is>
      </c>
      <c r="CV218" s="238" t="inlineStr">
        <is>
          <t>94</t>
        </is>
      </c>
      <c r="CW218" s="239" t="inlineStr">
        <is>
          <t>4,84x</t>
        </is>
      </c>
      <c r="CX218" s="240" t="inlineStr">
        <is>
          <t>78</t>
        </is>
      </c>
      <c r="CY218" s="241" t="inlineStr">
        <is>
          <t>0,07x</t>
        </is>
      </c>
      <c r="CZ218" s="242" t="inlineStr">
        <is>
          <t>1,45%</t>
        </is>
      </c>
      <c r="DA218" s="243" t="inlineStr">
        <is>
          <t>4,42x</t>
        </is>
      </c>
      <c r="DB218" s="244" t="inlineStr">
        <is>
          <t>78</t>
        </is>
      </c>
      <c r="DC218" s="245" t="inlineStr">
        <is>
          <t>5,26x</t>
        </is>
      </c>
      <c r="DD218" s="246" t="inlineStr">
        <is>
          <t>77</t>
        </is>
      </c>
      <c r="DE218" s="247" t="inlineStr">
        <is>
          <t>8,11x</t>
        </is>
      </c>
      <c r="DF218" s="248" t="inlineStr">
        <is>
          <t>81</t>
        </is>
      </c>
      <c r="DG218" s="249" t="inlineStr">
        <is>
          <t>0,72x</t>
        </is>
      </c>
      <c r="DH218" s="250" t="inlineStr">
        <is>
          <t>43</t>
        </is>
      </c>
      <c r="DI218" s="251" t="inlineStr">
        <is>
          <t>8,03x</t>
        </is>
      </c>
      <c r="DJ218" s="252" t="inlineStr">
        <is>
          <t>80</t>
        </is>
      </c>
      <c r="DK218" s="253" t="inlineStr">
        <is>
          <t>2,50x</t>
        </is>
      </c>
      <c r="DL218" s="254" t="inlineStr">
        <is>
          <t>67</t>
        </is>
      </c>
      <c r="DM218" s="255" t="inlineStr">
        <is>
          <t>5.255</t>
        </is>
      </c>
      <c r="DN218" s="256" t="inlineStr">
        <is>
          <t>-807</t>
        </is>
      </c>
      <c r="DO218" s="257" t="inlineStr">
        <is>
          <t>-13,31%</t>
        </is>
      </c>
      <c r="DP218" s="258" t="inlineStr">
        <is>
          <t>6.401</t>
        </is>
      </c>
      <c r="DQ218" s="259" t="inlineStr">
        <is>
          <t>28</t>
        </is>
      </c>
      <c r="DR218" s="260" t="inlineStr">
        <is>
          <t>0,44%</t>
        </is>
      </c>
      <c r="DS218" s="261" t="inlineStr">
        <is>
          <t>26</t>
        </is>
      </c>
      <c r="DT218" s="262" t="inlineStr">
        <is>
          <t>0</t>
        </is>
      </c>
      <c r="DU218" s="263" t="inlineStr">
        <is>
          <t>0,00%</t>
        </is>
      </c>
      <c r="DV218" s="264" t="inlineStr">
        <is>
          <t>857</t>
        </is>
      </c>
      <c r="DW218" s="265" t="inlineStr">
        <is>
          <t>4</t>
        </is>
      </c>
      <c r="DX218" s="266" t="inlineStr">
        <is>
          <t>0,47%</t>
        </is>
      </c>
      <c r="DY218" s="267" t="inlineStr">
        <is>
          <t>PitchBook Research</t>
        </is>
      </c>
      <c r="DZ218" s="786">
        <f>HYPERLINK("https://my.pitchbook.com?c=131242-42", "View company online")</f>
      </c>
    </row>
    <row r="219">
      <c r="A219" s="9" t="inlineStr">
        <is>
          <t>60680-62</t>
        </is>
      </c>
      <c r="B219" s="10" t="inlineStr">
        <is>
          <t>Hotelscan</t>
        </is>
      </c>
      <c r="C219" s="11" t="inlineStr">
        <is>
          <t/>
        </is>
      </c>
      <c r="D219" s="12" t="inlineStr">
        <is>
          <t/>
        </is>
      </c>
      <c r="E219" s="13" t="inlineStr">
        <is>
          <t>60680-62</t>
        </is>
      </c>
      <c r="F219" s="14" t="inlineStr">
        <is>
          <t>Provider of a meta-search engine designed to compare hotel deals. The company's hotel search application compares prices of hotels and other types of accommodations, enabling consumers to book the lowest priced hotel.</t>
        </is>
      </c>
      <c r="G219" s="15" t="inlineStr">
        <is>
          <t>Information Technology</t>
        </is>
      </c>
      <c r="H219" s="16" t="inlineStr">
        <is>
          <t>Software</t>
        </is>
      </c>
      <c r="I219" s="17" t="inlineStr">
        <is>
          <t>Social/Platform Software</t>
        </is>
      </c>
      <c r="J219" s="18" t="inlineStr">
        <is>
          <t>Social/Platform Software*; Information Services (B2C); Application Software</t>
        </is>
      </c>
      <c r="K219" s="19" t="inlineStr">
        <is>
          <t>Mobile</t>
        </is>
      </c>
      <c r="L219" s="20" t="inlineStr">
        <is>
          <t>Venture Capital-Backed</t>
        </is>
      </c>
      <c r="M219" s="21" t="n">
        <v>8.0</v>
      </c>
      <c r="N219" s="22" t="inlineStr">
        <is>
          <t>Startup</t>
        </is>
      </c>
      <c r="O219" s="23" t="inlineStr">
        <is>
          <t>Privately Held (backing)</t>
        </is>
      </c>
      <c r="P219" s="24" t="inlineStr">
        <is>
          <t>Venture Capital</t>
        </is>
      </c>
      <c r="Q219" s="25" t="inlineStr">
        <is>
          <t>www.hotelscan.com</t>
        </is>
      </c>
      <c r="R219" s="26" t="n">
        <v>31.0</v>
      </c>
      <c r="S219" s="27" t="inlineStr">
        <is>
          <t/>
        </is>
      </c>
      <c r="T219" s="28" t="inlineStr">
        <is>
          <t/>
        </is>
      </c>
      <c r="U219" s="29" t="n">
        <v>2012.0</v>
      </c>
      <c r="V219" s="30" t="inlineStr">
        <is>
          <t/>
        </is>
      </c>
      <c r="W219" s="31" t="inlineStr">
        <is>
          <t/>
        </is>
      </c>
      <c r="X219" s="32" t="inlineStr">
        <is>
          <t/>
        </is>
      </c>
      <c r="Y219" s="33" t="inlineStr">
        <is>
          <t/>
        </is>
      </c>
      <c r="Z219" s="34" t="inlineStr">
        <is>
          <t/>
        </is>
      </c>
      <c r="AA219" s="35" t="inlineStr">
        <is>
          <t/>
        </is>
      </c>
      <c r="AB219" s="36" t="inlineStr">
        <is>
          <t/>
        </is>
      </c>
      <c r="AC219" s="37" t="inlineStr">
        <is>
          <t/>
        </is>
      </c>
      <c r="AD219" s="38" t="inlineStr">
        <is>
          <t/>
        </is>
      </c>
      <c r="AE219" s="39" t="inlineStr">
        <is>
          <t>55720-99P</t>
        </is>
      </c>
      <c r="AF219" s="40" t="inlineStr">
        <is>
          <t>Teodoro D'Ambrosio</t>
        </is>
      </c>
      <c r="AG219" s="41" t="inlineStr">
        <is>
          <t>Co-Founder &amp; Director</t>
        </is>
      </c>
      <c r="AH219" s="42" t="inlineStr">
        <is>
          <t>teodoro@tripscan.com</t>
        </is>
      </c>
      <c r="AI219" s="43" t="inlineStr">
        <is>
          <t/>
        </is>
      </c>
      <c r="AJ219" s="44" t="inlineStr">
        <is>
          <t>Mendrisio, Switzerland</t>
        </is>
      </c>
      <c r="AK219" s="45" t="inlineStr">
        <is>
          <t>Corso San Gottardo 35</t>
        </is>
      </c>
      <c r="AL219" s="46" t="inlineStr">
        <is>
          <t>Chiasso</t>
        </is>
      </c>
      <c r="AM219" s="47" t="inlineStr">
        <is>
          <t>Mendrisio</t>
        </is>
      </c>
      <c r="AN219" s="48" t="inlineStr">
        <is>
          <t/>
        </is>
      </c>
      <c r="AO219" s="49" t="inlineStr">
        <is>
          <t>6830</t>
        </is>
      </c>
      <c r="AP219" s="50" t="inlineStr">
        <is>
          <t>Switzerland</t>
        </is>
      </c>
      <c r="AQ219" s="51" t="inlineStr">
        <is>
          <t>+41 (0)44 585 2565</t>
        </is>
      </c>
      <c r="AR219" s="52" t="inlineStr">
        <is>
          <t/>
        </is>
      </c>
      <c r="AS219" s="53" t="inlineStr">
        <is>
          <t>info@hotelscan.com</t>
        </is>
      </c>
      <c r="AT219" s="54" t="inlineStr">
        <is>
          <t>Europe</t>
        </is>
      </c>
      <c r="AU219" s="55" t="inlineStr">
        <is>
          <t>Western Europe</t>
        </is>
      </c>
      <c r="AV219" s="56" t="inlineStr">
        <is>
          <t>The company raised EUR 5 million of Series A venture funding from TA Ventures, Big Sur Ventures (Spain) and Holtzbrinck Ventures on January 1, 2015.</t>
        </is>
      </c>
      <c r="AW219" s="57" t="inlineStr">
        <is>
          <t>Big Sur Ventures (Spain), Fabrice Grinda, Holtzbrinck Ventures, Individual Investor, TA Ventures</t>
        </is>
      </c>
      <c r="AX219" s="58" t="n">
        <v>5.0</v>
      </c>
      <c r="AY219" s="59" t="inlineStr">
        <is>
          <t/>
        </is>
      </c>
      <c r="AZ219" s="60" t="inlineStr">
        <is>
          <t/>
        </is>
      </c>
      <c r="BA219" s="61" t="inlineStr">
        <is>
          <t/>
        </is>
      </c>
      <c r="BB219" s="62" t="inlineStr">
        <is>
          <t>Big Sur Ventures (Spain) (www.bigsurventures.es), Fabrice Grinda (www.fabricegrinda.com), Holtzbrinck Ventures (www.holtzbrinck-ventures.com), TA Ventures (www.taventures.vc)</t>
        </is>
      </c>
      <c r="BC219" s="63" t="inlineStr">
        <is>
          <t/>
        </is>
      </c>
      <c r="BD219" s="64" t="inlineStr">
        <is>
          <t/>
        </is>
      </c>
      <c r="BE219" s="65" t="inlineStr">
        <is>
          <t>U-Start (Advisor)</t>
        </is>
      </c>
      <c r="BF219" s="66" t="inlineStr">
        <is>
          <t/>
        </is>
      </c>
      <c r="BG219" s="67" t="n">
        <v>40909.0</v>
      </c>
      <c r="BH219" s="68" t="inlineStr">
        <is>
          <t/>
        </is>
      </c>
      <c r="BI219" s="69" t="inlineStr">
        <is>
          <t/>
        </is>
      </c>
      <c r="BJ219" s="70" t="inlineStr">
        <is>
          <t/>
        </is>
      </c>
      <c r="BK219" s="71" t="inlineStr">
        <is>
          <t/>
        </is>
      </c>
      <c r="BL219" s="72" t="inlineStr">
        <is>
          <t>Seed Round</t>
        </is>
      </c>
      <c r="BM219" s="73" t="inlineStr">
        <is>
          <t>Seed</t>
        </is>
      </c>
      <c r="BN219" s="74" t="inlineStr">
        <is>
          <t/>
        </is>
      </c>
      <c r="BO219" s="75" t="inlineStr">
        <is>
          <t>Venture Capital</t>
        </is>
      </c>
      <c r="BP219" s="76" t="inlineStr">
        <is>
          <t/>
        </is>
      </c>
      <c r="BQ219" s="77" t="inlineStr">
        <is>
          <t/>
        </is>
      </c>
      <c r="BR219" s="78" t="inlineStr">
        <is>
          <t/>
        </is>
      </c>
      <c r="BS219" s="79" t="inlineStr">
        <is>
          <t>Completed</t>
        </is>
      </c>
      <c r="BT219" s="80" t="n">
        <v>42005.0</v>
      </c>
      <c r="BU219" s="81" t="n">
        <v>5.0</v>
      </c>
      <c r="BV219" s="82" t="inlineStr">
        <is>
          <t>Actual</t>
        </is>
      </c>
      <c r="BW219" s="83" t="inlineStr">
        <is>
          <t/>
        </is>
      </c>
      <c r="BX219" s="84" t="inlineStr">
        <is>
          <t/>
        </is>
      </c>
      <c r="BY219" s="85" t="inlineStr">
        <is>
          <t>Early Stage VC</t>
        </is>
      </c>
      <c r="BZ219" s="86" t="inlineStr">
        <is>
          <t>Series A</t>
        </is>
      </c>
      <c r="CA219" s="87" t="inlineStr">
        <is>
          <t/>
        </is>
      </c>
      <c r="CB219" s="88" t="inlineStr">
        <is>
          <t>Venture Capital</t>
        </is>
      </c>
      <c r="CC219" s="89" t="inlineStr">
        <is>
          <t/>
        </is>
      </c>
      <c r="CD219" s="90" t="inlineStr">
        <is>
          <t/>
        </is>
      </c>
      <c r="CE219" s="91" t="inlineStr">
        <is>
          <t/>
        </is>
      </c>
      <c r="CF219" s="92" t="inlineStr">
        <is>
          <t>Completed</t>
        </is>
      </c>
      <c r="CG219" s="93" t="inlineStr">
        <is>
          <t>6,09%</t>
        </is>
      </c>
      <c r="CH219" s="94" t="inlineStr">
        <is>
          <t>99</t>
        </is>
      </c>
      <c r="CI219" s="95" t="inlineStr">
        <is>
          <t>0,00%</t>
        </is>
      </c>
      <c r="CJ219" s="96" t="inlineStr">
        <is>
          <t>-0,02%</t>
        </is>
      </c>
      <c r="CK219" s="97" t="inlineStr">
        <is>
          <t>12,21%</t>
        </is>
      </c>
      <c r="CL219" s="98" t="inlineStr">
        <is>
          <t>100</t>
        </is>
      </c>
      <c r="CM219" s="99" t="inlineStr">
        <is>
          <t>-0,03%</t>
        </is>
      </c>
      <c r="CN219" s="100" t="inlineStr">
        <is>
          <t>12</t>
        </is>
      </c>
      <c r="CO219" s="101" t="inlineStr">
        <is>
          <t>24,42%</t>
        </is>
      </c>
      <c r="CP219" s="102" t="inlineStr">
        <is>
          <t>100</t>
        </is>
      </c>
      <c r="CQ219" s="103" t="inlineStr">
        <is>
          <t>0,00%</t>
        </is>
      </c>
      <c r="CR219" s="104" t="inlineStr">
        <is>
          <t>13</t>
        </is>
      </c>
      <c r="CS219" s="105" t="inlineStr">
        <is>
          <t>-0,03%</t>
        </is>
      </c>
      <c r="CT219" s="106" t="inlineStr">
        <is>
          <t>10</t>
        </is>
      </c>
      <c r="CU219" s="107" t="inlineStr">
        <is>
          <t>-0,04%</t>
        </is>
      </c>
      <c r="CV219" s="108" t="inlineStr">
        <is>
          <t>14</t>
        </is>
      </c>
      <c r="CW219" s="109" t="inlineStr">
        <is>
          <t>460,59x</t>
        </is>
      </c>
      <c r="CX219" s="110" t="inlineStr">
        <is>
          <t>100</t>
        </is>
      </c>
      <c r="CY219" s="111" t="inlineStr">
        <is>
          <t>0,11x</t>
        </is>
      </c>
      <c r="CZ219" s="112" t="inlineStr">
        <is>
          <t>0,02%</t>
        </is>
      </c>
      <c r="DA219" s="113" t="inlineStr">
        <is>
          <t>912,49x</t>
        </is>
      </c>
      <c r="DB219" s="114" t="inlineStr">
        <is>
          <t>100</t>
        </is>
      </c>
      <c r="DC219" s="115" t="inlineStr">
        <is>
          <t>8,70x</t>
        </is>
      </c>
      <c r="DD219" s="116" t="inlineStr">
        <is>
          <t>83</t>
        </is>
      </c>
      <c r="DE219" s="117" t="inlineStr">
        <is>
          <t>1.822,34x</t>
        </is>
      </c>
      <c r="DF219" s="118" t="inlineStr">
        <is>
          <t>100</t>
        </is>
      </c>
      <c r="DG219" s="119" t="inlineStr">
        <is>
          <t>2,64x</t>
        </is>
      </c>
      <c r="DH219" s="120" t="inlineStr">
        <is>
          <t>69</t>
        </is>
      </c>
      <c r="DI219" s="121" t="inlineStr">
        <is>
          <t>16,57x</t>
        </is>
      </c>
      <c r="DJ219" s="122" t="inlineStr">
        <is>
          <t>86</t>
        </is>
      </c>
      <c r="DK219" s="123" t="inlineStr">
        <is>
          <t>0,82x</t>
        </is>
      </c>
      <c r="DL219" s="124" t="inlineStr">
        <is>
          <t>47</t>
        </is>
      </c>
      <c r="DM219" s="125" t="inlineStr">
        <is>
          <t>1.099.617</t>
        </is>
      </c>
      <c r="DN219" s="126" t="inlineStr">
        <is>
          <t>63.375</t>
        </is>
      </c>
      <c r="DO219" s="127" t="inlineStr">
        <is>
          <t>6,12%</t>
        </is>
      </c>
      <c r="DP219" s="128" t="inlineStr">
        <is>
          <t>13.242</t>
        </is>
      </c>
      <c r="DQ219" s="129" t="inlineStr">
        <is>
          <t>-3</t>
        </is>
      </c>
      <c r="DR219" s="130" t="inlineStr">
        <is>
          <t>-0,02%</t>
        </is>
      </c>
      <c r="DS219" s="131" t="inlineStr">
        <is>
          <t>95</t>
        </is>
      </c>
      <c r="DT219" s="132" t="inlineStr">
        <is>
          <t>0</t>
        </is>
      </c>
      <c r="DU219" s="133" t="inlineStr">
        <is>
          <t>0,00%</t>
        </is>
      </c>
      <c r="DV219" s="134" t="inlineStr">
        <is>
          <t>281</t>
        </is>
      </c>
      <c r="DW219" s="135" t="inlineStr">
        <is>
          <t>0</t>
        </is>
      </c>
      <c r="DX219" s="136" t="inlineStr">
        <is>
          <t>0,00%</t>
        </is>
      </c>
      <c r="DY219" s="137" t="inlineStr">
        <is>
          <t>PitchBook Research</t>
        </is>
      </c>
      <c r="DZ219" s="785">
        <f>HYPERLINK("https://my.pitchbook.com?c=60680-62", "View company online")</f>
      </c>
    </row>
    <row r="220">
      <c r="A220" s="139" t="inlineStr">
        <is>
          <t>119039-86</t>
        </is>
      </c>
      <c r="B220" s="140" t="inlineStr">
        <is>
          <t>Hundredrooms</t>
        </is>
      </c>
      <c r="C220" s="141" t="inlineStr">
        <is>
          <t/>
        </is>
      </c>
      <c r="D220" s="142" t="inlineStr">
        <is>
          <t/>
        </is>
      </c>
      <c r="E220" s="143" t="inlineStr">
        <is>
          <t>119039-86</t>
        </is>
      </c>
      <c r="F220" s="144" t="inlineStr">
        <is>
          <t>Operator of an online property rental marketplace designed for short-term holiday stays. The company's platform utilizes a unique search algorithm in the world that allows the user to compare prices for the same accommodation published in different webs of reservations in a single search, enabling users to save time and money when renting holiday accommodations.</t>
        </is>
      </c>
      <c r="G220" s="145" t="inlineStr">
        <is>
          <t>Information Technology</t>
        </is>
      </c>
      <c r="H220" s="146" t="inlineStr">
        <is>
          <t>Software</t>
        </is>
      </c>
      <c r="I220" s="147" t="inlineStr">
        <is>
          <t>Vertical Market Software</t>
        </is>
      </c>
      <c r="J220" s="148" t="inlineStr">
        <is>
          <t>Vertical Market Software*; Social/Platform Software</t>
        </is>
      </c>
      <c r="K220" s="149" t="inlineStr">
        <is>
          <t>Mobile</t>
        </is>
      </c>
      <c r="L220" s="150" t="inlineStr">
        <is>
          <t>Venture Capital-Backed</t>
        </is>
      </c>
      <c r="M220" s="151" t="n">
        <v>9.1</v>
      </c>
      <c r="N220" s="152" t="inlineStr">
        <is>
          <t>Startup</t>
        </is>
      </c>
      <c r="O220" s="153" t="inlineStr">
        <is>
          <t>Privately Held (backing)</t>
        </is>
      </c>
      <c r="P220" s="154" t="inlineStr">
        <is>
          <t>Venture Capital</t>
        </is>
      </c>
      <c r="Q220" s="155" t="inlineStr">
        <is>
          <t>www.hundredrooms.com</t>
        </is>
      </c>
      <c r="R220" s="156" t="n">
        <v>60.0</v>
      </c>
      <c r="S220" s="157" t="inlineStr">
        <is>
          <t/>
        </is>
      </c>
      <c r="T220" s="158" t="inlineStr">
        <is>
          <t/>
        </is>
      </c>
      <c r="U220" s="159" t="n">
        <v>2014.0</v>
      </c>
      <c r="V220" s="160" t="inlineStr">
        <is>
          <t/>
        </is>
      </c>
      <c r="W220" s="161" t="inlineStr">
        <is>
          <t/>
        </is>
      </c>
      <c r="X220" s="162" t="inlineStr">
        <is>
          <t/>
        </is>
      </c>
      <c r="Y220" s="163" t="inlineStr">
        <is>
          <t/>
        </is>
      </c>
      <c r="Z220" s="164" t="inlineStr">
        <is>
          <t/>
        </is>
      </c>
      <c r="AA220" s="165" t="inlineStr">
        <is>
          <t/>
        </is>
      </c>
      <c r="AB220" s="166" t="inlineStr">
        <is>
          <t/>
        </is>
      </c>
      <c r="AC220" s="167" t="inlineStr">
        <is>
          <t/>
        </is>
      </c>
      <c r="AD220" s="168" t="inlineStr">
        <is>
          <t/>
        </is>
      </c>
      <c r="AE220" s="169" t="inlineStr">
        <is>
          <t>104969-89P</t>
        </is>
      </c>
      <c r="AF220" s="170" t="inlineStr">
        <is>
          <t>Jose Rodriguez</t>
        </is>
      </c>
      <c r="AG220" s="171" t="inlineStr">
        <is>
          <t>Founder &amp; Chief Executive Officer</t>
        </is>
      </c>
      <c r="AH220" s="172" t="inlineStr">
        <is>
          <t>jose@hundredrooms.com</t>
        </is>
      </c>
      <c r="AI220" s="173" t="inlineStr">
        <is>
          <t/>
        </is>
      </c>
      <c r="AJ220" s="174" t="inlineStr">
        <is>
          <t>Palma de Mallorca, Spain</t>
        </is>
      </c>
      <c r="AK220" s="175" t="inlineStr">
        <is>
          <t>Carrer Sant Miquel 55, Estresuelo</t>
        </is>
      </c>
      <c r="AL220" s="176" t="inlineStr">
        <is>
          <t/>
        </is>
      </c>
      <c r="AM220" s="177" t="inlineStr">
        <is>
          <t>Palma de Mallorca</t>
        </is>
      </c>
      <c r="AN220" s="178" t="inlineStr">
        <is>
          <t/>
        </is>
      </c>
      <c r="AO220" s="179" t="inlineStr">
        <is>
          <t>07002</t>
        </is>
      </c>
      <c r="AP220" s="180" t="inlineStr">
        <is>
          <t>Spain</t>
        </is>
      </c>
      <c r="AQ220" s="181" t="inlineStr">
        <is>
          <t/>
        </is>
      </c>
      <c r="AR220" s="182" t="inlineStr">
        <is>
          <t/>
        </is>
      </c>
      <c r="AS220" s="183" t="inlineStr">
        <is>
          <t/>
        </is>
      </c>
      <c r="AT220" s="184" t="inlineStr">
        <is>
          <t>Europe</t>
        </is>
      </c>
      <c r="AU220" s="185" t="inlineStr">
        <is>
          <t>Southern Europe</t>
        </is>
      </c>
      <c r="AV220" s="186" t="inlineStr">
        <is>
          <t>The company raised EUR 4 million of venture funding in a deal led by Seaya Ventures on March 27, 2017. Ad4Ventures, Bankinter, Inveready, Atresmedia and Media Digital also participated in the round. The funds will be used to consolidate its international expansion in France, Italy, the United Kingdom and Germany, also to strengthen product development, launch new services and improve their mobile application.</t>
        </is>
      </c>
      <c r="AW220" s="187" t="inlineStr">
        <is>
          <t>Ad4Ventures, ATRESMEDIA, Bankinter, Inveready Technology Investment Group, Media Digital Ventures, Rafa Abitbol, Seaya Ventures</t>
        </is>
      </c>
      <c r="AX220" s="188" t="n">
        <v>7.0</v>
      </c>
      <c r="AY220" s="189" t="inlineStr">
        <is>
          <t/>
        </is>
      </c>
      <c r="AZ220" s="190" t="inlineStr">
        <is>
          <t/>
        </is>
      </c>
      <c r="BA220" s="191" t="inlineStr">
        <is>
          <t/>
        </is>
      </c>
      <c r="BB220" s="192" t="inlineStr">
        <is>
          <t>Ad4Ventures (www.ad4ventures.com), ATRESMEDIA (www.atresmediacorporacion.com), Bankinter (www.bankinter.com), Inveready Technology Investment Group (www.inveready.com), Media Digital Ventures (www.mediadigitalventures.com), Seaya Ventures (www.seayaventures.com)</t>
        </is>
      </c>
      <c r="BC220" s="193" t="inlineStr">
        <is>
          <t/>
        </is>
      </c>
      <c r="BD220" s="194" t="inlineStr">
        <is>
          <t/>
        </is>
      </c>
      <c r="BE220" s="195" t="inlineStr">
        <is>
          <t/>
        </is>
      </c>
      <c r="BF220" s="196" t="inlineStr">
        <is>
          <t/>
        </is>
      </c>
      <c r="BG220" s="197" t="n">
        <v>42185.0</v>
      </c>
      <c r="BH220" s="198" t="n">
        <v>1.0</v>
      </c>
      <c r="BI220" s="199" t="inlineStr">
        <is>
          <t>Actual</t>
        </is>
      </c>
      <c r="BJ220" s="200" t="inlineStr">
        <is>
          <t/>
        </is>
      </c>
      <c r="BK220" s="201" t="inlineStr">
        <is>
          <t/>
        </is>
      </c>
      <c r="BL220" s="202" t="inlineStr">
        <is>
          <t>Seed Round</t>
        </is>
      </c>
      <c r="BM220" s="203" t="inlineStr">
        <is>
          <t>Seed</t>
        </is>
      </c>
      <c r="BN220" s="204" t="inlineStr">
        <is>
          <t/>
        </is>
      </c>
      <c r="BO220" s="205" t="inlineStr">
        <is>
          <t>Venture Capital</t>
        </is>
      </c>
      <c r="BP220" s="206" t="inlineStr">
        <is>
          <t/>
        </is>
      </c>
      <c r="BQ220" s="207" t="inlineStr">
        <is>
          <t/>
        </is>
      </c>
      <c r="BR220" s="208" t="inlineStr">
        <is>
          <t/>
        </is>
      </c>
      <c r="BS220" s="209" t="inlineStr">
        <is>
          <t>Completed</t>
        </is>
      </c>
      <c r="BT220" s="210" t="n">
        <v>42821.0</v>
      </c>
      <c r="BU220" s="211" t="n">
        <v>4.0</v>
      </c>
      <c r="BV220" s="212" t="inlineStr">
        <is>
          <t>Actual</t>
        </is>
      </c>
      <c r="BW220" s="213" t="inlineStr">
        <is>
          <t/>
        </is>
      </c>
      <c r="BX220" s="214" t="inlineStr">
        <is>
          <t/>
        </is>
      </c>
      <c r="BY220" s="215" t="inlineStr">
        <is>
          <t>Early Stage VC</t>
        </is>
      </c>
      <c r="BZ220" s="216" t="inlineStr">
        <is>
          <t/>
        </is>
      </c>
      <c r="CA220" s="217" t="inlineStr">
        <is>
          <t/>
        </is>
      </c>
      <c r="CB220" s="218" t="inlineStr">
        <is>
          <t>Venture Capital</t>
        </is>
      </c>
      <c r="CC220" s="219" t="inlineStr">
        <is>
          <t/>
        </is>
      </c>
      <c r="CD220" s="220" t="inlineStr">
        <is>
          <t/>
        </is>
      </c>
      <c r="CE220" s="221" t="inlineStr">
        <is>
          <t/>
        </is>
      </c>
      <c r="CF220" s="222" t="inlineStr">
        <is>
          <t>Completed</t>
        </is>
      </c>
      <c r="CG220" s="223" t="inlineStr">
        <is>
          <t>-0,43%</t>
        </is>
      </c>
      <c r="CH220" s="224" t="inlineStr">
        <is>
          <t>9</t>
        </is>
      </c>
      <c r="CI220" s="225" t="inlineStr">
        <is>
          <t>0,03%</t>
        </is>
      </c>
      <c r="CJ220" s="226" t="inlineStr">
        <is>
          <t>6,35%</t>
        </is>
      </c>
      <c r="CK220" s="227" t="inlineStr">
        <is>
          <t>-1,04%</t>
        </is>
      </c>
      <c r="CL220" s="228" t="inlineStr">
        <is>
          <t>9</t>
        </is>
      </c>
      <c r="CM220" s="229" t="inlineStr">
        <is>
          <t>0,18%</t>
        </is>
      </c>
      <c r="CN220" s="230" t="inlineStr">
        <is>
          <t>71</t>
        </is>
      </c>
      <c r="CO220" s="231" t="inlineStr">
        <is>
          <t>-1,87%</t>
        </is>
      </c>
      <c r="CP220" s="232" t="inlineStr">
        <is>
          <t>16</t>
        </is>
      </c>
      <c r="CQ220" s="233" t="inlineStr">
        <is>
          <t>-0,22%</t>
        </is>
      </c>
      <c r="CR220" s="234" t="inlineStr">
        <is>
          <t>10</t>
        </is>
      </c>
      <c r="CS220" s="235" t="inlineStr">
        <is>
          <t/>
        </is>
      </c>
      <c r="CT220" s="236" t="inlineStr">
        <is>
          <t/>
        </is>
      </c>
      <c r="CU220" s="237" t="inlineStr">
        <is>
          <t>0,18%</t>
        </is>
      </c>
      <c r="CV220" s="238" t="inlineStr">
        <is>
          <t>76</t>
        </is>
      </c>
      <c r="CW220" s="239" t="inlineStr">
        <is>
          <t>70,32x</t>
        </is>
      </c>
      <c r="CX220" s="240" t="inlineStr">
        <is>
          <t>97</t>
        </is>
      </c>
      <c r="CY220" s="241" t="inlineStr">
        <is>
          <t>0,20x</t>
        </is>
      </c>
      <c r="CZ220" s="242" t="inlineStr">
        <is>
          <t>0,29%</t>
        </is>
      </c>
      <c r="DA220" s="243" t="inlineStr">
        <is>
          <t>134,58x</t>
        </is>
      </c>
      <c r="DB220" s="244" t="inlineStr">
        <is>
          <t>98</t>
        </is>
      </c>
      <c r="DC220" s="245" t="inlineStr">
        <is>
          <t>6,05x</t>
        </is>
      </c>
      <c r="DD220" s="246" t="inlineStr">
        <is>
          <t>78</t>
        </is>
      </c>
      <c r="DE220" s="247" t="inlineStr">
        <is>
          <t>245,67x</t>
        </is>
      </c>
      <c r="DF220" s="248" t="inlineStr">
        <is>
          <t>98</t>
        </is>
      </c>
      <c r="DG220" s="249" t="inlineStr">
        <is>
          <t>23,50x</t>
        </is>
      </c>
      <c r="DH220" s="250" t="inlineStr">
        <is>
          <t>94</t>
        </is>
      </c>
      <c r="DI220" s="251" t="inlineStr">
        <is>
          <t/>
        </is>
      </c>
      <c r="DJ220" s="252" t="inlineStr">
        <is>
          <t/>
        </is>
      </c>
      <c r="DK220" s="253" t="inlineStr">
        <is>
          <t>6,05x</t>
        </is>
      </c>
      <c r="DL220" s="254" t="inlineStr">
        <is>
          <t>81</t>
        </is>
      </c>
      <c r="DM220" s="255" t="inlineStr">
        <is>
          <t>151.673</t>
        </is>
      </c>
      <c r="DN220" s="256" t="inlineStr">
        <is>
          <t>-5.305</t>
        </is>
      </c>
      <c r="DO220" s="257" t="inlineStr">
        <is>
          <t>-3,38%</t>
        </is>
      </c>
      <c r="DP220" s="258" t="inlineStr">
        <is>
          <t>122.773</t>
        </is>
      </c>
      <c r="DQ220" s="259" t="inlineStr">
        <is>
          <t>2.840</t>
        </is>
      </c>
      <c r="DR220" s="260" t="inlineStr">
        <is>
          <t>2,37%</t>
        </is>
      </c>
      <c r="DS220" s="261" t="inlineStr">
        <is>
          <t>847</t>
        </is>
      </c>
      <c r="DT220" s="262" t="inlineStr">
        <is>
          <t>-3</t>
        </is>
      </c>
      <c r="DU220" s="263" t="inlineStr">
        <is>
          <t>-0,35%</t>
        </is>
      </c>
      <c r="DV220" s="264" t="inlineStr">
        <is>
          <t>2.076</t>
        </is>
      </c>
      <c r="DW220" s="265" t="inlineStr">
        <is>
          <t>6</t>
        </is>
      </c>
      <c r="DX220" s="266" t="inlineStr">
        <is>
          <t>0,29%</t>
        </is>
      </c>
      <c r="DY220" s="267" t="inlineStr">
        <is>
          <t>PitchBook Research</t>
        </is>
      </c>
      <c r="DZ220" s="786">
        <f>HYPERLINK("https://my.pitchbook.com?c=119039-86", "View company online")</f>
      </c>
    </row>
    <row r="221">
      <c r="A221" s="9" t="inlineStr">
        <is>
          <t>129020-68</t>
        </is>
      </c>
      <c r="B221" s="10" t="inlineStr">
        <is>
          <t>Iceye</t>
        </is>
      </c>
      <c r="C221" s="11" t="inlineStr">
        <is>
          <t/>
        </is>
      </c>
      <c r="D221" s="12" t="inlineStr">
        <is>
          <t/>
        </is>
      </c>
      <c r="E221" s="13" t="inlineStr">
        <is>
          <t>129020-68</t>
        </is>
      </c>
      <c r="F221" s="14" t="inlineStr">
        <is>
          <t>Developer of a constellation of radar micro-satellites designed to provide the world with access to near-real-time imagery from space. The company's commercial SAR (synthetic aperture radar) satellite constellation uses microwave radar technology to allow imaging in all conditions and sends its own energy so it can image independent of sunlight, enabling unprecedented access to SAR data, anywhere on the globe, at any time.</t>
        </is>
      </c>
      <c r="G221" s="15" t="inlineStr">
        <is>
          <t>Business Products and Services (B2B)</t>
        </is>
      </c>
      <c r="H221" s="16" t="inlineStr">
        <is>
          <t>Commercial Services</t>
        </is>
      </c>
      <c r="I221" s="17" t="inlineStr">
        <is>
          <t>Media and Information Services (B2B)</t>
        </is>
      </c>
      <c r="J221" s="18" t="inlineStr">
        <is>
          <t>Media and Information Services (B2B)*; Other Information Technology</t>
        </is>
      </c>
      <c r="K221" s="19" t="inlineStr">
        <is>
          <t/>
        </is>
      </c>
      <c r="L221" s="20" t="inlineStr">
        <is>
          <t>Venture Capital-Backed</t>
        </is>
      </c>
      <c r="M221" s="21" t="n">
        <v>15.29</v>
      </c>
      <c r="N221" s="22" t="inlineStr">
        <is>
          <t>Product Development</t>
        </is>
      </c>
      <c r="O221" s="23" t="inlineStr">
        <is>
          <t>Privately Held (backing)</t>
        </is>
      </c>
      <c r="P221" s="24" t="inlineStr">
        <is>
          <t>Venture Capital</t>
        </is>
      </c>
      <c r="Q221" s="25" t="inlineStr">
        <is>
          <t>www.iceye.fi</t>
        </is>
      </c>
      <c r="R221" s="26" t="n">
        <v>15.0</v>
      </c>
      <c r="S221" s="27" t="inlineStr">
        <is>
          <t/>
        </is>
      </c>
      <c r="T221" s="28" t="inlineStr">
        <is>
          <t/>
        </is>
      </c>
      <c r="U221" s="29" t="n">
        <v>2012.0</v>
      </c>
      <c r="V221" s="30" t="inlineStr">
        <is>
          <t/>
        </is>
      </c>
      <c r="W221" s="31" t="inlineStr">
        <is>
          <t/>
        </is>
      </c>
      <c r="X221" s="32" t="inlineStr">
        <is>
          <t/>
        </is>
      </c>
      <c r="Y221" s="33" t="n">
        <v>0.78092</v>
      </c>
      <c r="Z221" s="34" t="inlineStr">
        <is>
          <t/>
        </is>
      </c>
      <c r="AA221" s="35" t="n">
        <v>-0.01837</v>
      </c>
      <c r="AB221" s="36" t="inlineStr">
        <is>
          <t/>
        </is>
      </c>
      <c r="AC221" s="37" t="n">
        <v>-0.05512</v>
      </c>
      <c r="AD221" s="38" t="inlineStr">
        <is>
          <t>FY 2015</t>
        </is>
      </c>
      <c r="AE221" s="39" t="inlineStr">
        <is>
          <t>119610-46P</t>
        </is>
      </c>
      <c r="AF221" s="40" t="inlineStr">
        <is>
          <t>Rafal Modrzewski</t>
        </is>
      </c>
      <c r="AG221" s="41" t="inlineStr">
        <is>
          <t>Co-Founder &amp; Chief Executive Officer</t>
        </is>
      </c>
      <c r="AH221" s="42" t="inlineStr">
        <is>
          <t>rafal.modrzewski@iceye.fi</t>
        </is>
      </c>
      <c r="AI221" s="43" t="inlineStr">
        <is>
          <t/>
        </is>
      </c>
      <c r="AJ221" s="44" t="inlineStr">
        <is>
          <t>Espoo, Finland</t>
        </is>
      </c>
      <c r="AK221" s="45" t="inlineStr">
        <is>
          <t>Metallimiehenkuja 8-10</t>
        </is>
      </c>
      <c r="AL221" s="46" t="inlineStr">
        <is>
          <t/>
        </is>
      </c>
      <c r="AM221" s="47" t="inlineStr">
        <is>
          <t>Espoo</t>
        </is>
      </c>
      <c r="AN221" s="48" t="inlineStr">
        <is>
          <t/>
        </is>
      </c>
      <c r="AO221" s="49" t="inlineStr">
        <is>
          <t>02150</t>
        </is>
      </c>
      <c r="AP221" s="50" t="inlineStr">
        <is>
          <t>Finland</t>
        </is>
      </c>
      <c r="AQ221" s="51" t="inlineStr">
        <is>
          <t/>
        </is>
      </c>
      <c r="AR221" s="52" t="inlineStr">
        <is>
          <t/>
        </is>
      </c>
      <c r="AS221" s="53" t="inlineStr">
        <is>
          <t>info@iceye.fi</t>
        </is>
      </c>
      <c r="AT221" s="54" t="inlineStr">
        <is>
          <t>Europe</t>
        </is>
      </c>
      <c r="AU221" s="55" t="inlineStr">
        <is>
          <t>Northern Europe</t>
        </is>
      </c>
      <c r="AV221" s="56" t="inlineStr">
        <is>
          <t>The company raised $13 million of Series A1 venture funding led by Draper Nexus on August 23, 2017. The funding also includes an $8.84 million financing round led by Draper Nexus, with participation from True Ventures, Lifeline Ventures, Space Angels and Draper Associates, while the additional funding was received from Tekes. With the round, the company has now raised a total of $18.7 million in funding to date. The company will use this capital infusion to continue growing operations, readying our technology for the next generation of SAR micro-satellite constellations.</t>
        </is>
      </c>
      <c r="AW221" s="57" t="inlineStr">
        <is>
          <t>Aalto Center for Entrepreneurship, Draper Associates, Draper Nexus, Founder.org, Horizon 2020, Lifeline Ventures, Space Angels Network, Tekes, True Ventures</t>
        </is>
      </c>
      <c r="AX221" s="58" t="n">
        <v>9.0</v>
      </c>
      <c r="AY221" s="59" t="inlineStr">
        <is>
          <t/>
        </is>
      </c>
      <c r="AZ221" s="60" t="inlineStr">
        <is>
          <t/>
        </is>
      </c>
      <c r="BA221" s="61" t="inlineStr">
        <is>
          <t/>
        </is>
      </c>
      <c r="BB221" s="62" t="inlineStr">
        <is>
          <t>Aalto Center for Entrepreneurship (www.ace.aalto.fi), Draper Associates (www.draper.vc), Draper Nexus (www.drapernexus.com), Founder.org (www.founder.org), Lifeline Ventures (www.lifelineventures.com), Space Angels Network (www.spaceangels.com), Tekes (www.tekes.fi), True Ventures (www.trueventures.com)</t>
        </is>
      </c>
      <c r="BC221" s="63" t="inlineStr">
        <is>
          <t/>
        </is>
      </c>
      <c r="BD221" s="64" t="inlineStr">
        <is>
          <t/>
        </is>
      </c>
      <c r="BE221" s="65" t="inlineStr">
        <is>
          <t/>
        </is>
      </c>
      <c r="BF221" s="66" t="inlineStr">
        <is>
          <t>Tekes</t>
        </is>
      </c>
      <c r="BG221" s="67" t="n">
        <v>40909.0</v>
      </c>
      <c r="BH221" s="68" t="inlineStr">
        <is>
          <t/>
        </is>
      </c>
      <c r="BI221" s="69" t="inlineStr">
        <is>
          <t/>
        </is>
      </c>
      <c r="BJ221" s="70" t="inlineStr">
        <is>
          <t/>
        </is>
      </c>
      <c r="BK221" s="71" t="inlineStr">
        <is>
          <t/>
        </is>
      </c>
      <c r="BL221" s="72" t="inlineStr">
        <is>
          <t>Grant</t>
        </is>
      </c>
      <c r="BM221" s="73" t="inlineStr">
        <is>
          <t/>
        </is>
      </c>
      <c r="BN221" s="74" t="inlineStr">
        <is>
          <t/>
        </is>
      </c>
      <c r="BO221" s="75" t="inlineStr">
        <is>
          <t>Other</t>
        </is>
      </c>
      <c r="BP221" s="76" t="inlineStr">
        <is>
          <t/>
        </is>
      </c>
      <c r="BQ221" s="77" t="inlineStr">
        <is>
          <t/>
        </is>
      </c>
      <c r="BR221" s="78" t="inlineStr">
        <is>
          <t/>
        </is>
      </c>
      <c r="BS221" s="79" t="inlineStr">
        <is>
          <t>Completed</t>
        </is>
      </c>
      <c r="BT221" s="80" t="n">
        <v>42970.0</v>
      </c>
      <c r="BU221" s="81" t="n">
        <v>11.01</v>
      </c>
      <c r="BV221" s="82" t="inlineStr">
        <is>
          <t>Actual</t>
        </is>
      </c>
      <c r="BW221" s="83" t="inlineStr">
        <is>
          <t/>
        </is>
      </c>
      <c r="BX221" s="84" t="inlineStr">
        <is>
          <t/>
        </is>
      </c>
      <c r="BY221" s="85" t="inlineStr">
        <is>
          <t>Early Stage VC</t>
        </is>
      </c>
      <c r="BZ221" s="86" t="inlineStr">
        <is>
          <t>Series A1</t>
        </is>
      </c>
      <c r="CA221" s="87" t="inlineStr">
        <is>
          <t/>
        </is>
      </c>
      <c r="CB221" s="88" t="inlineStr">
        <is>
          <t>Venture Capital</t>
        </is>
      </c>
      <c r="CC221" s="89" t="inlineStr">
        <is>
          <t/>
        </is>
      </c>
      <c r="CD221" s="90" t="inlineStr">
        <is>
          <t/>
        </is>
      </c>
      <c r="CE221" s="91" t="inlineStr">
        <is>
          <t/>
        </is>
      </c>
      <c r="CF221" s="92" t="inlineStr">
        <is>
          <t>Completed</t>
        </is>
      </c>
      <c r="CG221" s="93" t="inlineStr">
        <is>
          <t>4,74%</t>
        </is>
      </c>
      <c r="CH221" s="94" t="inlineStr">
        <is>
          <t>98</t>
        </is>
      </c>
      <c r="CI221" s="95" t="inlineStr">
        <is>
          <t>0,71%</t>
        </is>
      </c>
      <c r="CJ221" s="96" t="inlineStr">
        <is>
          <t>17,62%</t>
        </is>
      </c>
      <c r="CK221" s="97" t="inlineStr">
        <is>
          <t>4,95%</t>
        </is>
      </c>
      <c r="CL221" s="98" t="inlineStr">
        <is>
          <t>96</t>
        </is>
      </c>
      <c r="CM221" s="99" t="inlineStr">
        <is>
          <t>4,53%</t>
        </is>
      </c>
      <c r="CN221" s="100" t="inlineStr">
        <is>
          <t>100</t>
        </is>
      </c>
      <c r="CO221" s="101" t="inlineStr">
        <is>
          <t>7,93%</t>
        </is>
      </c>
      <c r="CP221" s="102" t="inlineStr">
        <is>
          <t>99</t>
        </is>
      </c>
      <c r="CQ221" s="103" t="inlineStr">
        <is>
          <t>1,96%</t>
        </is>
      </c>
      <c r="CR221" s="104" t="inlineStr">
        <is>
          <t>91</t>
        </is>
      </c>
      <c r="CS221" s="105" t="inlineStr">
        <is>
          <t/>
        </is>
      </c>
      <c r="CT221" s="106" t="inlineStr">
        <is>
          <t/>
        </is>
      </c>
      <c r="CU221" s="107" t="inlineStr">
        <is>
          <t>4,53%</t>
        </is>
      </c>
      <c r="CV221" s="108" t="inlineStr">
        <is>
          <t>100</t>
        </is>
      </c>
      <c r="CW221" s="109" t="inlineStr">
        <is>
          <t>2,22x</t>
        </is>
      </c>
      <c r="CX221" s="110" t="inlineStr">
        <is>
          <t>66</t>
        </is>
      </c>
      <c r="CY221" s="111" t="inlineStr">
        <is>
          <t>0,15x</t>
        </is>
      </c>
      <c r="CZ221" s="112" t="inlineStr">
        <is>
          <t>7,32%</t>
        </is>
      </c>
      <c r="DA221" s="113" t="inlineStr">
        <is>
          <t>3,21x</t>
        </is>
      </c>
      <c r="DB221" s="114" t="inlineStr">
        <is>
          <t>74</t>
        </is>
      </c>
      <c r="DC221" s="115" t="inlineStr">
        <is>
          <t>1,22x</t>
        </is>
      </c>
      <c r="DD221" s="116" t="inlineStr">
        <is>
          <t>52</t>
        </is>
      </c>
      <c r="DE221" s="117" t="inlineStr">
        <is>
          <t>3,04x</t>
        </is>
      </c>
      <c r="DF221" s="118" t="inlineStr">
        <is>
          <t>70</t>
        </is>
      </c>
      <c r="DG221" s="119" t="inlineStr">
        <is>
          <t>3,39x</t>
        </is>
      </c>
      <c r="DH221" s="120" t="inlineStr">
        <is>
          <t>73</t>
        </is>
      </c>
      <c r="DI221" s="121" t="inlineStr">
        <is>
          <t/>
        </is>
      </c>
      <c r="DJ221" s="122" t="inlineStr">
        <is>
          <t/>
        </is>
      </c>
      <c r="DK221" s="123" t="inlineStr">
        <is>
          <t>1,22x</t>
        </is>
      </c>
      <c r="DL221" s="124" t="inlineStr">
        <is>
          <t>54</t>
        </is>
      </c>
      <c r="DM221" s="125" t="inlineStr">
        <is>
          <t>1.817</t>
        </is>
      </c>
      <c r="DN221" s="126" t="inlineStr">
        <is>
          <t>159</t>
        </is>
      </c>
      <c r="DO221" s="127" t="inlineStr">
        <is>
          <t>9,59%</t>
        </is>
      </c>
      <c r="DP221" s="128" t="inlineStr">
        <is>
          <t/>
        </is>
      </c>
      <c r="DQ221" s="129" t="inlineStr">
        <is>
          <t/>
        </is>
      </c>
      <c r="DR221" s="130" t="inlineStr">
        <is>
          <t/>
        </is>
      </c>
      <c r="DS221" s="131" t="inlineStr">
        <is>
          <t>116</t>
        </is>
      </c>
      <c r="DT221" s="132" t="inlineStr">
        <is>
          <t>18</t>
        </is>
      </c>
      <c r="DU221" s="133" t="inlineStr">
        <is>
          <t>18,37%</t>
        </is>
      </c>
      <c r="DV221" s="134" t="inlineStr">
        <is>
          <t>411</t>
        </is>
      </c>
      <c r="DW221" s="135" t="inlineStr">
        <is>
          <t>17</t>
        </is>
      </c>
      <c r="DX221" s="136" t="inlineStr">
        <is>
          <t>4,31%</t>
        </is>
      </c>
      <c r="DY221" s="137" t="inlineStr">
        <is>
          <t>PitchBook Research</t>
        </is>
      </c>
      <c r="DZ221" s="785">
        <f>HYPERLINK("https://my.pitchbook.com?c=129020-68", "View company online")</f>
      </c>
    </row>
    <row r="222">
      <c r="A222" s="139" t="inlineStr">
        <is>
          <t>168351-49</t>
        </is>
      </c>
      <c r="B222" s="140" t="inlineStr">
        <is>
          <t>ImCheck Therapeutics</t>
        </is>
      </c>
      <c r="C222" s="141" t="inlineStr">
        <is>
          <t/>
        </is>
      </c>
      <c r="D222" s="142" t="inlineStr">
        <is>
          <t/>
        </is>
      </c>
      <c r="E222" s="143" t="inlineStr">
        <is>
          <t>168351-49</t>
        </is>
      </c>
      <c r="F222" s="144" t="inlineStr">
        <is>
          <t>Developer of immuno-modulatory antibodies designed for the treatment of cancer and other immune related diseases. The company is developing immunotherapy for cancers and autoimmune diseases focuses on the development of new antibodies to activate the immune system to fight different types of cancer.</t>
        </is>
      </c>
      <c r="G222" s="145" t="inlineStr">
        <is>
          <t>Healthcare</t>
        </is>
      </c>
      <c r="H222" s="146" t="inlineStr">
        <is>
          <t>Pharmaceuticals and Biotechnology</t>
        </is>
      </c>
      <c r="I222" s="147" t="inlineStr">
        <is>
          <t>Biotechnology</t>
        </is>
      </c>
      <c r="J222" s="148" t="inlineStr">
        <is>
          <t>Biotechnology*</t>
        </is>
      </c>
      <c r="K222" s="149" t="inlineStr">
        <is>
          <t>Life Sciences, Oncology</t>
        </is>
      </c>
      <c r="L222" s="150" t="inlineStr">
        <is>
          <t>Venture Capital-Backed</t>
        </is>
      </c>
      <c r="M222" s="151" t="n">
        <v>20.0</v>
      </c>
      <c r="N222" s="152" t="inlineStr">
        <is>
          <t>Product Development</t>
        </is>
      </c>
      <c r="O222" s="153" t="inlineStr">
        <is>
          <t>Privately Held (backing)</t>
        </is>
      </c>
      <c r="P222" s="154" t="inlineStr">
        <is>
          <t>Venture Capital</t>
        </is>
      </c>
      <c r="Q222" s="155" t="inlineStr">
        <is>
          <t>www.imchecktherapeutics.com</t>
        </is>
      </c>
      <c r="R222" s="156" t="n">
        <v>11.0</v>
      </c>
      <c r="S222" s="157" t="inlineStr">
        <is>
          <t/>
        </is>
      </c>
      <c r="T222" s="158" t="inlineStr">
        <is>
          <t/>
        </is>
      </c>
      <c r="U222" s="159" t="n">
        <v>2015.0</v>
      </c>
      <c r="V222" s="160" t="inlineStr">
        <is>
          <t/>
        </is>
      </c>
      <c r="W222" s="161" t="inlineStr">
        <is>
          <t/>
        </is>
      </c>
      <c r="X222" s="162" t="inlineStr">
        <is>
          <t/>
        </is>
      </c>
      <c r="Y222" s="163" t="inlineStr">
        <is>
          <t/>
        </is>
      </c>
      <c r="Z222" s="164" t="inlineStr">
        <is>
          <t/>
        </is>
      </c>
      <c r="AA222" s="165" t="inlineStr">
        <is>
          <t/>
        </is>
      </c>
      <c r="AB222" s="166" t="inlineStr">
        <is>
          <t/>
        </is>
      </c>
      <c r="AC222" s="167" t="inlineStr">
        <is>
          <t/>
        </is>
      </c>
      <c r="AD222" s="168" t="inlineStr">
        <is>
          <t/>
        </is>
      </c>
      <c r="AE222" s="169" t="inlineStr">
        <is>
          <t>36029-08P</t>
        </is>
      </c>
      <c r="AF222" s="170" t="inlineStr">
        <is>
          <t>Alem Truneh</t>
        </is>
      </c>
      <c r="AG222" s="171" t="inlineStr">
        <is>
          <t>Co-Founder &amp; Chief Technology Officer</t>
        </is>
      </c>
      <c r="AH222" s="172" t="inlineStr">
        <is>
          <t>atruneh@imchecktherapeutics.com</t>
        </is>
      </c>
      <c r="AI222" s="173" t="inlineStr">
        <is>
          <t/>
        </is>
      </c>
      <c r="AJ222" s="174" t="inlineStr">
        <is>
          <t>Marseille, France</t>
        </is>
      </c>
      <c r="AK222" s="175" t="inlineStr">
        <is>
          <t>249 Bd De Sainte-Marguerite</t>
        </is>
      </c>
      <c r="AL222" s="176" t="inlineStr">
        <is>
          <t/>
        </is>
      </c>
      <c r="AM222" s="177" t="inlineStr">
        <is>
          <t>Marseille</t>
        </is>
      </c>
      <c r="AN222" s="178" t="inlineStr">
        <is>
          <t/>
        </is>
      </c>
      <c r="AO222" s="179" t="inlineStr">
        <is>
          <t>13009</t>
        </is>
      </c>
      <c r="AP222" s="180" t="inlineStr">
        <is>
          <t>France</t>
        </is>
      </c>
      <c r="AQ222" s="181" t="inlineStr">
        <is>
          <t/>
        </is>
      </c>
      <c r="AR222" s="182" t="inlineStr">
        <is>
          <t/>
        </is>
      </c>
      <c r="AS222" s="183" t="inlineStr">
        <is>
          <t/>
        </is>
      </c>
      <c r="AT222" s="184" t="inlineStr">
        <is>
          <t>Europe</t>
        </is>
      </c>
      <c r="AU222" s="185" t="inlineStr">
        <is>
          <t>Western Europe</t>
        </is>
      </c>
      <c r="AV222" s="186" t="inlineStr">
        <is>
          <t>The company raised EUR 20 million of Series A venture funding led by Boehringer Ingelheim Venture Fund (BIVF), Kurma Partners and Idinvest on May 2, 2017. Gimv and Life Sciences Partners also participated. The company will use the funding to further develop its drug candidates and to enter into the clinic trials. Previously, the company raised an undisclosed amount of venture funding from Boehringer Ingelheim Venture Fund, Kurma Partners and IDInvest Partners on October 24, 2016.</t>
        </is>
      </c>
      <c r="AW222" s="187" t="inlineStr">
        <is>
          <t>Boehringer Ingelheim Venture Fund, Gimv, IdInvest Partners, Kurma Partners, Life Sciences Partners</t>
        </is>
      </c>
      <c r="AX222" s="188" t="n">
        <v>5.0</v>
      </c>
      <c r="AY222" s="189" t="inlineStr">
        <is>
          <t/>
        </is>
      </c>
      <c r="AZ222" s="190" t="inlineStr">
        <is>
          <t/>
        </is>
      </c>
      <c r="BA222" s="191" t="inlineStr">
        <is>
          <t/>
        </is>
      </c>
      <c r="BB222" s="192" t="inlineStr">
        <is>
          <t>Boehringer Ingelheim Venture Fund (www.boehringer-ingelheim-venture.com), Gimv (www.gimv.com), IdInvest Partners (www.idinvest.com), Kurma Partners (www.kurmapartners.com), Life Sciences Partners (www.lspvc.com)</t>
        </is>
      </c>
      <c r="BC222" s="193" t="inlineStr">
        <is>
          <t/>
        </is>
      </c>
      <c r="BD222" s="194" t="inlineStr">
        <is>
          <t/>
        </is>
      </c>
      <c r="BE222" s="195" t="inlineStr">
        <is>
          <t/>
        </is>
      </c>
      <c r="BF222" s="196" t="inlineStr">
        <is>
          <t/>
        </is>
      </c>
      <c r="BG222" s="197" t="n">
        <v>42667.0</v>
      </c>
      <c r="BH222" s="198" t="inlineStr">
        <is>
          <t/>
        </is>
      </c>
      <c r="BI222" s="199" t="inlineStr">
        <is>
          <t/>
        </is>
      </c>
      <c r="BJ222" s="200" t="inlineStr">
        <is>
          <t/>
        </is>
      </c>
      <c r="BK222" s="201" t="inlineStr">
        <is>
          <t/>
        </is>
      </c>
      <c r="BL222" s="202" t="inlineStr">
        <is>
          <t>Early Stage VC</t>
        </is>
      </c>
      <c r="BM222" s="203" t="inlineStr">
        <is>
          <t/>
        </is>
      </c>
      <c r="BN222" s="204" t="inlineStr">
        <is>
          <t/>
        </is>
      </c>
      <c r="BO222" s="205" t="inlineStr">
        <is>
          <t>Venture Capital</t>
        </is>
      </c>
      <c r="BP222" s="206" t="inlineStr">
        <is>
          <t/>
        </is>
      </c>
      <c r="BQ222" s="207" t="inlineStr">
        <is>
          <t/>
        </is>
      </c>
      <c r="BR222" s="208" t="inlineStr">
        <is>
          <t/>
        </is>
      </c>
      <c r="BS222" s="209" t="inlineStr">
        <is>
          <t>Completed</t>
        </is>
      </c>
      <c r="BT222" s="210" t="n">
        <v>42857.0</v>
      </c>
      <c r="BU222" s="211" t="n">
        <v>20.0</v>
      </c>
      <c r="BV222" s="212" t="inlineStr">
        <is>
          <t>Actual</t>
        </is>
      </c>
      <c r="BW222" s="213" t="inlineStr">
        <is>
          <t/>
        </is>
      </c>
      <c r="BX222" s="214" t="inlineStr">
        <is>
          <t/>
        </is>
      </c>
      <c r="BY222" s="215" t="inlineStr">
        <is>
          <t>Early Stage VC</t>
        </is>
      </c>
      <c r="BZ222" s="216" t="inlineStr">
        <is>
          <t>Series A</t>
        </is>
      </c>
      <c r="CA222" s="217" t="inlineStr">
        <is>
          <t/>
        </is>
      </c>
      <c r="CB222" s="218" t="inlineStr">
        <is>
          <t>Venture Capital</t>
        </is>
      </c>
      <c r="CC222" s="219" t="inlineStr">
        <is>
          <t/>
        </is>
      </c>
      <c r="CD222" s="220" t="inlineStr">
        <is>
          <t/>
        </is>
      </c>
      <c r="CE222" s="221" t="inlineStr">
        <is>
          <t/>
        </is>
      </c>
      <c r="CF222" s="222" t="inlineStr">
        <is>
          <t>Completed</t>
        </is>
      </c>
      <c r="CG222" s="223" t="inlineStr">
        <is>
          <t/>
        </is>
      </c>
      <c r="CH222" s="224" t="inlineStr">
        <is>
          <t/>
        </is>
      </c>
      <c r="CI222" s="225" t="inlineStr">
        <is>
          <t/>
        </is>
      </c>
      <c r="CJ222" s="226" t="inlineStr">
        <is>
          <t/>
        </is>
      </c>
      <c r="CK222" s="227" t="inlineStr">
        <is>
          <t/>
        </is>
      </c>
      <c r="CL222" s="228" t="inlineStr">
        <is>
          <t/>
        </is>
      </c>
      <c r="CM222" s="229" t="inlineStr">
        <is>
          <t/>
        </is>
      </c>
      <c r="CN222" s="230" t="inlineStr">
        <is>
          <t/>
        </is>
      </c>
      <c r="CO222" s="231" t="inlineStr">
        <is>
          <t/>
        </is>
      </c>
      <c r="CP222" s="232" t="inlineStr">
        <is>
          <t/>
        </is>
      </c>
      <c r="CQ222" s="233" t="inlineStr">
        <is>
          <t/>
        </is>
      </c>
      <c r="CR222" s="234" t="inlineStr">
        <is>
          <t/>
        </is>
      </c>
      <c r="CS222" s="235" t="inlineStr">
        <is>
          <t/>
        </is>
      </c>
      <c r="CT222" s="236" t="inlineStr">
        <is>
          <t/>
        </is>
      </c>
      <c r="CU222" s="237" t="inlineStr">
        <is>
          <t/>
        </is>
      </c>
      <c r="CV222" s="238" t="inlineStr">
        <is>
          <t/>
        </is>
      </c>
      <c r="CW222" s="239" t="inlineStr">
        <is>
          <t/>
        </is>
      </c>
      <c r="CX222" s="240" t="inlineStr">
        <is>
          <t/>
        </is>
      </c>
      <c r="CY222" s="241" t="inlineStr">
        <is>
          <t/>
        </is>
      </c>
      <c r="CZ222" s="242" t="inlineStr">
        <is>
          <t/>
        </is>
      </c>
      <c r="DA222" s="243" t="inlineStr">
        <is>
          <t/>
        </is>
      </c>
      <c r="DB222" s="244" t="inlineStr">
        <is>
          <t/>
        </is>
      </c>
      <c r="DC222" s="245" t="inlineStr">
        <is>
          <t/>
        </is>
      </c>
      <c r="DD222" s="246" t="inlineStr">
        <is>
          <t/>
        </is>
      </c>
      <c r="DE222" s="247" t="inlineStr">
        <is>
          <t/>
        </is>
      </c>
      <c r="DF222" s="248" t="inlineStr">
        <is>
          <t/>
        </is>
      </c>
      <c r="DG222" s="249" t="inlineStr">
        <is>
          <t/>
        </is>
      </c>
      <c r="DH222" s="250" t="inlineStr">
        <is>
          <t/>
        </is>
      </c>
      <c r="DI222" s="251" t="inlineStr">
        <is>
          <t/>
        </is>
      </c>
      <c r="DJ222" s="252" t="inlineStr">
        <is>
          <t/>
        </is>
      </c>
      <c r="DK222" s="253" t="inlineStr">
        <is>
          <t/>
        </is>
      </c>
      <c r="DL222" s="254" t="inlineStr">
        <is>
          <t/>
        </is>
      </c>
      <c r="DM222" s="255" t="inlineStr">
        <is>
          <t/>
        </is>
      </c>
      <c r="DN222" s="256" t="inlineStr">
        <is>
          <t/>
        </is>
      </c>
      <c r="DO222" s="257" t="inlineStr">
        <is>
          <t/>
        </is>
      </c>
      <c r="DP222" s="258" t="inlineStr">
        <is>
          <t/>
        </is>
      </c>
      <c r="DQ222" s="259" t="inlineStr">
        <is>
          <t/>
        </is>
      </c>
      <c r="DR222" s="260" t="inlineStr">
        <is>
          <t/>
        </is>
      </c>
      <c r="DS222" s="261" t="inlineStr">
        <is>
          <t/>
        </is>
      </c>
      <c r="DT222" s="262" t="inlineStr">
        <is>
          <t/>
        </is>
      </c>
      <c r="DU222" s="263" t="inlineStr">
        <is>
          <t/>
        </is>
      </c>
      <c r="DV222" s="264" t="inlineStr">
        <is>
          <t/>
        </is>
      </c>
      <c r="DW222" s="265" t="inlineStr">
        <is>
          <t/>
        </is>
      </c>
      <c r="DX222" s="266" t="inlineStr">
        <is>
          <t/>
        </is>
      </c>
      <c r="DY222" s="267" t="inlineStr">
        <is>
          <t>PitchBook Research</t>
        </is>
      </c>
      <c r="DZ222" s="786">
        <f>HYPERLINK("https://my.pitchbook.com?c=168351-49", "View company online")</f>
      </c>
    </row>
    <row r="223">
      <c r="A223" s="9" t="inlineStr">
        <is>
          <t>98447-59</t>
        </is>
      </c>
      <c r="B223" s="10" t="inlineStr">
        <is>
          <t>ImevaX</t>
        </is>
      </c>
      <c r="C223" s="11" t="inlineStr">
        <is>
          <t/>
        </is>
      </c>
      <c r="D223" s="12" t="inlineStr">
        <is>
          <t/>
        </is>
      </c>
      <c r="E223" s="13" t="inlineStr">
        <is>
          <t>98447-59</t>
        </is>
      </c>
      <c r="F223" s="14" t="inlineStr">
        <is>
          <t>Developer of next generation vaccines designed to offer treatment of chronic and nosocomial infections. The company's next generation vaccines disabled the bacterial factor that inhibited the immune response and immune system could recognize, combat and eliminate Helicobacter pylori.</t>
        </is>
      </c>
      <c r="G223" s="15" t="inlineStr">
        <is>
          <t>Healthcare</t>
        </is>
      </c>
      <c r="H223" s="16" t="inlineStr">
        <is>
          <t>Pharmaceuticals and Biotechnology</t>
        </is>
      </c>
      <c r="I223" s="17" t="inlineStr">
        <is>
          <t>Biotechnology</t>
        </is>
      </c>
      <c r="J223" s="18" t="inlineStr">
        <is>
          <t>Biotechnology*; Drug Discovery</t>
        </is>
      </c>
      <c r="K223" s="19" t="inlineStr">
        <is>
          <t>Life Sciences</t>
        </is>
      </c>
      <c r="L223" s="20" t="inlineStr">
        <is>
          <t>Venture Capital-Backed</t>
        </is>
      </c>
      <c r="M223" s="21" t="n">
        <v>7.5</v>
      </c>
      <c r="N223" s="22" t="inlineStr">
        <is>
          <t>Clinical Trials - General</t>
        </is>
      </c>
      <c r="O223" s="23" t="inlineStr">
        <is>
          <t>Privately Held (backing)</t>
        </is>
      </c>
      <c r="P223" s="24" t="inlineStr">
        <is>
          <t>Venture Capital</t>
        </is>
      </c>
      <c r="Q223" s="25" t="inlineStr">
        <is>
          <t>www.imevax.com</t>
        </is>
      </c>
      <c r="R223" s="26" t="n">
        <v>8.0</v>
      </c>
      <c r="S223" s="27" t="inlineStr">
        <is>
          <t/>
        </is>
      </c>
      <c r="T223" s="28" t="inlineStr">
        <is>
          <t/>
        </is>
      </c>
      <c r="U223" s="29" t="n">
        <v>2014.0</v>
      </c>
      <c r="V223" s="30" t="inlineStr">
        <is>
          <t/>
        </is>
      </c>
      <c r="W223" s="31" t="inlineStr">
        <is>
          <t/>
        </is>
      </c>
      <c r="X223" s="32" t="inlineStr">
        <is>
          <t/>
        </is>
      </c>
      <c r="Y223" s="33" t="inlineStr">
        <is>
          <t/>
        </is>
      </c>
      <c r="Z223" s="34" t="inlineStr">
        <is>
          <t/>
        </is>
      </c>
      <c r="AA223" s="35" t="inlineStr">
        <is>
          <t/>
        </is>
      </c>
      <c r="AB223" s="36" t="inlineStr">
        <is>
          <t/>
        </is>
      </c>
      <c r="AC223" s="37" t="inlineStr">
        <is>
          <t/>
        </is>
      </c>
      <c r="AD223" s="38" t="inlineStr">
        <is>
          <t/>
        </is>
      </c>
      <c r="AE223" s="39" t="inlineStr">
        <is>
          <t>81980-11P</t>
        </is>
      </c>
      <c r="AF223" s="40" t="inlineStr">
        <is>
          <t>Volker Wedershoven</t>
        </is>
      </c>
      <c r="AG223" s="41" t="inlineStr">
        <is>
          <t>Chief Financial Officer</t>
        </is>
      </c>
      <c r="AH223" s="42" t="inlineStr">
        <is>
          <t>volker.wedershoven@imevax.com</t>
        </is>
      </c>
      <c r="AI223" s="43" t="inlineStr">
        <is>
          <t>+49 (0)89 4142 4550</t>
        </is>
      </c>
      <c r="AJ223" s="44" t="inlineStr">
        <is>
          <t>Munich, Germany</t>
        </is>
      </c>
      <c r="AK223" s="45" t="inlineStr">
        <is>
          <t>Grillparzerstr. 18</t>
        </is>
      </c>
      <c r="AL223" s="46" t="inlineStr">
        <is>
          <t/>
        </is>
      </c>
      <c r="AM223" s="47" t="inlineStr">
        <is>
          <t>Munich</t>
        </is>
      </c>
      <c r="AN223" s="48" t="inlineStr">
        <is>
          <t/>
        </is>
      </c>
      <c r="AO223" s="49" t="inlineStr">
        <is>
          <t>81675</t>
        </is>
      </c>
      <c r="AP223" s="50" t="inlineStr">
        <is>
          <t>Germany</t>
        </is>
      </c>
      <c r="AQ223" s="51" t="inlineStr">
        <is>
          <t>+49 (0)89 4142 4550</t>
        </is>
      </c>
      <c r="AR223" s="52" t="inlineStr">
        <is>
          <t/>
        </is>
      </c>
      <c r="AS223" s="53" t="inlineStr">
        <is>
          <t>info@imevax.com</t>
        </is>
      </c>
      <c r="AT223" s="54" t="inlineStr">
        <is>
          <t>Europe</t>
        </is>
      </c>
      <c r="AU223" s="55" t="inlineStr">
        <is>
          <t>Western Europe</t>
        </is>
      </c>
      <c r="AV223" s="56" t="inlineStr">
        <is>
          <t>The company raised EUR 7.5 million of Series A venture funding in a deal led by Wellington Partners on October 28, 2014. KfW Bankengruppe, BioMedPartners, EMBL Ventures and Santo Venture Capital also participated in this round. The company intends to use the funds to advance lead candidate IMX 101 through clinical trials before partnering. Previously, the company received EUR 5.9 million of grant funding from Bundesministerium für Bildung und Forschung on October 15, 2014.</t>
        </is>
      </c>
      <c r="AW223" s="57" t="inlineStr">
        <is>
          <t>BioMedPartners, Bundesministerium für Bildung und Forschung, EMBL Ventures, KfW Bankengruppe, Santo Venture Capital, Wellington Partners</t>
        </is>
      </c>
      <c r="AX223" s="58" t="n">
        <v>6.0</v>
      </c>
      <c r="AY223" s="59" t="inlineStr">
        <is>
          <t/>
        </is>
      </c>
      <c r="AZ223" s="60" t="inlineStr">
        <is>
          <t/>
        </is>
      </c>
      <c r="BA223" s="61" t="inlineStr">
        <is>
          <t/>
        </is>
      </c>
      <c r="BB223" s="62" t="inlineStr">
        <is>
          <t>BioMedPartners (www.biomedvc.com), Bundesministerium für Bildung und Forschung (www.bmbf.de), EMBL Ventures (www.embl-ventures.com), KfW Bankengruppe (www.kfw.de), Wellington Partners (www.wellington-partners.com)</t>
        </is>
      </c>
      <c r="BC223" s="63" t="inlineStr">
        <is>
          <t/>
        </is>
      </c>
      <c r="BD223" s="64" t="inlineStr">
        <is>
          <t/>
        </is>
      </c>
      <c r="BE223" s="65" t="inlineStr">
        <is>
          <t/>
        </is>
      </c>
      <c r="BF223" s="66" t="inlineStr">
        <is>
          <t/>
        </is>
      </c>
      <c r="BG223" s="67" t="n">
        <v>41927.0</v>
      </c>
      <c r="BH223" s="68" t="n">
        <v>5.9</v>
      </c>
      <c r="BI223" s="69" t="inlineStr">
        <is>
          <t>Actual</t>
        </is>
      </c>
      <c r="BJ223" s="70" t="inlineStr">
        <is>
          <t/>
        </is>
      </c>
      <c r="BK223" s="71" t="inlineStr">
        <is>
          <t/>
        </is>
      </c>
      <c r="BL223" s="72" t="inlineStr">
        <is>
          <t>Grant</t>
        </is>
      </c>
      <c r="BM223" s="73" t="inlineStr">
        <is>
          <t/>
        </is>
      </c>
      <c r="BN223" s="74" t="inlineStr">
        <is>
          <t/>
        </is>
      </c>
      <c r="BO223" s="75" t="inlineStr">
        <is>
          <t>Other</t>
        </is>
      </c>
      <c r="BP223" s="76" t="inlineStr">
        <is>
          <t/>
        </is>
      </c>
      <c r="BQ223" s="77" t="inlineStr">
        <is>
          <t/>
        </is>
      </c>
      <c r="BR223" s="78" t="inlineStr">
        <is>
          <t/>
        </is>
      </c>
      <c r="BS223" s="79" t="inlineStr">
        <is>
          <t>Completed</t>
        </is>
      </c>
      <c r="BT223" s="80" t="n">
        <v>41940.0</v>
      </c>
      <c r="BU223" s="81" t="n">
        <v>7.5</v>
      </c>
      <c r="BV223" s="82" t="inlineStr">
        <is>
          <t>Actual</t>
        </is>
      </c>
      <c r="BW223" s="83" t="inlineStr">
        <is>
          <t/>
        </is>
      </c>
      <c r="BX223" s="84" t="inlineStr">
        <is>
          <t/>
        </is>
      </c>
      <c r="BY223" s="85" t="inlineStr">
        <is>
          <t>Early Stage VC</t>
        </is>
      </c>
      <c r="BZ223" s="86" t="inlineStr">
        <is>
          <t>Series A</t>
        </is>
      </c>
      <c r="CA223" s="87" t="inlineStr">
        <is>
          <t/>
        </is>
      </c>
      <c r="CB223" s="88" t="inlineStr">
        <is>
          <t>Venture Capital</t>
        </is>
      </c>
      <c r="CC223" s="89" t="inlineStr">
        <is>
          <t/>
        </is>
      </c>
      <c r="CD223" s="90" t="inlineStr">
        <is>
          <t/>
        </is>
      </c>
      <c r="CE223" s="91" t="inlineStr">
        <is>
          <t/>
        </is>
      </c>
      <c r="CF223" s="92" t="inlineStr">
        <is>
          <t>Completed</t>
        </is>
      </c>
      <c r="CG223" s="93" t="inlineStr">
        <is>
          <t>0,63%</t>
        </is>
      </c>
      <c r="CH223" s="94" t="inlineStr">
        <is>
          <t>85</t>
        </is>
      </c>
      <c r="CI223" s="95" t="inlineStr">
        <is>
          <t>0,04%</t>
        </is>
      </c>
      <c r="CJ223" s="96" t="inlineStr">
        <is>
          <t>6,57%</t>
        </is>
      </c>
      <c r="CK223" s="97" t="inlineStr">
        <is>
          <t>0,00%</t>
        </is>
      </c>
      <c r="CL223" s="98" t="inlineStr">
        <is>
          <t>18</t>
        </is>
      </c>
      <c r="CM223" s="99" t="inlineStr">
        <is>
          <t>1,25%</t>
        </is>
      </c>
      <c r="CN223" s="100" t="inlineStr">
        <is>
          <t>97</t>
        </is>
      </c>
      <c r="CO223" s="101" t="inlineStr">
        <is>
          <t/>
        </is>
      </c>
      <c r="CP223" s="102" t="inlineStr">
        <is>
          <t/>
        </is>
      </c>
      <c r="CQ223" s="103" t="inlineStr">
        <is>
          <t>0,00%</t>
        </is>
      </c>
      <c r="CR223" s="104" t="inlineStr">
        <is>
          <t>13</t>
        </is>
      </c>
      <c r="CS223" s="105" t="inlineStr">
        <is>
          <t>2,50%</t>
        </is>
      </c>
      <c r="CT223" s="106" t="inlineStr">
        <is>
          <t>99</t>
        </is>
      </c>
      <c r="CU223" s="107" t="inlineStr">
        <is>
          <t>0,00%</t>
        </is>
      </c>
      <c r="CV223" s="108" t="inlineStr">
        <is>
          <t>20</t>
        </is>
      </c>
      <c r="CW223" s="109" t="inlineStr">
        <is>
          <t>0,69x</t>
        </is>
      </c>
      <c r="CX223" s="110" t="inlineStr">
        <is>
          <t>40</t>
        </is>
      </c>
      <c r="CY223" s="111" t="inlineStr">
        <is>
          <t>0,02x</t>
        </is>
      </c>
      <c r="CZ223" s="112" t="inlineStr">
        <is>
          <t>2,73%</t>
        </is>
      </c>
      <c r="DA223" s="113" t="inlineStr">
        <is>
          <t>1,28x</t>
        </is>
      </c>
      <c r="DB223" s="114" t="inlineStr">
        <is>
          <t>57</t>
        </is>
      </c>
      <c r="DC223" s="115" t="inlineStr">
        <is>
          <t>0,11x</t>
        </is>
      </c>
      <c r="DD223" s="116" t="inlineStr">
        <is>
          <t>15</t>
        </is>
      </c>
      <c r="DE223" s="117" t="inlineStr">
        <is>
          <t/>
        </is>
      </c>
      <c r="DF223" s="118" t="inlineStr">
        <is>
          <t/>
        </is>
      </c>
      <c r="DG223" s="119" t="inlineStr">
        <is>
          <t>1,28x</t>
        </is>
      </c>
      <c r="DH223" s="120" t="inlineStr">
        <is>
          <t>55</t>
        </is>
      </c>
      <c r="DI223" s="121" t="inlineStr">
        <is>
          <t>0,21x</t>
        </is>
      </c>
      <c r="DJ223" s="122" t="inlineStr">
        <is>
          <t>24</t>
        </is>
      </c>
      <c r="DK223" s="123" t="inlineStr">
        <is>
          <t>0,01x</t>
        </is>
      </c>
      <c r="DL223" s="124" t="inlineStr">
        <is>
          <t>2</t>
        </is>
      </c>
      <c r="DM223" s="125" t="inlineStr">
        <is>
          <t/>
        </is>
      </c>
      <c r="DN223" s="126" t="inlineStr">
        <is>
          <t/>
        </is>
      </c>
      <c r="DO223" s="127" t="inlineStr">
        <is>
          <t/>
        </is>
      </c>
      <c r="DP223" s="128" t="inlineStr">
        <is>
          <t>164</t>
        </is>
      </c>
      <c r="DQ223" s="129" t="inlineStr">
        <is>
          <t>2</t>
        </is>
      </c>
      <c r="DR223" s="130" t="inlineStr">
        <is>
          <t>1,23%</t>
        </is>
      </c>
      <c r="DS223" s="131" t="inlineStr">
        <is>
          <t>46</t>
        </is>
      </c>
      <c r="DT223" s="132" t="inlineStr">
        <is>
          <t>0</t>
        </is>
      </c>
      <c r="DU223" s="133" t="inlineStr">
        <is>
          <t>0,00%</t>
        </is>
      </c>
      <c r="DV223" s="134" t="inlineStr">
        <is>
          <t>4</t>
        </is>
      </c>
      <c r="DW223" s="135" t="inlineStr">
        <is>
          <t>0</t>
        </is>
      </c>
      <c r="DX223" s="136" t="inlineStr">
        <is>
          <t>0,00%</t>
        </is>
      </c>
      <c r="DY223" s="137" t="inlineStr">
        <is>
          <t>PitchBook Research</t>
        </is>
      </c>
      <c r="DZ223" s="785">
        <f>HYPERLINK("https://my.pitchbook.com?c=98447-59", "View company online")</f>
      </c>
    </row>
    <row r="224">
      <c r="A224" s="139" t="inlineStr">
        <is>
          <t>166682-62</t>
        </is>
      </c>
      <c r="B224" s="140" t="inlineStr">
        <is>
          <t>Immunic Therapeutics</t>
        </is>
      </c>
      <c r="C224" s="141" t="inlineStr">
        <is>
          <t/>
        </is>
      </c>
      <c r="D224" s="142" t="inlineStr">
        <is>
          <t/>
        </is>
      </c>
      <c r="E224" s="143" t="inlineStr">
        <is>
          <t>166682-62</t>
        </is>
      </c>
      <c r="F224" s="144" t="inlineStr">
        <is>
          <t>Provider and developer of oral pharmaceuticals in the immunology industry. The company develops small molecule immune modulators that block T helper type 1- and type 17-mediated immune and autoimmune responses to treat conditions including inflammatory bowel disease (IBD) or psoriasis.</t>
        </is>
      </c>
      <c r="G224" s="145" t="inlineStr">
        <is>
          <t>Healthcare</t>
        </is>
      </c>
      <c r="H224" s="146" t="inlineStr">
        <is>
          <t>Pharmaceuticals and Biotechnology</t>
        </is>
      </c>
      <c r="I224" s="147" t="inlineStr">
        <is>
          <t>Biotechnology</t>
        </is>
      </c>
      <c r="J224" s="148" t="inlineStr">
        <is>
          <t>Biotechnology*; Drug Discovery</t>
        </is>
      </c>
      <c r="K224" s="149" t="inlineStr">
        <is>
          <t>Life Sciences</t>
        </is>
      </c>
      <c r="L224" s="150" t="inlineStr">
        <is>
          <t>Venture Capital-Backed</t>
        </is>
      </c>
      <c r="M224" s="151" t="n">
        <v>31.7</v>
      </c>
      <c r="N224" s="152" t="inlineStr">
        <is>
          <t>Startup</t>
        </is>
      </c>
      <c r="O224" s="153" t="inlineStr">
        <is>
          <t>Privately Held (backing)</t>
        </is>
      </c>
      <c r="P224" s="154" t="inlineStr">
        <is>
          <t>Venture Capital</t>
        </is>
      </c>
      <c r="Q224" s="155" t="inlineStr">
        <is>
          <t>www.immunic-therapeutics.com</t>
        </is>
      </c>
      <c r="R224" s="156" t="n">
        <v>2.0</v>
      </c>
      <c r="S224" s="157" t="inlineStr">
        <is>
          <t/>
        </is>
      </c>
      <c r="T224" s="158" t="inlineStr">
        <is>
          <t/>
        </is>
      </c>
      <c r="U224" s="159" t="n">
        <v>2016.0</v>
      </c>
      <c r="V224" s="160" t="inlineStr">
        <is>
          <t/>
        </is>
      </c>
      <c r="W224" s="161" t="inlineStr">
        <is>
          <t/>
        </is>
      </c>
      <c r="X224" s="162" t="inlineStr">
        <is>
          <t/>
        </is>
      </c>
      <c r="Y224" s="163" t="inlineStr">
        <is>
          <t/>
        </is>
      </c>
      <c r="Z224" s="164" t="inlineStr">
        <is>
          <t/>
        </is>
      </c>
      <c r="AA224" s="165" t="inlineStr">
        <is>
          <t/>
        </is>
      </c>
      <c r="AB224" s="166" t="inlineStr">
        <is>
          <t/>
        </is>
      </c>
      <c r="AC224" s="167" t="inlineStr">
        <is>
          <t/>
        </is>
      </c>
      <c r="AD224" s="168" t="inlineStr">
        <is>
          <t/>
        </is>
      </c>
      <c r="AE224" s="169" t="inlineStr">
        <is>
          <t>146489-14P</t>
        </is>
      </c>
      <c r="AF224" s="170" t="inlineStr">
        <is>
          <t>Manfred Gröppel</t>
        </is>
      </c>
      <c r="AG224" s="171" t="inlineStr">
        <is>
          <t>Co-Founder, Chief Operating Officer &amp; Interim Chief Executive Officer</t>
        </is>
      </c>
      <c r="AH224" s="172" t="inlineStr">
        <is>
          <t>manfred@immunic.de</t>
        </is>
      </c>
      <c r="AI224" s="173" t="inlineStr">
        <is>
          <t>+49 (0)89 7007 630</t>
        </is>
      </c>
      <c r="AJ224" s="174" t="inlineStr">
        <is>
          <t>Planegg-Martinsried, Germany</t>
        </is>
      </c>
      <c r="AK224" s="175" t="inlineStr">
        <is>
          <t>Am Klopferspitz 19a</t>
        </is>
      </c>
      <c r="AL224" s="176" t="inlineStr">
        <is>
          <t/>
        </is>
      </c>
      <c r="AM224" s="177" t="inlineStr">
        <is>
          <t>Planegg-Martinsried</t>
        </is>
      </c>
      <c r="AN224" s="178" t="inlineStr">
        <is>
          <t/>
        </is>
      </c>
      <c r="AO224" s="179" t="inlineStr">
        <is>
          <t>82152</t>
        </is>
      </c>
      <c r="AP224" s="180" t="inlineStr">
        <is>
          <t>Germany</t>
        </is>
      </c>
      <c r="AQ224" s="181" t="inlineStr">
        <is>
          <t>+49 (0)89 7007 630</t>
        </is>
      </c>
      <c r="AR224" s="182" t="inlineStr">
        <is>
          <t/>
        </is>
      </c>
      <c r="AS224" s="183" t="inlineStr">
        <is>
          <t>info@immunic.de</t>
        </is>
      </c>
      <c r="AT224" s="184" t="inlineStr">
        <is>
          <t>Europe</t>
        </is>
      </c>
      <c r="AU224" s="185" t="inlineStr">
        <is>
          <t>Western Europe</t>
        </is>
      </c>
      <c r="AV224" s="186" t="inlineStr">
        <is>
          <t>The company raised EUR 31.7 million of Series A venture funding in a round led by LifeCare Partners and Life Sciences Partners on September 5, 2017. IBG Beteiligungsgesellschaft Sachsen-Anhalt, Bayern Kapital, High-Tech Gründerfonds, Bmp Beteiligungsmanagement and other undisclosed investors also participated in this round. The company intends to use the funding for the development of new therapies for patients who suffer from debilitating diseases caused by the immune system and accelerates further development of IMU-838 and IMU-366 in chronic inflammatory and autoimmune diseases.</t>
        </is>
      </c>
      <c r="AW224" s="187" t="inlineStr">
        <is>
          <t>Bayern Kapital, bmp, High-Tech Gründerfonds, IBG Beteiligungsgesellschaft Sachsen-Anhalt, Life Sciences Partners, LifeCare Partners</t>
        </is>
      </c>
      <c r="AX224" s="188" t="n">
        <v>6.0</v>
      </c>
      <c r="AY224" s="189" t="inlineStr">
        <is>
          <t/>
        </is>
      </c>
      <c r="AZ224" s="190" t="inlineStr">
        <is>
          <t/>
        </is>
      </c>
      <c r="BA224" s="191" t="inlineStr">
        <is>
          <t/>
        </is>
      </c>
      <c r="BB224" s="192" t="inlineStr">
        <is>
          <t>Bayern Kapital (www.bayernkapital.de), bmp (www.bmp.com), High-Tech Gründerfonds (www.high-tech-gruenderfonds.de), IBG Beteiligungsgesellschaft Sachsen-Anhalt (www.ibg-vc.de), Life Sciences Partners (www.lspvc.com), LifeCare Partners (www.lifecarevc.com)</t>
        </is>
      </c>
      <c r="BC224" s="193" t="inlineStr">
        <is>
          <t/>
        </is>
      </c>
      <c r="BD224" s="194" t="inlineStr">
        <is>
          <t/>
        </is>
      </c>
      <c r="BE224" s="195" t="inlineStr">
        <is>
          <t/>
        </is>
      </c>
      <c r="BF224" s="196" t="inlineStr">
        <is>
          <t/>
        </is>
      </c>
      <c r="BG224" s="197" t="n">
        <v>42983.0</v>
      </c>
      <c r="BH224" s="198" t="n">
        <v>31.7</v>
      </c>
      <c r="BI224" s="199" t="inlineStr">
        <is>
          <t>Actual</t>
        </is>
      </c>
      <c r="BJ224" s="200" t="inlineStr">
        <is>
          <t/>
        </is>
      </c>
      <c r="BK224" s="201" t="inlineStr">
        <is>
          <t/>
        </is>
      </c>
      <c r="BL224" s="202" t="inlineStr">
        <is>
          <t>Early Stage VC</t>
        </is>
      </c>
      <c r="BM224" s="203" t="inlineStr">
        <is>
          <t>Series A</t>
        </is>
      </c>
      <c r="BN224" s="204" t="inlineStr">
        <is>
          <t/>
        </is>
      </c>
      <c r="BO224" s="205" t="inlineStr">
        <is>
          <t>Venture Capital</t>
        </is>
      </c>
      <c r="BP224" s="206" t="inlineStr">
        <is>
          <t/>
        </is>
      </c>
      <c r="BQ224" s="207" t="inlineStr">
        <is>
          <t/>
        </is>
      </c>
      <c r="BR224" s="208" t="inlineStr">
        <is>
          <t/>
        </is>
      </c>
      <c r="BS224" s="209" t="inlineStr">
        <is>
          <t>Completed</t>
        </is>
      </c>
      <c r="BT224" s="210" t="n">
        <v>42983.0</v>
      </c>
      <c r="BU224" s="211" t="n">
        <v>31.7</v>
      </c>
      <c r="BV224" s="212" t="inlineStr">
        <is>
          <t>Actual</t>
        </is>
      </c>
      <c r="BW224" s="213" t="inlineStr">
        <is>
          <t/>
        </is>
      </c>
      <c r="BX224" s="214" t="inlineStr">
        <is>
          <t/>
        </is>
      </c>
      <c r="BY224" s="215" t="inlineStr">
        <is>
          <t>Early Stage VC</t>
        </is>
      </c>
      <c r="BZ224" s="216" t="inlineStr">
        <is>
          <t>Series A</t>
        </is>
      </c>
      <c r="CA224" s="217" t="inlineStr">
        <is>
          <t/>
        </is>
      </c>
      <c r="CB224" s="218" t="inlineStr">
        <is>
          <t>Venture Capital</t>
        </is>
      </c>
      <c r="CC224" s="219" t="inlineStr">
        <is>
          <t/>
        </is>
      </c>
      <c r="CD224" s="220" t="inlineStr">
        <is>
          <t/>
        </is>
      </c>
      <c r="CE224" s="221" t="inlineStr">
        <is>
          <t/>
        </is>
      </c>
      <c r="CF224" s="222" t="inlineStr">
        <is>
          <t>Completed</t>
        </is>
      </c>
      <c r="CG224" s="223" t="inlineStr">
        <is>
          <t>0,00%</t>
        </is>
      </c>
      <c r="CH224" s="224" t="inlineStr">
        <is>
          <t>23</t>
        </is>
      </c>
      <c r="CI224" s="225" t="inlineStr">
        <is>
          <t>0,00%</t>
        </is>
      </c>
      <c r="CJ224" s="226" t="inlineStr">
        <is>
          <t>0,00%</t>
        </is>
      </c>
      <c r="CK224" s="227" t="inlineStr">
        <is>
          <t>0,00%</t>
        </is>
      </c>
      <c r="CL224" s="228" t="inlineStr">
        <is>
          <t>18</t>
        </is>
      </c>
      <c r="CM224" s="229" t="inlineStr">
        <is>
          <t/>
        </is>
      </c>
      <c r="CN224" s="230" t="inlineStr">
        <is>
          <t/>
        </is>
      </c>
      <c r="CO224" s="231" t="inlineStr">
        <is>
          <t>0,00%</t>
        </is>
      </c>
      <c r="CP224" s="232" t="inlineStr">
        <is>
          <t>26</t>
        </is>
      </c>
      <c r="CQ224" s="233" t="inlineStr">
        <is>
          <t/>
        </is>
      </c>
      <c r="CR224" s="234" t="inlineStr">
        <is>
          <t/>
        </is>
      </c>
      <c r="CS224" s="235" t="inlineStr">
        <is>
          <t/>
        </is>
      </c>
      <c r="CT224" s="236" t="inlineStr">
        <is>
          <t/>
        </is>
      </c>
      <c r="CU224" s="237" t="inlineStr">
        <is>
          <t/>
        </is>
      </c>
      <c r="CV224" s="238" t="inlineStr">
        <is>
          <t/>
        </is>
      </c>
      <c r="CW224" s="239" t="inlineStr">
        <is>
          <t>0,12x</t>
        </is>
      </c>
      <c r="CX224" s="240" t="inlineStr">
        <is>
          <t>11</t>
        </is>
      </c>
      <c r="CY224" s="241" t="inlineStr">
        <is>
          <t>0,00x</t>
        </is>
      </c>
      <c r="CZ224" s="242" t="inlineStr">
        <is>
          <t>0,00%</t>
        </is>
      </c>
      <c r="DA224" s="243" t="inlineStr">
        <is>
          <t>0,12x</t>
        </is>
      </c>
      <c r="DB224" s="244" t="inlineStr">
        <is>
          <t>13</t>
        </is>
      </c>
      <c r="DC224" s="245" t="inlineStr">
        <is>
          <t/>
        </is>
      </c>
      <c r="DD224" s="246" t="inlineStr">
        <is>
          <t/>
        </is>
      </c>
      <c r="DE224" s="247" t="inlineStr">
        <is>
          <t>0,12x</t>
        </is>
      </c>
      <c r="DF224" s="248" t="inlineStr">
        <is>
          <t>11</t>
        </is>
      </c>
      <c r="DG224" s="249" t="inlineStr">
        <is>
          <t/>
        </is>
      </c>
      <c r="DH224" s="250" t="inlineStr">
        <is>
          <t/>
        </is>
      </c>
      <c r="DI224" s="251" t="inlineStr">
        <is>
          <t/>
        </is>
      </c>
      <c r="DJ224" s="252" t="inlineStr">
        <is>
          <t/>
        </is>
      </c>
      <c r="DK224" s="253" t="inlineStr">
        <is>
          <t/>
        </is>
      </c>
      <c r="DL224" s="254" t="inlineStr">
        <is>
          <t/>
        </is>
      </c>
      <c r="DM224" s="255" t="inlineStr">
        <is>
          <t>85</t>
        </is>
      </c>
      <c r="DN224" s="256" t="inlineStr">
        <is>
          <t>-34</t>
        </is>
      </c>
      <c r="DO224" s="257" t="inlineStr">
        <is>
          <t>-28,57%</t>
        </is>
      </c>
      <c r="DP224" s="258" t="inlineStr">
        <is>
          <t/>
        </is>
      </c>
      <c r="DQ224" s="259" t="inlineStr">
        <is>
          <t/>
        </is>
      </c>
      <c r="DR224" s="260" t="inlineStr">
        <is>
          <t/>
        </is>
      </c>
      <c r="DS224" s="261" t="inlineStr">
        <is>
          <t/>
        </is>
      </c>
      <c r="DT224" s="262" t="inlineStr">
        <is>
          <t/>
        </is>
      </c>
      <c r="DU224" s="263" t="inlineStr">
        <is>
          <t/>
        </is>
      </c>
      <c r="DV224" s="264" t="inlineStr">
        <is>
          <t/>
        </is>
      </c>
      <c r="DW224" s="265" t="inlineStr">
        <is>
          <t/>
        </is>
      </c>
      <c r="DX224" s="266" t="inlineStr">
        <is>
          <t/>
        </is>
      </c>
      <c r="DY224" s="267" t="inlineStr">
        <is>
          <t>PitchBook Research</t>
        </is>
      </c>
      <c r="DZ224" s="786">
        <f>HYPERLINK("https://my.pitchbook.com?c=166682-62", "View company online")</f>
      </c>
    </row>
    <row r="225">
      <c r="A225" s="9" t="inlineStr">
        <is>
          <t>56391-31</t>
        </is>
      </c>
      <c r="B225" s="10" t="inlineStr">
        <is>
          <t>import.io</t>
        </is>
      </c>
      <c r="C225" s="11" t="inlineStr">
        <is>
          <t/>
        </is>
      </c>
      <c r="D225" s="12" t="inlineStr">
        <is>
          <t/>
        </is>
      </c>
      <c r="E225" s="13" t="inlineStr">
        <is>
          <t>56391-31</t>
        </is>
      </c>
      <c r="F225" s="14" t="inlineStr">
        <is>
          <t>Developer of cloud-based big data platform. The company's platform helps other companies and developers find, extract and connect different sets of data from the web in order to facilitate the creation of applications and businesses.</t>
        </is>
      </c>
      <c r="G225" s="15" t="inlineStr">
        <is>
          <t>Information Technology</t>
        </is>
      </c>
      <c r="H225" s="16" t="inlineStr">
        <is>
          <t>IT Services</t>
        </is>
      </c>
      <c r="I225" s="17" t="inlineStr">
        <is>
          <t>Systems and Information Management</t>
        </is>
      </c>
      <c r="J225" s="18" t="inlineStr">
        <is>
          <t>Systems and Information Management*; Social/Platform Software</t>
        </is>
      </c>
      <c r="K225" s="19" t="inlineStr">
        <is>
          <t>Big Data, SaaS</t>
        </is>
      </c>
      <c r="L225" s="20" t="inlineStr">
        <is>
          <t>Venture Capital-Backed</t>
        </is>
      </c>
      <c r="M225" s="21" t="n">
        <v>16.32</v>
      </c>
      <c r="N225" s="22" t="inlineStr">
        <is>
          <t>Startup</t>
        </is>
      </c>
      <c r="O225" s="23" t="inlineStr">
        <is>
          <t>Privately Held (backing)</t>
        </is>
      </c>
      <c r="P225" s="24" t="inlineStr">
        <is>
          <t>Venture Capital</t>
        </is>
      </c>
      <c r="Q225" s="25" t="inlineStr">
        <is>
          <t>www.import.io</t>
        </is>
      </c>
      <c r="R225" s="26" t="n">
        <v>54.0</v>
      </c>
      <c r="S225" s="27" t="inlineStr">
        <is>
          <t/>
        </is>
      </c>
      <c r="T225" s="28" t="inlineStr">
        <is>
          <t/>
        </is>
      </c>
      <c r="U225" s="29" t="n">
        <v>2012.0</v>
      </c>
      <c r="V225" s="30" t="inlineStr">
        <is>
          <t/>
        </is>
      </c>
      <c r="W225" s="31" t="inlineStr">
        <is>
          <t/>
        </is>
      </c>
      <c r="X225" s="32" t="inlineStr">
        <is>
          <t/>
        </is>
      </c>
      <c r="Y225" s="33" t="inlineStr">
        <is>
          <t/>
        </is>
      </c>
      <c r="Z225" s="34" t="inlineStr">
        <is>
          <t/>
        </is>
      </c>
      <c r="AA225" s="35" t="inlineStr">
        <is>
          <t/>
        </is>
      </c>
      <c r="AB225" s="36" t="inlineStr">
        <is>
          <t/>
        </is>
      </c>
      <c r="AC225" s="37" t="inlineStr">
        <is>
          <t/>
        </is>
      </c>
      <c r="AD225" s="38" t="inlineStr">
        <is>
          <t>FY 2014</t>
        </is>
      </c>
      <c r="AE225" s="39" t="inlineStr">
        <is>
          <t>48661-66P</t>
        </is>
      </c>
      <c r="AF225" s="40" t="inlineStr">
        <is>
          <t>David White</t>
        </is>
      </c>
      <c r="AG225" s="41" t="inlineStr">
        <is>
          <t>Chief Executive Officer &amp; Co-Founder</t>
        </is>
      </c>
      <c r="AH225" s="42" t="inlineStr">
        <is>
          <t>david@import.io</t>
        </is>
      </c>
      <c r="AI225" s="43" t="inlineStr">
        <is>
          <t/>
        </is>
      </c>
      <c r="AJ225" s="44" t="inlineStr">
        <is>
          <t>London, United Kingdom</t>
        </is>
      </c>
      <c r="AK225" s="45" t="inlineStr">
        <is>
          <t>Aldgate Tower</t>
        </is>
      </c>
      <c r="AL225" s="46" t="inlineStr">
        <is>
          <t>1 Leman Street</t>
        </is>
      </c>
      <c r="AM225" s="47" t="inlineStr">
        <is>
          <t>London</t>
        </is>
      </c>
      <c r="AN225" s="48" t="inlineStr">
        <is>
          <t>England</t>
        </is>
      </c>
      <c r="AO225" s="49" t="inlineStr">
        <is>
          <t>E1 8FA</t>
        </is>
      </c>
      <c r="AP225" s="50" t="inlineStr">
        <is>
          <t>United Kingdom</t>
        </is>
      </c>
      <c r="AQ225" s="51" t="inlineStr">
        <is>
          <t/>
        </is>
      </c>
      <c r="AR225" s="52" t="inlineStr">
        <is>
          <t/>
        </is>
      </c>
      <c r="AS225" s="53" t="inlineStr">
        <is>
          <t>hello@import.io</t>
        </is>
      </c>
      <c r="AT225" s="54" t="inlineStr">
        <is>
          <t>Europe</t>
        </is>
      </c>
      <c r="AU225" s="55" t="inlineStr">
        <is>
          <t>Western Europe</t>
        </is>
      </c>
      <c r="AV225" s="56" t="inlineStr">
        <is>
          <t>The company raised $13 million of Series A venture funding led by Imperial Innovations Group on January 12, 2016. Wellington Partners, Oxford Capital Partners, Open Ocean Capital, Delin Capital Asset Management and AME Cloud Ventures also participated in the round. The funding will be used to further develop its data extraction platform and expand analytics and visualization partners.</t>
        </is>
      </c>
      <c r="AW225" s="57" t="inlineStr">
        <is>
          <t>Alta Vista Ventures, AME Cloud Ventures, Andy McLoughlin, David Axmark, Delin Capital, Emmanuel Javal, Greg Kidd, Open Ocean Partners, Oxford Capital Partners, Runway Incubator, Sanu Desai, Touchstone Innovations, Wellington Partners</t>
        </is>
      </c>
      <c r="AX225" s="58" t="n">
        <v>13.0</v>
      </c>
      <c r="AY225" s="59" t="inlineStr">
        <is>
          <t/>
        </is>
      </c>
      <c r="AZ225" s="60" t="inlineStr">
        <is>
          <t/>
        </is>
      </c>
      <c r="BA225" s="61" t="inlineStr">
        <is>
          <t/>
        </is>
      </c>
      <c r="BB225" s="62" t="inlineStr">
        <is>
          <t>Alta Vista Ventures (www.globaluavtech.com), AME Cloud Ventures (www.amecloudventures.com), Andy McLoughlin (www.andymcloughlin.co), Delin Capital (www.delincapital.com), Open Ocean Partners (www.openocean.vc), Oxford Capital Partners (www.oxcp.com), Runway Incubator (www.runway.is), Touchstone Innovations (www.touchstoneinnovations.com), Wellington Partners (www.wellington-partners.com)</t>
        </is>
      </c>
      <c r="BC225" s="63" t="inlineStr">
        <is>
          <t/>
        </is>
      </c>
      <c r="BD225" s="64" t="inlineStr">
        <is>
          <t/>
        </is>
      </c>
      <c r="BE225" s="65" t="inlineStr">
        <is>
          <t>Dorsey &amp; Whitney (Legal Advisor), Upscale UK (Consulting)</t>
        </is>
      </c>
      <c r="BF225" s="66" t="inlineStr">
        <is>
          <t>Dorsey &amp; Whitney (Legal Advisor)</t>
        </is>
      </c>
      <c r="BG225" s="67" t="n">
        <v>41345.0</v>
      </c>
      <c r="BH225" s="68" t="n">
        <v>1.0</v>
      </c>
      <c r="BI225" s="69" t="inlineStr">
        <is>
          <t>Actual</t>
        </is>
      </c>
      <c r="BJ225" s="70" t="inlineStr">
        <is>
          <t/>
        </is>
      </c>
      <c r="BK225" s="71" t="inlineStr">
        <is>
          <t/>
        </is>
      </c>
      <c r="BL225" s="72" t="inlineStr">
        <is>
          <t>Early Stage VC</t>
        </is>
      </c>
      <c r="BM225" s="73" t="inlineStr">
        <is>
          <t/>
        </is>
      </c>
      <c r="BN225" s="74" t="inlineStr">
        <is>
          <t/>
        </is>
      </c>
      <c r="BO225" s="75" t="inlineStr">
        <is>
          <t>Venture Capital</t>
        </is>
      </c>
      <c r="BP225" s="76" t="inlineStr">
        <is>
          <t/>
        </is>
      </c>
      <c r="BQ225" s="77" t="inlineStr">
        <is>
          <t/>
        </is>
      </c>
      <c r="BR225" s="78" t="inlineStr">
        <is>
          <t/>
        </is>
      </c>
      <c r="BS225" s="79" t="inlineStr">
        <is>
          <t>Completed</t>
        </is>
      </c>
      <c r="BT225" s="80" t="n">
        <v>42381.0</v>
      </c>
      <c r="BU225" s="81" t="n">
        <v>11.96</v>
      </c>
      <c r="BV225" s="82" t="inlineStr">
        <is>
          <t>Actual</t>
        </is>
      </c>
      <c r="BW225" s="83" t="inlineStr">
        <is>
          <t/>
        </is>
      </c>
      <c r="BX225" s="84" t="inlineStr">
        <is>
          <t/>
        </is>
      </c>
      <c r="BY225" s="85" t="inlineStr">
        <is>
          <t>Early Stage VC</t>
        </is>
      </c>
      <c r="BZ225" s="86" t="inlineStr">
        <is>
          <t>Series A</t>
        </is>
      </c>
      <c r="CA225" s="87" t="inlineStr">
        <is>
          <t/>
        </is>
      </c>
      <c r="CB225" s="88" t="inlineStr">
        <is>
          <t>Venture Capital</t>
        </is>
      </c>
      <c r="CC225" s="89" t="inlineStr">
        <is>
          <t/>
        </is>
      </c>
      <c r="CD225" s="90" t="inlineStr">
        <is>
          <t/>
        </is>
      </c>
      <c r="CE225" s="91" t="inlineStr">
        <is>
          <t/>
        </is>
      </c>
      <c r="CF225" s="92" t="inlineStr">
        <is>
          <t>Completed</t>
        </is>
      </c>
      <c r="CG225" s="93" t="inlineStr">
        <is>
          <t>-0,99%</t>
        </is>
      </c>
      <c r="CH225" s="94" t="inlineStr">
        <is>
          <t>6</t>
        </is>
      </c>
      <c r="CI225" s="95" t="inlineStr">
        <is>
          <t>-0,02%</t>
        </is>
      </c>
      <c r="CJ225" s="96" t="inlineStr">
        <is>
          <t>-1,90%</t>
        </is>
      </c>
      <c r="CK225" s="97" t="inlineStr">
        <is>
          <t>-2,02%</t>
        </is>
      </c>
      <c r="CL225" s="98" t="inlineStr">
        <is>
          <t>5</t>
        </is>
      </c>
      <c r="CM225" s="99" t="inlineStr">
        <is>
          <t>0,04%</t>
        </is>
      </c>
      <c r="CN225" s="100" t="inlineStr">
        <is>
          <t>50</t>
        </is>
      </c>
      <c r="CO225" s="101" t="inlineStr">
        <is>
          <t>-5,01%</t>
        </is>
      </c>
      <c r="CP225" s="102" t="inlineStr">
        <is>
          <t>7</t>
        </is>
      </c>
      <c r="CQ225" s="103" t="inlineStr">
        <is>
          <t>0,98%</t>
        </is>
      </c>
      <c r="CR225" s="104" t="inlineStr">
        <is>
          <t>88</t>
        </is>
      </c>
      <c r="CS225" s="105" t="inlineStr">
        <is>
          <t>0,11%</t>
        </is>
      </c>
      <c r="CT225" s="106" t="inlineStr">
        <is>
          <t>59</t>
        </is>
      </c>
      <c r="CU225" s="107" t="inlineStr">
        <is>
          <t>-0,02%</t>
        </is>
      </c>
      <c r="CV225" s="108" t="inlineStr">
        <is>
          <t>17</t>
        </is>
      </c>
      <c r="CW225" s="109" t="inlineStr">
        <is>
          <t>70,48x</t>
        </is>
      </c>
      <c r="CX225" s="110" t="inlineStr">
        <is>
          <t>97</t>
        </is>
      </c>
      <c r="CY225" s="111" t="inlineStr">
        <is>
          <t>0,53x</t>
        </is>
      </c>
      <c r="CZ225" s="112" t="inlineStr">
        <is>
          <t>0,75%</t>
        </is>
      </c>
      <c r="DA225" s="113" t="inlineStr">
        <is>
          <t>106,24x</t>
        </is>
      </c>
      <c r="DB225" s="114" t="inlineStr">
        <is>
          <t>98</t>
        </is>
      </c>
      <c r="DC225" s="115" t="inlineStr">
        <is>
          <t>34,72x</t>
        </is>
      </c>
      <c r="DD225" s="116" t="inlineStr">
        <is>
          <t>93</t>
        </is>
      </c>
      <c r="DE225" s="117" t="inlineStr">
        <is>
          <t>187,20x</t>
        </is>
      </c>
      <c r="DF225" s="118" t="inlineStr">
        <is>
          <t>97</t>
        </is>
      </c>
      <c r="DG225" s="119" t="inlineStr">
        <is>
          <t>25,28x</t>
        </is>
      </c>
      <c r="DH225" s="120" t="inlineStr">
        <is>
          <t>94</t>
        </is>
      </c>
      <c r="DI225" s="121" t="inlineStr">
        <is>
          <t>2,84x</t>
        </is>
      </c>
      <c r="DJ225" s="122" t="inlineStr">
        <is>
          <t>67</t>
        </is>
      </c>
      <c r="DK225" s="123" t="inlineStr">
        <is>
          <t>66,60x</t>
        </is>
      </c>
      <c r="DL225" s="124" t="inlineStr">
        <is>
          <t>97</t>
        </is>
      </c>
      <c r="DM225" s="125" t="inlineStr">
        <is>
          <t>118.285</t>
        </is>
      </c>
      <c r="DN225" s="126" t="inlineStr">
        <is>
          <t>-9.479</t>
        </is>
      </c>
      <c r="DO225" s="127" t="inlineStr">
        <is>
          <t>-7,42%</t>
        </is>
      </c>
      <c r="DP225" s="128" t="inlineStr">
        <is>
          <t>2.264</t>
        </is>
      </c>
      <c r="DQ225" s="129" t="inlineStr">
        <is>
          <t>5</t>
        </is>
      </c>
      <c r="DR225" s="130" t="inlineStr">
        <is>
          <t>0,22%</t>
        </is>
      </c>
      <c r="DS225" s="131" t="inlineStr">
        <is>
          <t>909</t>
        </is>
      </c>
      <c r="DT225" s="132" t="inlineStr">
        <is>
          <t>2</t>
        </is>
      </c>
      <c r="DU225" s="133" t="inlineStr">
        <is>
          <t>0,22%</t>
        </is>
      </c>
      <c r="DV225" s="134" t="inlineStr">
        <is>
          <t>22.844</t>
        </is>
      </c>
      <c r="DW225" s="135" t="inlineStr">
        <is>
          <t>-12</t>
        </is>
      </c>
      <c r="DX225" s="136" t="inlineStr">
        <is>
          <t>-0,05%</t>
        </is>
      </c>
      <c r="DY225" s="137" t="inlineStr">
        <is>
          <t>PitchBook Research</t>
        </is>
      </c>
      <c r="DZ225" s="785">
        <f>HYPERLINK("https://my.pitchbook.com?c=56391-31", "View company online")</f>
      </c>
    </row>
    <row r="226">
      <c r="A226" s="139" t="inlineStr">
        <is>
          <t>91141-75</t>
        </is>
      </c>
      <c r="B226" s="140" t="inlineStr">
        <is>
          <t>Improbable</t>
        </is>
      </c>
      <c r="C226" s="141" t="inlineStr">
        <is>
          <t>Macsco 47</t>
        </is>
      </c>
      <c r="D226" s="142" t="inlineStr">
        <is>
          <t/>
        </is>
      </c>
      <c r="E226" s="143" t="inlineStr">
        <is>
          <t>91141-75</t>
        </is>
      </c>
      <c r="F226" s="144" t="inlineStr">
        <is>
          <t>Developer of an operating system designed to build virtual gaming experiences. The company's SpatialOS computation platform helps to create simulations of the real world, enabling clients to create immersive and persistent virtual worlds for gaming, as well as defense, energy, city efficiency, health and finance sectors.</t>
        </is>
      </c>
      <c r="G226" s="145" t="inlineStr">
        <is>
          <t>Information Technology</t>
        </is>
      </c>
      <c r="H226" s="146" t="inlineStr">
        <is>
          <t>Software</t>
        </is>
      </c>
      <c r="I226" s="147" t="inlineStr">
        <is>
          <t>Entertainment Software</t>
        </is>
      </c>
      <c r="J226" s="148" t="inlineStr">
        <is>
          <t>Entertainment Software*; Other Software</t>
        </is>
      </c>
      <c r="K226" s="149" t="inlineStr">
        <is>
          <t>SaaS, Virtual Reality</t>
        </is>
      </c>
      <c r="L226" s="150" t="inlineStr">
        <is>
          <t>Venture Capital-Backed</t>
        </is>
      </c>
      <c r="M226" s="151" t="n">
        <v>503.33</v>
      </c>
      <c r="N226" s="152" t="inlineStr">
        <is>
          <t>Generating Revenue</t>
        </is>
      </c>
      <c r="O226" s="153" t="inlineStr">
        <is>
          <t>Privately Held (backing)</t>
        </is>
      </c>
      <c r="P226" s="154" t="inlineStr">
        <is>
          <t>Venture Capital</t>
        </is>
      </c>
      <c r="Q226" s="155" t="inlineStr">
        <is>
          <t>www.improbable.io</t>
        </is>
      </c>
      <c r="R226" s="156" t="n">
        <v>200.0</v>
      </c>
      <c r="S226" s="157" t="inlineStr">
        <is>
          <t/>
        </is>
      </c>
      <c r="T226" s="158" t="inlineStr">
        <is>
          <t/>
        </is>
      </c>
      <c r="U226" s="159" t="n">
        <v>2012.0</v>
      </c>
      <c r="V226" s="160" t="inlineStr">
        <is>
          <t/>
        </is>
      </c>
      <c r="W226" s="161" t="inlineStr">
        <is>
          <t/>
        </is>
      </c>
      <c r="X226" s="162" t="inlineStr">
        <is>
          <t/>
        </is>
      </c>
      <c r="Y226" s="163" t="inlineStr">
        <is>
          <t/>
        </is>
      </c>
      <c r="Z226" s="164" t="inlineStr">
        <is>
          <t/>
        </is>
      </c>
      <c r="AA226" s="165" t="n">
        <v>-11.8034</v>
      </c>
      <c r="AB226" s="166" t="inlineStr">
        <is>
          <t/>
        </is>
      </c>
      <c r="AC226" s="167" t="inlineStr">
        <is>
          <t/>
        </is>
      </c>
      <c r="AD226" s="168" t="inlineStr">
        <is>
          <t>FY 2016</t>
        </is>
      </c>
      <c r="AE226" s="169" t="inlineStr">
        <is>
          <t>96357-34P</t>
        </is>
      </c>
      <c r="AF226" s="170" t="inlineStr">
        <is>
          <t>Herman Narula</t>
        </is>
      </c>
      <c r="AG226" s="171" t="inlineStr">
        <is>
          <t>Co-Founder &amp; Chief Executive Officer</t>
        </is>
      </c>
      <c r="AH226" s="172" t="inlineStr">
        <is>
          <t>herman@improbable.io</t>
        </is>
      </c>
      <c r="AI226" s="173" t="inlineStr">
        <is>
          <t/>
        </is>
      </c>
      <c r="AJ226" s="174" t="inlineStr">
        <is>
          <t>London, United Kingdom</t>
        </is>
      </c>
      <c r="AK226" s="175" t="inlineStr">
        <is>
          <t>30 Farringdon Road</t>
        </is>
      </c>
      <c r="AL226" s="176" t="inlineStr">
        <is>
          <t/>
        </is>
      </c>
      <c r="AM226" s="177" t="inlineStr">
        <is>
          <t>London</t>
        </is>
      </c>
      <c r="AN226" s="178" t="inlineStr">
        <is>
          <t>England</t>
        </is>
      </c>
      <c r="AO226" s="179" t="inlineStr">
        <is>
          <t>EC1M 3HE</t>
        </is>
      </c>
      <c r="AP226" s="180" t="inlineStr">
        <is>
          <t>United Kingdom</t>
        </is>
      </c>
      <c r="AQ226" s="181" t="inlineStr">
        <is>
          <t/>
        </is>
      </c>
      <c r="AR226" s="182" t="inlineStr">
        <is>
          <t/>
        </is>
      </c>
      <c r="AS226" s="183" t="inlineStr">
        <is>
          <t/>
        </is>
      </c>
      <c r="AT226" s="184" t="inlineStr">
        <is>
          <t>Europe</t>
        </is>
      </c>
      <c r="AU226" s="185" t="inlineStr">
        <is>
          <t>Western Europe</t>
        </is>
      </c>
      <c r="AV226" s="186" t="inlineStr">
        <is>
          <t>The company raised $502 million of Series B venture funding in a deal led by SoftBank Group on May 11, 2017, putting the company's pre-money valuation at $498 million.Andreessen Horowitz, Temasek Holdings and Horizons Ventures also participated in the round. The funding will be used to continue developing its technology and to recruit more people for its San Francisco office and its London HQ where it currently employs 200 people.</t>
        </is>
      </c>
      <c r="AW226" s="187" t="inlineStr">
        <is>
          <t>Amadeus Capital Partners, Andreessen Horowitz, Conversion Capital, Horizon Ventures, Horizons Ventures, LocalGlobe, SoftBank Capital, Taavet Hinrikus, Temasek Holdings</t>
        </is>
      </c>
      <c r="AX226" s="188" t="n">
        <v>9.0</v>
      </c>
      <c r="AY226" s="189" t="inlineStr">
        <is>
          <t/>
        </is>
      </c>
      <c r="AZ226" s="190" t="inlineStr">
        <is>
          <t/>
        </is>
      </c>
      <c r="BA226" s="191" t="inlineStr">
        <is>
          <t/>
        </is>
      </c>
      <c r="BB226" s="192" t="inlineStr">
        <is>
          <t>Amadeus Capital Partners (www.amadeuscapital.com), Andreessen Horowitz (www.a16z.com), Conversion Capital (www.conversioncapital.com), Horizon Ventures (www.horizonvc.com), Horizons Ventures (www.horizonsventures.com), LocalGlobe (www.localglobe.vc), SoftBank Capital (www.softbankvc.com), Temasek Holdings (www.temasek.com.sg)</t>
        </is>
      </c>
      <c r="BC226" s="193" t="inlineStr">
        <is>
          <t/>
        </is>
      </c>
      <c r="BD226" s="194" t="inlineStr">
        <is>
          <t/>
        </is>
      </c>
      <c r="BE226" s="195" t="inlineStr">
        <is>
          <t>Upscale UK (Consulting), Wilson Sonsini Goodrich &amp; Rosati (Legal Advisor), Macfarlanes (Legal Advisor), Renaissance Leadership (Placement Agent)</t>
        </is>
      </c>
      <c r="BF226" s="196" t="inlineStr">
        <is>
          <t>Dechert (Legal Advisor), Andrews Kurth Kenyon (Legal Advisor), Wilson Sonsini Goodrich &amp; Rosati (Legal Advisor), Macfarlanes (Legal Advisor)</t>
        </is>
      </c>
      <c r="BG226" s="197" t="n">
        <v>42410.0</v>
      </c>
      <c r="BH226" s="198" t="n">
        <v>1.68</v>
      </c>
      <c r="BI226" s="199" t="inlineStr">
        <is>
          <t>Actual</t>
        </is>
      </c>
      <c r="BJ226" s="200" t="inlineStr">
        <is>
          <t/>
        </is>
      </c>
      <c r="BK226" s="201" t="inlineStr">
        <is>
          <t/>
        </is>
      </c>
      <c r="BL226" s="202" t="inlineStr">
        <is>
          <t>Early Stage VC</t>
        </is>
      </c>
      <c r="BM226" s="203" t="inlineStr">
        <is>
          <t/>
        </is>
      </c>
      <c r="BN226" s="204" t="inlineStr">
        <is>
          <t/>
        </is>
      </c>
      <c r="BO226" s="205" t="inlineStr">
        <is>
          <t>Venture Capital</t>
        </is>
      </c>
      <c r="BP226" s="206" t="inlineStr">
        <is>
          <t/>
        </is>
      </c>
      <c r="BQ226" s="207" t="inlineStr">
        <is>
          <t/>
        </is>
      </c>
      <c r="BR226" s="208" t="inlineStr">
        <is>
          <t/>
        </is>
      </c>
      <c r="BS226" s="209" t="inlineStr">
        <is>
          <t>Completed</t>
        </is>
      </c>
      <c r="BT226" s="210" t="n">
        <v>42866.0</v>
      </c>
      <c r="BU226" s="211" t="n">
        <v>454.53</v>
      </c>
      <c r="BV226" s="212" t="inlineStr">
        <is>
          <t>Actual</t>
        </is>
      </c>
      <c r="BW226" s="213" t="n">
        <v>941.65</v>
      </c>
      <c r="BX226" s="214" t="inlineStr">
        <is>
          <t>Estimated</t>
        </is>
      </c>
      <c r="BY226" s="215" t="inlineStr">
        <is>
          <t>Early Stage VC</t>
        </is>
      </c>
      <c r="BZ226" s="216" t="inlineStr">
        <is>
          <t>Series B</t>
        </is>
      </c>
      <c r="CA226" s="217" t="inlineStr">
        <is>
          <t/>
        </is>
      </c>
      <c r="CB226" s="218" t="inlineStr">
        <is>
          <t>Venture Capital</t>
        </is>
      </c>
      <c r="CC226" s="219" t="inlineStr">
        <is>
          <t/>
        </is>
      </c>
      <c r="CD226" s="220" t="inlineStr">
        <is>
          <t/>
        </is>
      </c>
      <c r="CE226" s="221" t="inlineStr">
        <is>
          <t/>
        </is>
      </c>
      <c r="CF226" s="222" t="inlineStr">
        <is>
          <t>Completed</t>
        </is>
      </c>
      <c r="CG226" s="223" t="inlineStr">
        <is>
          <t>-0,58%</t>
        </is>
      </c>
      <c r="CH226" s="224" t="inlineStr">
        <is>
          <t>8</t>
        </is>
      </c>
      <c r="CI226" s="225" t="inlineStr">
        <is>
          <t>-0,39%</t>
        </is>
      </c>
      <c r="CJ226" s="226" t="inlineStr">
        <is>
          <t>-209,35%</t>
        </is>
      </c>
      <c r="CK226" s="227" t="inlineStr">
        <is>
          <t>-1,64%</t>
        </is>
      </c>
      <c r="CL226" s="228" t="inlineStr">
        <is>
          <t>6</t>
        </is>
      </c>
      <c r="CM226" s="229" t="inlineStr">
        <is>
          <t>0,47%</t>
        </is>
      </c>
      <c r="CN226" s="230" t="inlineStr">
        <is>
          <t>89</t>
        </is>
      </c>
      <c r="CO226" s="231" t="inlineStr">
        <is>
          <t>-5,02%</t>
        </is>
      </c>
      <c r="CP226" s="232" t="inlineStr">
        <is>
          <t>7</t>
        </is>
      </c>
      <c r="CQ226" s="233" t="inlineStr">
        <is>
          <t>1,74%</t>
        </is>
      </c>
      <c r="CR226" s="234" t="inlineStr">
        <is>
          <t>91</t>
        </is>
      </c>
      <c r="CS226" s="235" t="inlineStr">
        <is>
          <t>0,41%</t>
        </is>
      </c>
      <c r="CT226" s="236" t="inlineStr">
        <is>
          <t>84</t>
        </is>
      </c>
      <c r="CU226" s="237" t="inlineStr">
        <is>
          <t>0,54%</t>
        </is>
      </c>
      <c r="CV226" s="238" t="inlineStr">
        <is>
          <t>92</t>
        </is>
      </c>
      <c r="CW226" s="239" t="inlineStr">
        <is>
          <t>15,41x</t>
        </is>
      </c>
      <c r="CX226" s="240" t="inlineStr">
        <is>
          <t>90</t>
        </is>
      </c>
      <c r="CY226" s="241" t="inlineStr">
        <is>
          <t>-0,03x</t>
        </is>
      </c>
      <c r="CZ226" s="242" t="inlineStr">
        <is>
          <t>-0,20%</t>
        </is>
      </c>
      <c r="DA226" s="243" t="inlineStr">
        <is>
          <t>20,03x</t>
        </is>
      </c>
      <c r="DB226" s="244" t="inlineStr">
        <is>
          <t>92</t>
        </is>
      </c>
      <c r="DC226" s="245" t="inlineStr">
        <is>
          <t>10,79x</t>
        </is>
      </c>
      <c r="DD226" s="246" t="inlineStr">
        <is>
          <t>85</t>
        </is>
      </c>
      <c r="DE226" s="247" t="inlineStr">
        <is>
          <t>37,20x</t>
        </is>
      </c>
      <c r="DF226" s="248" t="inlineStr">
        <is>
          <t>92</t>
        </is>
      </c>
      <c r="DG226" s="249" t="inlineStr">
        <is>
          <t>2,86x</t>
        </is>
      </c>
      <c r="DH226" s="250" t="inlineStr">
        <is>
          <t>70</t>
        </is>
      </c>
      <c r="DI226" s="251" t="inlineStr">
        <is>
          <t>3,31x</t>
        </is>
      </c>
      <c r="DJ226" s="252" t="inlineStr">
        <is>
          <t>69</t>
        </is>
      </c>
      <c r="DK226" s="253" t="inlineStr">
        <is>
          <t>18,27x</t>
        </is>
      </c>
      <c r="DL226" s="254" t="inlineStr">
        <is>
          <t>91</t>
        </is>
      </c>
      <c r="DM226" s="255" t="inlineStr">
        <is>
          <t>23.949</t>
        </is>
      </c>
      <c r="DN226" s="256" t="inlineStr">
        <is>
          <t>-3.215</t>
        </is>
      </c>
      <c r="DO226" s="257" t="inlineStr">
        <is>
          <t>-11,84%</t>
        </is>
      </c>
      <c r="DP226" s="258" t="inlineStr">
        <is>
          <t>2.641</t>
        </is>
      </c>
      <c r="DQ226" s="259" t="inlineStr">
        <is>
          <t>7</t>
        </is>
      </c>
      <c r="DR226" s="260" t="inlineStr">
        <is>
          <t>0,27%</t>
        </is>
      </c>
      <c r="DS226" s="261" t="inlineStr">
        <is>
          <t>113</t>
        </is>
      </c>
      <c r="DT226" s="262" t="inlineStr">
        <is>
          <t>-15</t>
        </is>
      </c>
      <c r="DU226" s="263" t="inlineStr">
        <is>
          <t>-11,72%</t>
        </is>
      </c>
      <c r="DV226" s="264" t="inlineStr">
        <is>
          <t>6.256</t>
        </is>
      </c>
      <c r="DW226" s="265" t="inlineStr">
        <is>
          <t>16</t>
        </is>
      </c>
      <c r="DX226" s="266" t="inlineStr">
        <is>
          <t>0,26%</t>
        </is>
      </c>
      <c r="DY226" s="267" t="inlineStr">
        <is>
          <t>PitchBook Research</t>
        </is>
      </c>
      <c r="DZ226" s="786">
        <f>HYPERLINK("https://my.pitchbook.com?c=91141-75", "View company online")</f>
      </c>
    </row>
    <row r="227">
      <c r="A227" s="9" t="inlineStr">
        <is>
          <t>169117-30</t>
        </is>
      </c>
      <c r="B227" s="10" t="inlineStr">
        <is>
          <t>Indigo Diabetes</t>
        </is>
      </c>
      <c r="C227" s="11" t="inlineStr">
        <is>
          <t/>
        </is>
      </c>
      <c r="D227" s="12" t="inlineStr">
        <is>
          <t>Indigo</t>
        </is>
      </c>
      <c r="E227" s="13" t="inlineStr">
        <is>
          <t>169117-30</t>
        </is>
      </c>
      <c r="F227" s="14" t="inlineStr">
        <is>
          <t>Developer of sensor designed to assess blood-sugar levels. The company is the developer of a device that uses photonics technology to assess glucose levels in the blood, without requiring lancet blood-sampling.</t>
        </is>
      </c>
      <c r="G227" s="15" t="inlineStr">
        <is>
          <t>Healthcare</t>
        </is>
      </c>
      <c r="H227" s="16" t="inlineStr">
        <is>
          <t>Healthcare Devices and Supplies</t>
        </is>
      </c>
      <c r="I227" s="17" t="inlineStr">
        <is>
          <t>Monitoring Equipment</t>
        </is>
      </c>
      <c r="J227" s="18" t="inlineStr">
        <is>
          <t>Monitoring Equipment*</t>
        </is>
      </c>
      <c r="K227" s="19" t="inlineStr">
        <is>
          <t>Life Sciences</t>
        </is>
      </c>
      <c r="L227" s="20" t="inlineStr">
        <is>
          <t>Venture Capital-Backed</t>
        </is>
      </c>
      <c r="M227" s="21" t="n">
        <v>7.0</v>
      </c>
      <c r="N227" s="22" t="inlineStr">
        <is>
          <t>Startup</t>
        </is>
      </c>
      <c r="O227" s="23" t="inlineStr">
        <is>
          <t>Privately Held (backing)</t>
        </is>
      </c>
      <c r="P227" s="24" t="inlineStr">
        <is>
          <t>Venture Capital</t>
        </is>
      </c>
      <c r="Q227" s="25" t="inlineStr">
        <is>
          <t/>
        </is>
      </c>
      <c r="R227" s="26" t="inlineStr">
        <is>
          <t/>
        </is>
      </c>
      <c r="S227" s="27" t="inlineStr">
        <is>
          <t/>
        </is>
      </c>
      <c r="T227" s="28" t="inlineStr">
        <is>
          <t/>
        </is>
      </c>
      <c r="U227" s="29" t="n">
        <v>2016.0</v>
      </c>
      <c r="V227" s="30" t="inlineStr">
        <is>
          <t/>
        </is>
      </c>
      <c r="W227" s="31" t="inlineStr">
        <is>
          <t/>
        </is>
      </c>
      <c r="X227" s="32" t="inlineStr">
        <is>
          <t/>
        </is>
      </c>
      <c r="Y227" s="33" t="inlineStr">
        <is>
          <t/>
        </is>
      </c>
      <c r="Z227" s="34" t="inlineStr">
        <is>
          <t/>
        </is>
      </c>
      <c r="AA227" s="35" t="inlineStr">
        <is>
          <t/>
        </is>
      </c>
      <c r="AB227" s="36" t="inlineStr">
        <is>
          <t/>
        </is>
      </c>
      <c r="AC227" s="37" t="inlineStr">
        <is>
          <t/>
        </is>
      </c>
      <c r="AD227" s="38" t="inlineStr">
        <is>
          <t/>
        </is>
      </c>
      <c r="AE227" s="39" t="inlineStr">
        <is>
          <t>152816-05P</t>
        </is>
      </c>
      <c r="AF227" s="40" t="inlineStr">
        <is>
          <t>Danaë Delbeke</t>
        </is>
      </c>
      <c r="AG227" s="41" t="inlineStr">
        <is>
          <t>Founder &amp; Managing Director</t>
        </is>
      </c>
      <c r="AH227" s="42" t="inlineStr">
        <is>
          <t/>
        </is>
      </c>
      <c r="AI227" s="43" t="inlineStr">
        <is>
          <t/>
        </is>
      </c>
      <c r="AJ227" s="44" t="inlineStr">
        <is>
          <t>Ghent, Belgium</t>
        </is>
      </c>
      <c r="AK227" s="45" t="inlineStr">
        <is>
          <t>Frederik Burvenichstraat 236</t>
        </is>
      </c>
      <c r="AL227" s="46" t="inlineStr">
        <is>
          <t/>
        </is>
      </c>
      <c r="AM227" s="47" t="inlineStr">
        <is>
          <t>Ghent</t>
        </is>
      </c>
      <c r="AN227" s="48" t="inlineStr">
        <is>
          <t/>
        </is>
      </c>
      <c r="AO227" s="49" t="inlineStr">
        <is>
          <t>9050</t>
        </is>
      </c>
      <c r="AP227" s="50" t="inlineStr">
        <is>
          <t>Belgium</t>
        </is>
      </c>
      <c r="AQ227" s="51" t="inlineStr">
        <is>
          <t/>
        </is>
      </c>
      <c r="AR227" s="52" t="inlineStr">
        <is>
          <t/>
        </is>
      </c>
      <c r="AS227" s="53" t="inlineStr">
        <is>
          <t/>
        </is>
      </c>
      <c r="AT227" s="54" t="inlineStr">
        <is>
          <t>Europe</t>
        </is>
      </c>
      <c r="AU227" s="55" t="inlineStr">
        <is>
          <t>Western Europe</t>
        </is>
      </c>
      <c r="AV227" s="56" t="inlineStr">
        <is>
          <t>The company raised EUR 7 million of Series A venture funding in a deal led by Thuja Capital and Participatiemaatschappij Vlaanderen on December 20, 2016. Sensinnovat, Parana Management, Qbic Fund, Fidimec, SOFI, Manuardeo and Capricorn Venture Partners also participated in this round. This financing success will fuel the company's development towards measuring and managing blood glucose levels without the need for finger pricks.</t>
        </is>
      </c>
      <c r="AW227" s="57" t="inlineStr">
        <is>
          <t>Capricorn Venture Partners, Fidimec, Manuardeo, Parana Management, ParticipatieMaatschappij Vlaanderen, Qbic Fund, Sensinnovat, SOFI (Belgium), Thuja Capital Management</t>
        </is>
      </c>
      <c r="AX227" s="58" t="n">
        <v>9.0</v>
      </c>
      <c r="AY227" s="59" t="inlineStr">
        <is>
          <t/>
        </is>
      </c>
      <c r="AZ227" s="60" t="inlineStr">
        <is>
          <t/>
        </is>
      </c>
      <c r="BA227" s="61" t="inlineStr">
        <is>
          <t/>
        </is>
      </c>
      <c r="BB227" s="62" t="inlineStr">
        <is>
          <t>Capricorn Venture Partners (www.capricorn.be), Fidimec (www.fidimec.com), ParticipatieMaatschappij Vlaanderen (www.pmv.eu), Qbic Fund (www.qbic.be), Thuja Capital Management (www.thujacapital.com)</t>
        </is>
      </c>
      <c r="BC227" s="63" t="inlineStr">
        <is>
          <t/>
        </is>
      </c>
      <c r="BD227" s="64" t="inlineStr">
        <is>
          <t/>
        </is>
      </c>
      <c r="BE227" s="65" t="inlineStr">
        <is>
          <t/>
        </is>
      </c>
      <c r="BF227" s="66" t="inlineStr">
        <is>
          <t/>
        </is>
      </c>
      <c r="BG227" s="67" t="n">
        <v>42724.0</v>
      </c>
      <c r="BH227" s="68" t="n">
        <v>7.0</v>
      </c>
      <c r="BI227" s="69" t="inlineStr">
        <is>
          <t>Actual</t>
        </is>
      </c>
      <c r="BJ227" s="70" t="inlineStr">
        <is>
          <t/>
        </is>
      </c>
      <c r="BK227" s="71" t="inlineStr">
        <is>
          <t/>
        </is>
      </c>
      <c r="BL227" s="72" t="inlineStr">
        <is>
          <t>Early Stage VC</t>
        </is>
      </c>
      <c r="BM227" s="73" t="inlineStr">
        <is>
          <t>Series A</t>
        </is>
      </c>
      <c r="BN227" s="74" t="inlineStr">
        <is>
          <t/>
        </is>
      </c>
      <c r="BO227" s="75" t="inlineStr">
        <is>
          <t>Venture Capital</t>
        </is>
      </c>
      <c r="BP227" s="76" t="inlineStr">
        <is>
          <t/>
        </is>
      </c>
      <c r="BQ227" s="77" t="inlineStr">
        <is>
          <t/>
        </is>
      </c>
      <c r="BR227" s="78" t="inlineStr">
        <is>
          <t/>
        </is>
      </c>
      <c r="BS227" s="79" t="inlineStr">
        <is>
          <t>Completed</t>
        </is>
      </c>
      <c r="BT227" s="80" t="n">
        <v>42724.0</v>
      </c>
      <c r="BU227" s="81" t="n">
        <v>7.0</v>
      </c>
      <c r="BV227" s="82" t="inlineStr">
        <is>
          <t>Actual</t>
        </is>
      </c>
      <c r="BW227" s="83" t="inlineStr">
        <is>
          <t/>
        </is>
      </c>
      <c r="BX227" s="84" t="inlineStr">
        <is>
          <t/>
        </is>
      </c>
      <c r="BY227" s="85" t="inlineStr">
        <is>
          <t>Early Stage VC</t>
        </is>
      </c>
      <c r="BZ227" s="86" t="inlineStr">
        <is>
          <t>Series A</t>
        </is>
      </c>
      <c r="CA227" s="87" t="inlineStr">
        <is>
          <t/>
        </is>
      </c>
      <c r="CB227" s="88" t="inlineStr">
        <is>
          <t>Venture Capital</t>
        </is>
      </c>
      <c r="CC227" s="89" t="inlineStr">
        <is>
          <t/>
        </is>
      </c>
      <c r="CD227" s="90" t="inlineStr">
        <is>
          <t/>
        </is>
      </c>
      <c r="CE227" s="91" t="inlineStr">
        <is>
          <t/>
        </is>
      </c>
      <c r="CF227" s="92" t="inlineStr">
        <is>
          <t>Completed</t>
        </is>
      </c>
      <c r="CG227" s="93" t="inlineStr">
        <is>
          <t/>
        </is>
      </c>
      <c r="CH227" s="94" t="inlineStr">
        <is>
          <t/>
        </is>
      </c>
      <c r="CI227" s="95" t="inlineStr">
        <is>
          <t/>
        </is>
      </c>
      <c r="CJ227" s="96" t="inlineStr">
        <is>
          <t/>
        </is>
      </c>
      <c r="CK227" s="97" t="inlineStr">
        <is>
          <t/>
        </is>
      </c>
      <c r="CL227" s="98" t="inlineStr">
        <is>
          <t/>
        </is>
      </c>
      <c r="CM227" s="99" t="inlineStr">
        <is>
          <t/>
        </is>
      </c>
      <c r="CN227" s="100" t="inlineStr">
        <is>
          <t/>
        </is>
      </c>
      <c r="CO227" s="101" t="inlineStr">
        <is>
          <t/>
        </is>
      </c>
      <c r="CP227" s="102" t="inlineStr">
        <is>
          <t/>
        </is>
      </c>
      <c r="CQ227" s="103" t="inlineStr">
        <is>
          <t/>
        </is>
      </c>
      <c r="CR227" s="104" t="inlineStr">
        <is>
          <t/>
        </is>
      </c>
      <c r="CS227" s="105" t="inlineStr">
        <is>
          <t/>
        </is>
      </c>
      <c r="CT227" s="106" t="inlineStr">
        <is>
          <t/>
        </is>
      </c>
      <c r="CU227" s="107" t="inlineStr">
        <is>
          <t/>
        </is>
      </c>
      <c r="CV227" s="108" t="inlineStr">
        <is>
          <t/>
        </is>
      </c>
      <c r="CW227" s="109" t="inlineStr">
        <is>
          <t/>
        </is>
      </c>
      <c r="CX227" s="110" t="inlineStr">
        <is>
          <t/>
        </is>
      </c>
      <c r="CY227" s="111" t="inlineStr">
        <is>
          <t/>
        </is>
      </c>
      <c r="CZ227" s="112" t="inlineStr">
        <is>
          <t/>
        </is>
      </c>
      <c r="DA227" s="113" t="inlineStr">
        <is>
          <t/>
        </is>
      </c>
      <c r="DB227" s="114" t="inlineStr">
        <is>
          <t/>
        </is>
      </c>
      <c r="DC227" s="115" t="inlineStr">
        <is>
          <t/>
        </is>
      </c>
      <c r="DD227" s="116" t="inlineStr">
        <is>
          <t/>
        </is>
      </c>
      <c r="DE227" s="117" t="inlineStr">
        <is>
          <t/>
        </is>
      </c>
      <c r="DF227" s="118" t="inlineStr">
        <is>
          <t/>
        </is>
      </c>
      <c r="DG227" s="119" t="inlineStr">
        <is>
          <t/>
        </is>
      </c>
      <c r="DH227" s="120" t="inlineStr">
        <is>
          <t/>
        </is>
      </c>
      <c r="DI227" s="121" t="inlineStr">
        <is>
          <t/>
        </is>
      </c>
      <c r="DJ227" s="122" t="inlineStr">
        <is>
          <t/>
        </is>
      </c>
      <c r="DK227" s="123" t="inlineStr">
        <is>
          <t/>
        </is>
      </c>
      <c r="DL227" s="124" t="inlineStr">
        <is>
          <t/>
        </is>
      </c>
      <c r="DM227" s="125" t="inlineStr">
        <is>
          <t/>
        </is>
      </c>
      <c r="DN227" s="126" t="inlineStr">
        <is>
          <t/>
        </is>
      </c>
      <c r="DO227" s="127" t="inlineStr">
        <is>
          <t/>
        </is>
      </c>
      <c r="DP227" s="128" t="inlineStr">
        <is>
          <t/>
        </is>
      </c>
      <c r="DQ227" s="129" t="inlineStr">
        <is>
          <t/>
        </is>
      </c>
      <c r="DR227" s="130" t="inlineStr">
        <is>
          <t/>
        </is>
      </c>
      <c r="DS227" s="131" t="inlineStr">
        <is>
          <t/>
        </is>
      </c>
      <c r="DT227" s="132" t="inlineStr">
        <is>
          <t/>
        </is>
      </c>
      <c r="DU227" s="133" t="inlineStr">
        <is>
          <t/>
        </is>
      </c>
      <c r="DV227" s="134" t="inlineStr">
        <is>
          <t/>
        </is>
      </c>
      <c r="DW227" s="135" t="inlineStr">
        <is>
          <t/>
        </is>
      </c>
      <c r="DX227" s="136" t="inlineStr">
        <is>
          <t/>
        </is>
      </c>
      <c r="DY227" s="137" t="inlineStr">
        <is>
          <t>PitchBook Research</t>
        </is>
      </c>
      <c r="DZ227" s="785">
        <f>HYPERLINK("https://my.pitchbook.com?c=169117-30", "View company online")</f>
      </c>
    </row>
    <row r="228">
      <c r="A228" s="139" t="inlineStr">
        <is>
          <t>56471-50</t>
        </is>
      </c>
      <c r="B228" s="140" t="inlineStr">
        <is>
          <t>IndoorAtlas</t>
        </is>
      </c>
      <c r="C228" s="141" t="inlineStr">
        <is>
          <t/>
        </is>
      </c>
      <c r="D228" s="142" t="inlineStr">
        <is>
          <t/>
        </is>
      </c>
      <c r="E228" s="143" t="inlineStr">
        <is>
          <t>56471-50</t>
        </is>
      </c>
      <c r="F228" s="144" t="inlineStr">
        <is>
          <t>Developer of a SaaS based indoor positioning system (IPS) designed to create a seamless indoor world that is discoverable for people and businesses around the world. The company's indoor positioning system (IPS) locates people or objects inside a building using radio signals, geomagnetic fields, inertial sensor data, barometric pressure, camera data or other sensory information collected by a smartphone device or tablet, enabling application developer to build location-based services without the need to purchase, install and maintain infrastructures. It also supports both Android and iOS customers to utilize the provided geo-information to build indoor location-based services, such as proximity advertising, search and way-finding, within their application.</t>
        </is>
      </c>
      <c r="G228" s="145" t="inlineStr">
        <is>
          <t>Information Technology</t>
        </is>
      </c>
      <c r="H228" s="146" t="inlineStr">
        <is>
          <t>Software</t>
        </is>
      </c>
      <c r="I228" s="147" t="inlineStr">
        <is>
          <t>Software Development Applications</t>
        </is>
      </c>
      <c r="J228" s="148" t="inlineStr">
        <is>
          <t>Software Development Applications*</t>
        </is>
      </c>
      <c r="K228" s="149" t="inlineStr">
        <is>
          <t>Mobile, SaaS</t>
        </is>
      </c>
      <c r="L228" s="150" t="inlineStr">
        <is>
          <t>Venture Capital-Backed</t>
        </is>
      </c>
      <c r="M228" s="151" t="n">
        <v>14.72</v>
      </c>
      <c r="N228" s="152" t="inlineStr">
        <is>
          <t>Generating Revenue</t>
        </is>
      </c>
      <c r="O228" s="153" t="inlineStr">
        <is>
          <t>Privately Held (backing)</t>
        </is>
      </c>
      <c r="P228" s="154" t="inlineStr">
        <is>
          <t>Venture Capital</t>
        </is>
      </c>
      <c r="Q228" s="155" t="inlineStr">
        <is>
          <t>www.indooratlas.com</t>
        </is>
      </c>
      <c r="R228" s="156" t="n">
        <v>52.0</v>
      </c>
      <c r="S228" s="157" t="inlineStr">
        <is>
          <t/>
        </is>
      </c>
      <c r="T228" s="158" t="inlineStr">
        <is>
          <t/>
        </is>
      </c>
      <c r="U228" s="159" t="n">
        <v>2012.0</v>
      </c>
      <c r="V228" s="160" t="inlineStr">
        <is>
          <t/>
        </is>
      </c>
      <c r="W228" s="161" t="inlineStr">
        <is>
          <t/>
        </is>
      </c>
      <c r="X228" s="162" t="inlineStr">
        <is>
          <t/>
        </is>
      </c>
      <c r="Y228" s="163" t="n">
        <v>1.79284</v>
      </c>
      <c r="Z228" s="164" t="inlineStr">
        <is>
          <t/>
        </is>
      </c>
      <c r="AA228" s="165" t="n">
        <v>-2.50428</v>
      </c>
      <c r="AB228" s="166" t="inlineStr">
        <is>
          <t/>
        </is>
      </c>
      <c r="AC228" s="167" t="n">
        <v>-2.23867</v>
      </c>
      <c r="AD228" s="168" t="inlineStr">
        <is>
          <t>FY 2016</t>
        </is>
      </c>
      <c r="AE228" s="169" t="inlineStr">
        <is>
          <t>68246-29P</t>
        </is>
      </c>
      <c r="AF228" s="170" t="inlineStr">
        <is>
          <t>Erik Piehl</t>
        </is>
      </c>
      <c r="AG228" s="171" t="inlineStr">
        <is>
          <t>Chief Executive Officer</t>
        </is>
      </c>
      <c r="AH228" s="172" t="inlineStr">
        <is>
          <t>erik.piehl@indooratlas.com</t>
        </is>
      </c>
      <c r="AI228" s="173" t="inlineStr">
        <is>
          <t/>
        </is>
      </c>
      <c r="AJ228" s="174" t="inlineStr">
        <is>
          <t>Oulu, Finland</t>
        </is>
      </c>
      <c r="AK228" s="175" t="inlineStr">
        <is>
          <t>Elektroniikkatie 8</t>
        </is>
      </c>
      <c r="AL228" s="176" t="inlineStr">
        <is>
          <t/>
        </is>
      </c>
      <c r="AM228" s="177" t="inlineStr">
        <is>
          <t>Oulu</t>
        </is>
      </c>
      <c r="AN228" s="178" t="inlineStr">
        <is>
          <t/>
        </is>
      </c>
      <c r="AO228" s="179" t="inlineStr">
        <is>
          <t>90590</t>
        </is>
      </c>
      <c r="AP228" s="180" t="inlineStr">
        <is>
          <t>Finland</t>
        </is>
      </c>
      <c r="AQ228" s="181" t="inlineStr">
        <is>
          <t/>
        </is>
      </c>
      <c r="AR228" s="182" t="inlineStr">
        <is>
          <t/>
        </is>
      </c>
      <c r="AS228" s="183" t="inlineStr">
        <is>
          <t>contact@indooratlas.com</t>
        </is>
      </c>
      <c r="AT228" s="184" t="inlineStr">
        <is>
          <t>Europe</t>
        </is>
      </c>
      <c r="AU228" s="185" t="inlineStr">
        <is>
          <t>Northern Europe</t>
        </is>
      </c>
      <c r="AV228" s="186" t="inlineStr">
        <is>
          <t>The company raised EUR 3.6 million of Series B venture funding in a deal led by Yahoo Japan on August 22, 2017. Takoa Invest and Innovestor Ventures also participated in the round. The company intends to use the funds to advance and further commercialize their sensor fusion positioning technology.</t>
        </is>
      </c>
      <c r="AW228" s="187" t="inlineStr">
        <is>
          <t>Baidu, Finnvera, Horizon 2020, Innovestor Ventures, Lifeline Ventures, Mobility Ventures, Pivot5, Plug and Play Tech Center, SK Planet, Takoa Invest, Tekes, Yahoo Japan</t>
        </is>
      </c>
      <c r="AX228" s="188" t="n">
        <v>12.0</v>
      </c>
      <c r="AY228" s="189" t="inlineStr">
        <is>
          <t/>
        </is>
      </c>
      <c r="AZ228" s="190" t="inlineStr">
        <is>
          <t/>
        </is>
      </c>
      <c r="BA228" s="191" t="inlineStr">
        <is>
          <t/>
        </is>
      </c>
      <c r="BB228" s="192" t="inlineStr">
        <is>
          <t>Baidu (www.baidu.com), Finnvera (www.finnvera.fi), Innovestor Ventures (www.innovestorventures.com), Lifeline Ventures (www.lifelineventures.com), Mobility Ventures (www.mobilityventures.com), Pivot5 (www.pivot5.vc), Plug and Play Tech Center (www.plugandplaytechcenter.com), SK Planet (www.skplanet.com), Takoa Invest (takoa.fi), Tekes (www.tekes.fi), Yahoo Japan (www.yahoo.co.jp)</t>
        </is>
      </c>
      <c r="BC228" s="193" t="inlineStr">
        <is>
          <t/>
        </is>
      </c>
      <c r="BD228" s="194" t="inlineStr">
        <is>
          <t/>
        </is>
      </c>
      <c r="BE228" s="195" t="inlineStr">
        <is>
          <t>Borenius Attorneys (Legal Advisor), Escalon (Accounting)</t>
        </is>
      </c>
      <c r="BF228" s="196" t="inlineStr">
        <is>
          <t>Borenius Attorneys (Legal Advisor)</t>
        </is>
      </c>
      <c r="BG228" s="197" t="n">
        <v>41366.0</v>
      </c>
      <c r="BH228" s="198" t="n">
        <v>1.54</v>
      </c>
      <c r="BI228" s="199" t="inlineStr">
        <is>
          <t>Actual</t>
        </is>
      </c>
      <c r="BJ228" s="200" t="inlineStr">
        <is>
          <t/>
        </is>
      </c>
      <c r="BK228" s="201" t="inlineStr">
        <is>
          <t/>
        </is>
      </c>
      <c r="BL228" s="202" t="inlineStr">
        <is>
          <t>Seed Round</t>
        </is>
      </c>
      <c r="BM228" s="203" t="inlineStr">
        <is>
          <t>Seed</t>
        </is>
      </c>
      <c r="BN228" s="204" t="inlineStr">
        <is>
          <t/>
        </is>
      </c>
      <c r="BO228" s="205" t="inlineStr">
        <is>
          <t>Venture Capital</t>
        </is>
      </c>
      <c r="BP228" s="206" t="inlineStr">
        <is>
          <t/>
        </is>
      </c>
      <c r="BQ228" s="207" t="inlineStr">
        <is>
          <t/>
        </is>
      </c>
      <c r="BR228" s="208" t="inlineStr">
        <is>
          <t/>
        </is>
      </c>
      <c r="BS228" s="209" t="inlineStr">
        <is>
          <t>Completed</t>
        </is>
      </c>
      <c r="BT228" s="210" t="n">
        <v>42969.0</v>
      </c>
      <c r="BU228" s="211" t="n">
        <v>3.6</v>
      </c>
      <c r="BV228" s="212" t="inlineStr">
        <is>
          <t>Actual</t>
        </is>
      </c>
      <c r="BW228" s="213" t="inlineStr">
        <is>
          <t/>
        </is>
      </c>
      <c r="BX228" s="214" t="inlineStr">
        <is>
          <t/>
        </is>
      </c>
      <c r="BY228" s="215" t="inlineStr">
        <is>
          <t>Early Stage VC</t>
        </is>
      </c>
      <c r="BZ228" s="216" t="inlineStr">
        <is>
          <t>Series B</t>
        </is>
      </c>
      <c r="CA228" s="217" t="inlineStr">
        <is>
          <t/>
        </is>
      </c>
      <c r="CB228" s="218" t="inlineStr">
        <is>
          <t>Venture Capital</t>
        </is>
      </c>
      <c r="CC228" s="219" t="inlineStr">
        <is>
          <t/>
        </is>
      </c>
      <c r="CD228" s="220" t="inlineStr">
        <is>
          <t/>
        </is>
      </c>
      <c r="CE228" s="221" t="inlineStr">
        <is>
          <t/>
        </is>
      </c>
      <c r="CF228" s="222" t="inlineStr">
        <is>
          <t>Completed</t>
        </is>
      </c>
      <c r="CG228" s="223" t="inlineStr">
        <is>
          <t>1,80%</t>
        </is>
      </c>
      <c r="CH228" s="224" t="inlineStr">
        <is>
          <t>93</t>
        </is>
      </c>
      <c r="CI228" s="225" t="inlineStr">
        <is>
          <t>0,00%</t>
        </is>
      </c>
      <c r="CJ228" s="226" t="inlineStr">
        <is>
          <t>0,12%</t>
        </is>
      </c>
      <c r="CK228" s="227" t="inlineStr">
        <is>
          <t>3,52%</t>
        </is>
      </c>
      <c r="CL228" s="228" t="inlineStr">
        <is>
          <t>94</t>
        </is>
      </c>
      <c r="CM228" s="229" t="inlineStr">
        <is>
          <t>0,09%</t>
        </is>
      </c>
      <c r="CN228" s="230" t="inlineStr">
        <is>
          <t>59</t>
        </is>
      </c>
      <c r="CO228" s="231" t="inlineStr">
        <is>
          <t>0,93%</t>
        </is>
      </c>
      <c r="CP228" s="232" t="inlineStr">
        <is>
          <t>84</t>
        </is>
      </c>
      <c r="CQ228" s="233" t="inlineStr">
        <is>
          <t>6,11%</t>
        </is>
      </c>
      <c r="CR228" s="234" t="inlineStr">
        <is>
          <t>95</t>
        </is>
      </c>
      <c r="CS228" s="235" t="inlineStr">
        <is>
          <t>0,04%</t>
        </is>
      </c>
      <c r="CT228" s="236" t="inlineStr">
        <is>
          <t>47</t>
        </is>
      </c>
      <c r="CU228" s="237" t="inlineStr">
        <is>
          <t>0,14%</t>
        </is>
      </c>
      <c r="CV228" s="238" t="inlineStr">
        <is>
          <t>72</t>
        </is>
      </c>
      <c r="CW228" s="239" t="inlineStr">
        <is>
          <t>9,59x</t>
        </is>
      </c>
      <c r="CX228" s="240" t="inlineStr">
        <is>
          <t>86</t>
        </is>
      </c>
      <c r="CY228" s="241" t="inlineStr">
        <is>
          <t>0,15x</t>
        </is>
      </c>
      <c r="CZ228" s="242" t="inlineStr">
        <is>
          <t>1,61%</t>
        </is>
      </c>
      <c r="DA228" s="243" t="inlineStr">
        <is>
          <t>16,23x</t>
        </is>
      </c>
      <c r="DB228" s="244" t="inlineStr">
        <is>
          <t>91</t>
        </is>
      </c>
      <c r="DC228" s="245" t="inlineStr">
        <is>
          <t>2,95x</t>
        </is>
      </c>
      <c r="DD228" s="246" t="inlineStr">
        <is>
          <t>68</t>
        </is>
      </c>
      <c r="DE228" s="247" t="inlineStr">
        <is>
          <t>9,51x</t>
        </is>
      </c>
      <c r="DF228" s="248" t="inlineStr">
        <is>
          <t>83</t>
        </is>
      </c>
      <c r="DG228" s="249" t="inlineStr">
        <is>
          <t>22,94x</t>
        </is>
      </c>
      <c r="DH228" s="250" t="inlineStr">
        <is>
          <t>93</t>
        </is>
      </c>
      <c r="DI228" s="251" t="inlineStr">
        <is>
          <t>1,74x</t>
        </is>
      </c>
      <c r="DJ228" s="252" t="inlineStr">
        <is>
          <t>60</t>
        </is>
      </c>
      <c r="DK228" s="253" t="inlineStr">
        <is>
          <t>4,16x</t>
        </is>
      </c>
      <c r="DL228" s="254" t="inlineStr">
        <is>
          <t>75</t>
        </is>
      </c>
      <c r="DM228" s="255" t="inlineStr">
        <is>
          <t>5.731</t>
        </is>
      </c>
      <c r="DN228" s="256" t="inlineStr">
        <is>
          <t>355</t>
        </is>
      </c>
      <c r="DO228" s="257" t="inlineStr">
        <is>
          <t>6,60%</t>
        </is>
      </c>
      <c r="DP228" s="258" t="inlineStr">
        <is>
          <t>1.391</t>
        </is>
      </c>
      <c r="DQ228" s="259" t="inlineStr">
        <is>
          <t>2</t>
        </is>
      </c>
      <c r="DR228" s="260" t="inlineStr">
        <is>
          <t>0,14%</t>
        </is>
      </c>
      <c r="DS228" s="261" t="inlineStr">
        <is>
          <t>828</t>
        </is>
      </c>
      <c r="DT228" s="262" t="inlineStr">
        <is>
          <t>0</t>
        </is>
      </c>
      <c r="DU228" s="263" t="inlineStr">
        <is>
          <t>0,00%</t>
        </is>
      </c>
      <c r="DV228" s="264" t="inlineStr">
        <is>
          <t>1.428</t>
        </is>
      </c>
      <c r="DW228" s="265" t="inlineStr">
        <is>
          <t>2</t>
        </is>
      </c>
      <c r="DX228" s="266" t="inlineStr">
        <is>
          <t>0,14%</t>
        </is>
      </c>
      <c r="DY228" s="267" t="inlineStr">
        <is>
          <t>PitchBook Research</t>
        </is>
      </c>
      <c r="DZ228" s="786">
        <f>HYPERLINK("https://my.pitchbook.com?c=56471-50", "View company online")</f>
      </c>
    </row>
    <row r="229">
      <c r="A229" s="9" t="inlineStr">
        <is>
          <t>56421-37</t>
        </is>
      </c>
      <c r="B229" s="10" t="inlineStr">
        <is>
          <t>infirst Healthcare</t>
        </is>
      </c>
      <c r="C229" s="11" t="inlineStr">
        <is>
          <t/>
        </is>
      </c>
      <c r="D229" s="12" t="inlineStr">
        <is>
          <t/>
        </is>
      </c>
      <c r="E229" s="13" t="inlineStr">
        <is>
          <t>56421-37</t>
        </is>
      </c>
      <c r="F229" s="14" t="inlineStr">
        <is>
          <t>Developer of medicines designed to improve treatments for the management of common cough, inflammatory pain, as well as chronic wounds. The company develops treatments for everyday ailments and bothersome symptoms enabling consumer healthcare and primary care practitioners to contribute to improved early medical intervention for everyday ailments.</t>
        </is>
      </c>
      <c r="G229" s="15" t="inlineStr">
        <is>
          <t>Healthcare</t>
        </is>
      </c>
      <c r="H229" s="16" t="inlineStr">
        <is>
          <t>Pharmaceuticals and Biotechnology</t>
        </is>
      </c>
      <c r="I229" s="17" t="inlineStr">
        <is>
          <t>Drug Discovery</t>
        </is>
      </c>
      <c r="J229" s="18" t="inlineStr">
        <is>
          <t>Drug Discovery*; Other Healthcare Services</t>
        </is>
      </c>
      <c r="K229" s="19" t="inlineStr">
        <is>
          <t/>
        </is>
      </c>
      <c r="L229" s="20" t="inlineStr">
        <is>
          <t>Venture Capital-Backed</t>
        </is>
      </c>
      <c r="M229" s="21" t="n">
        <v>29.07</v>
      </c>
      <c r="N229" s="22" t="inlineStr">
        <is>
          <t>Generating Revenue</t>
        </is>
      </c>
      <c r="O229" s="23" t="inlineStr">
        <is>
          <t>Privately Held (backing)</t>
        </is>
      </c>
      <c r="P229" s="24" t="inlineStr">
        <is>
          <t>Venture Capital</t>
        </is>
      </c>
      <c r="Q229" s="25" t="inlineStr">
        <is>
          <t>www.infirst.co.uk</t>
        </is>
      </c>
      <c r="R229" s="26" t="n">
        <v>24.0</v>
      </c>
      <c r="S229" s="27" t="inlineStr">
        <is>
          <t/>
        </is>
      </c>
      <c r="T229" s="28" t="inlineStr">
        <is>
          <t/>
        </is>
      </c>
      <c r="U229" s="29" t="n">
        <v>2012.0</v>
      </c>
      <c r="V229" s="30" t="inlineStr">
        <is>
          <t/>
        </is>
      </c>
      <c r="W229" s="31" t="inlineStr">
        <is>
          <t/>
        </is>
      </c>
      <c r="X229" s="32" t="inlineStr">
        <is>
          <t/>
        </is>
      </c>
      <c r="Y229" s="33" t="inlineStr">
        <is>
          <t/>
        </is>
      </c>
      <c r="Z229" s="34" t="inlineStr">
        <is>
          <t/>
        </is>
      </c>
      <c r="AA229" s="35" t="inlineStr">
        <is>
          <t/>
        </is>
      </c>
      <c r="AB229" s="36" t="inlineStr">
        <is>
          <t/>
        </is>
      </c>
      <c r="AC229" s="37" t="inlineStr">
        <is>
          <t/>
        </is>
      </c>
      <c r="AD229" s="38" t="inlineStr">
        <is>
          <t/>
        </is>
      </c>
      <c r="AE229" s="39" t="inlineStr">
        <is>
          <t>65047-24P</t>
        </is>
      </c>
      <c r="AF229" s="40" t="inlineStr">
        <is>
          <t>Andrew Waters</t>
        </is>
      </c>
      <c r="AG229" s="41" t="inlineStr">
        <is>
          <t>Chief Financial Officer &amp; Board Member</t>
        </is>
      </c>
      <c r="AH229" s="42" t="inlineStr">
        <is>
          <t>andrew.waters@infirst.co.uk</t>
        </is>
      </c>
      <c r="AI229" s="43" t="inlineStr">
        <is>
          <t>+44 (0)20 7153 6600</t>
        </is>
      </c>
      <c r="AJ229" s="44" t="inlineStr">
        <is>
          <t>London, United Kingdom</t>
        </is>
      </c>
      <c r="AK229" s="45" t="inlineStr">
        <is>
          <t>Central Point</t>
        </is>
      </c>
      <c r="AL229" s="46" t="inlineStr">
        <is>
          <t>45 Beech Street</t>
        </is>
      </c>
      <c r="AM229" s="47" t="inlineStr">
        <is>
          <t>London</t>
        </is>
      </c>
      <c r="AN229" s="48" t="inlineStr">
        <is>
          <t>England</t>
        </is>
      </c>
      <c r="AO229" s="49" t="inlineStr">
        <is>
          <t>EC2Y 8AD</t>
        </is>
      </c>
      <c r="AP229" s="50" t="inlineStr">
        <is>
          <t>United Kingdom</t>
        </is>
      </c>
      <c r="AQ229" s="51" t="inlineStr">
        <is>
          <t>+44 (0)20 7153 6600</t>
        </is>
      </c>
      <c r="AR229" s="52" t="inlineStr">
        <is>
          <t>+44 (0)20 7153 6571</t>
        </is>
      </c>
      <c r="AS229" s="53" t="inlineStr">
        <is>
          <t>enquries@infirst.co.uk</t>
        </is>
      </c>
      <c r="AT229" s="54" t="inlineStr">
        <is>
          <t>Europe</t>
        </is>
      </c>
      <c r="AU229" s="55" t="inlineStr">
        <is>
          <t>Western Europe</t>
        </is>
      </c>
      <c r="AV229" s="56" t="inlineStr">
        <is>
          <t>The company received an undisclosed amount of convertible debt financing from Invesco on January 20, 2017. Previously, the company raised GBP 25 million of Series A venture funding from Invesco on March 25, 2013, putting the pre-money valuation at GBP 43.75 million. The company is being actively tracked by PitchBook.</t>
        </is>
      </c>
      <c r="AW229" s="57" t="inlineStr">
        <is>
          <t>Invesco</t>
        </is>
      </c>
      <c r="AX229" s="58" t="n">
        <v>1.0</v>
      </c>
      <c r="AY229" s="59" t="inlineStr">
        <is>
          <t/>
        </is>
      </c>
      <c r="AZ229" s="60" t="inlineStr">
        <is>
          <t/>
        </is>
      </c>
      <c r="BA229" s="61" t="inlineStr">
        <is>
          <t/>
        </is>
      </c>
      <c r="BB229" s="62" t="inlineStr">
        <is>
          <t>Invesco (www.invesco.com)</t>
        </is>
      </c>
      <c r="BC229" s="63" t="inlineStr">
        <is>
          <t/>
        </is>
      </c>
      <c r="BD229" s="64" t="inlineStr">
        <is>
          <t/>
        </is>
      </c>
      <c r="BE229" s="65" t="inlineStr">
        <is>
          <t/>
        </is>
      </c>
      <c r="BF229" s="66" t="inlineStr">
        <is>
          <t>Jones Day (Legal Advisor)</t>
        </is>
      </c>
      <c r="BG229" s="67" t="n">
        <v>41358.0</v>
      </c>
      <c r="BH229" s="68" t="n">
        <v>29.07</v>
      </c>
      <c r="BI229" s="69" t="inlineStr">
        <is>
          <t>Actual</t>
        </is>
      </c>
      <c r="BJ229" s="70" t="n">
        <v>79.94</v>
      </c>
      <c r="BK229" s="71" t="inlineStr">
        <is>
          <t>Actual</t>
        </is>
      </c>
      <c r="BL229" s="72" t="inlineStr">
        <is>
          <t>Early Stage VC</t>
        </is>
      </c>
      <c r="BM229" s="73" t="inlineStr">
        <is>
          <t>Series A</t>
        </is>
      </c>
      <c r="BN229" s="74" t="inlineStr">
        <is>
          <t/>
        </is>
      </c>
      <c r="BO229" s="75" t="inlineStr">
        <is>
          <t>Venture Capital</t>
        </is>
      </c>
      <c r="BP229" s="76" t="inlineStr">
        <is>
          <t/>
        </is>
      </c>
      <c r="BQ229" s="77" t="inlineStr">
        <is>
          <t/>
        </is>
      </c>
      <c r="BR229" s="78" t="inlineStr">
        <is>
          <t/>
        </is>
      </c>
      <c r="BS229" s="79" t="inlineStr">
        <is>
          <t>Completed</t>
        </is>
      </c>
      <c r="BT229" s="80" t="n">
        <v>42755.0</v>
      </c>
      <c r="BU229" s="81" t="inlineStr">
        <is>
          <t/>
        </is>
      </c>
      <c r="BV229" s="82" t="inlineStr">
        <is>
          <t/>
        </is>
      </c>
      <c r="BW229" s="83" t="inlineStr">
        <is>
          <t/>
        </is>
      </c>
      <c r="BX229" s="84" t="inlineStr">
        <is>
          <t/>
        </is>
      </c>
      <c r="BY229" s="85" t="inlineStr">
        <is>
          <t>Later Stage VC</t>
        </is>
      </c>
      <c r="BZ229" s="86" t="inlineStr">
        <is>
          <t/>
        </is>
      </c>
      <c r="CA229" s="87" t="inlineStr">
        <is>
          <t/>
        </is>
      </c>
      <c r="CB229" s="88" t="inlineStr">
        <is>
          <t>Venture Capital</t>
        </is>
      </c>
      <c r="CC229" s="89" t="inlineStr">
        <is>
          <t>Convertible Debt</t>
        </is>
      </c>
      <c r="CD229" s="90" t="inlineStr">
        <is>
          <t/>
        </is>
      </c>
      <c r="CE229" s="91" t="inlineStr">
        <is>
          <t/>
        </is>
      </c>
      <c r="CF229" s="92" t="inlineStr">
        <is>
          <t>Announced/In Progress</t>
        </is>
      </c>
      <c r="CG229" s="93" t="inlineStr">
        <is>
          <t>0,00%</t>
        </is>
      </c>
      <c r="CH229" s="94" t="inlineStr">
        <is>
          <t>23</t>
        </is>
      </c>
      <c r="CI229" s="95" t="inlineStr">
        <is>
          <t>0,00%</t>
        </is>
      </c>
      <c r="CJ229" s="96" t="inlineStr">
        <is>
          <t>0,00%</t>
        </is>
      </c>
      <c r="CK229" s="97" t="inlineStr">
        <is>
          <t>0,00%</t>
        </is>
      </c>
      <c r="CL229" s="98" t="inlineStr">
        <is>
          <t>18</t>
        </is>
      </c>
      <c r="CM229" s="99" t="inlineStr">
        <is>
          <t/>
        </is>
      </c>
      <c r="CN229" s="100" t="inlineStr">
        <is>
          <t/>
        </is>
      </c>
      <c r="CO229" s="101" t="inlineStr">
        <is>
          <t>0,00%</t>
        </is>
      </c>
      <c r="CP229" s="102" t="inlineStr">
        <is>
          <t>26</t>
        </is>
      </c>
      <c r="CQ229" s="103" t="inlineStr">
        <is>
          <t>0,00%</t>
        </is>
      </c>
      <c r="CR229" s="104" t="inlineStr">
        <is>
          <t>13</t>
        </is>
      </c>
      <c r="CS229" s="105" t="inlineStr">
        <is>
          <t/>
        </is>
      </c>
      <c r="CT229" s="106" t="inlineStr">
        <is>
          <t/>
        </is>
      </c>
      <c r="CU229" s="107" t="inlineStr">
        <is>
          <t/>
        </is>
      </c>
      <c r="CV229" s="108" t="inlineStr">
        <is>
          <t/>
        </is>
      </c>
      <c r="CW229" s="109" t="inlineStr">
        <is>
          <t>0,70x</t>
        </is>
      </c>
      <c r="CX229" s="110" t="inlineStr">
        <is>
          <t>41</t>
        </is>
      </c>
      <c r="CY229" s="111" t="inlineStr">
        <is>
          <t>0,01x</t>
        </is>
      </c>
      <c r="CZ229" s="112" t="inlineStr">
        <is>
          <t>1,85%</t>
        </is>
      </c>
      <c r="DA229" s="113" t="inlineStr">
        <is>
          <t>0,70x</t>
        </is>
      </c>
      <c r="DB229" s="114" t="inlineStr">
        <is>
          <t>44</t>
        </is>
      </c>
      <c r="DC229" s="115" t="inlineStr">
        <is>
          <t/>
        </is>
      </c>
      <c r="DD229" s="116" t="inlineStr">
        <is>
          <t/>
        </is>
      </c>
      <c r="DE229" s="117" t="inlineStr">
        <is>
          <t>0,46x</t>
        </is>
      </c>
      <c r="DF229" s="118" t="inlineStr">
        <is>
          <t>34</t>
        </is>
      </c>
      <c r="DG229" s="119" t="inlineStr">
        <is>
          <t>0,94x</t>
        </is>
      </c>
      <c r="DH229" s="120" t="inlineStr">
        <is>
          <t>49</t>
        </is>
      </c>
      <c r="DI229" s="121" t="inlineStr">
        <is>
          <t/>
        </is>
      </c>
      <c r="DJ229" s="122" t="inlineStr">
        <is>
          <t/>
        </is>
      </c>
      <c r="DK229" s="123" t="inlineStr">
        <is>
          <t/>
        </is>
      </c>
      <c r="DL229" s="124" t="inlineStr">
        <is>
          <t/>
        </is>
      </c>
      <c r="DM229" s="125" t="inlineStr">
        <is>
          <t>275</t>
        </is>
      </c>
      <c r="DN229" s="126" t="inlineStr">
        <is>
          <t>21</t>
        </is>
      </c>
      <c r="DO229" s="127" t="inlineStr">
        <is>
          <t>8,27%</t>
        </is>
      </c>
      <c r="DP229" s="128" t="inlineStr">
        <is>
          <t/>
        </is>
      </c>
      <c r="DQ229" s="129" t="inlineStr">
        <is>
          <t/>
        </is>
      </c>
      <c r="DR229" s="130" t="inlineStr">
        <is>
          <t/>
        </is>
      </c>
      <c r="DS229" s="131" t="inlineStr">
        <is>
          <t>34</t>
        </is>
      </c>
      <c r="DT229" s="132" t="inlineStr">
        <is>
          <t>0</t>
        </is>
      </c>
      <c r="DU229" s="133" t="inlineStr">
        <is>
          <t>0,00%</t>
        </is>
      </c>
      <c r="DV229" s="134" t="inlineStr">
        <is>
          <t/>
        </is>
      </c>
      <c r="DW229" s="135" t="inlineStr">
        <is>
          <t/>
        </is>
      </c>
      <c r="DX229" s="136" t="inlineStr">
        <is>
          <t/>
        </is>
      </c>
      <c r="DY229" s="137" t="inlineStr">
        <is>
          <t>PitchBook Research</t>
        </is>
      </c>
      <c r="DZ229" s="785">
        <f>HYPERLINK("https://my.pitchbook.com?c=56421-37", "View company online")</f>
      </c>
    </row>
    <row r="230">
      <c r="A230" s="139" t="inlineStr">
        <is>
          <t>166246-21</t>
        </is>
      </c>
      <c r="B230" s="140" t="inlineStr">
        <is>
          <t>Inflazome</t>
        </is>
      </c>
      <c r="C230" s="141" t="inlineStr">
        <is>
          <t/>
        </is>
      </c>
      <c r="D230" s="142" t="inlineStr">
        <is>
          <t/>
        </is>
      </c>
      <c r="E230" s="143" t="inlineStr">
        <is>
          <t>166246-21</t>
        </is>
      </c>
      <c r="F230" s="144" t="inlineStr">
        <is>
          <t>Developer of an oral drug for the treatment of inflammatory diseases. The company provides an oral drug to block inflammatory disease such as Parkinson's, Alzheimer's, atherosclerosis and the type 2 diabetes.</t>
        </is>
      </c>
      <c r="G230" s="145" t="inlineStr">
        <is>
          <t>Healthcare</t>
        </is>
      </c>
      <c r="H230" s="146" t="inlineStr">
        <is>
          <t>Pharmaceuticals and Biotechnology</t>
        </is>
      </c>
      <c r="I230" s="147" t="inlineStr">
        <is>
          <t>Drug Discovery</t>
        </is>
      </c>
      <c r="J230" s="148" t="inlineStr">
        <is>
          <t>Drug Discovery*; Biotechnology</t>
        </is>
      </c>
      <c r="K230" s="149" t="inlineStr">
        <is>
          <t>Life Sciences</t>
        </is>
      </c>
      <c r="L230" s="150" t="inlineStr">
        <is>
          <t>Venture Capital-Backed</t>
        </is>
      </c>
      <c r="M230" s="151" t="n">
        <v>15.17</v>
      </c>
      <c r="N230" s="152" t="inlineStr">
        <is>
          <t>Startup</t>
        </is>
      </c>
      <c r="O230" s="153" t="inlineStr">
        <is>
          <t>Privately Held (backing)</t>
        </is>
      </c>
      <c r="P230" s="154" t="inlineStr">
        <is>
          <t>Venture Capital</t>
        </is>
      </c>
      <c r="Q230" s="155" t="inlineStr">
        <is>
          <t>www.inflazome.com</t>
        </is>
      </c>
      <c r="R230" s="156" t="n">
        <v>3.0</v>
      </c>
      <c r="S230" s="157" t="inlineStr">
        <is>
          <t/>
        </is>
      </c>
      <c r="T230" s="158" t="inlineStr">
        <is>
          <t/>
        </is>
      </c>
      <c r="U230" s="159" t="n">
        <v>2016.0</v>
      </c>
      <c r="V230" s="160" t="inlineStr">
        <is>
          <t/>
        </is>
      </c>
      <c r="W230" s="161" t="inlineStr">
        <is>
          <t/>
        </is>
      </c>
      <c r="X230" s="162" t="inlineStr">
        <is>
          <t/>
        </is>
      </c>
      <c r="Y230" s="163" t="inlineStr">
        <is>
          <t/>
        </is>
      </c>
      <c r="Z230" s="164" t="inlineStr">
        <is>
          <t/>
        </is>
      </c>
      <c r="AA230" s="165" t="inlineStr">
        <is>
          <t/>
        </is>
      </c>
      <c r="AB230" s="166" t="inlineStr">
        <is>
          <t/>
        </is>
      </c>
      <c r="AC230" s="167" t="inlineStr">
        <is>
          <t/>
        </is>
      </c>
      <c r="AD230" s="168" t="inlineStr">
        <is>
          <t/>
        </is>
      </c>
      <c r="AE230" s="169" t="inlineStr">
        <is>
          <t>46448-74P</t>
        </is>
      </c>
      <c r="AF230" s="170" t="inlineStr">
        <is>
          <t>Matthew Cooper</t>
        </is>
      </c>
      <c r="AG230" s="171" t="inlineStr">
        <is>
          <t>Co-Founder, Chief Executive Officer &amp; Board Member</t>
        </is>
      </c>
      <c r="AH230" s="172" t="inlineStr">
        <is>
          <t>m.cooper@inflazome.com</t>
        </is>
      </c>
      <c r="AI230" s="173" t="inlineStr">
        <is>
          <t>+353 (0)1 679 8591</t>
        </is>
      </c>
      <c r="AJ230" s="174" t="inlineStr">
        <is>
          <t>Dublin, Ireland</t>
        </is>
      </c>
      <c r="AK230" s="175" t="inlineStr">
        <is>
          <t>The Tower</t>
        </is>
      </c>
      <c r="AL230" s="176" t="inlineStr">
        <is>
          <t>Trinity TEC Pearse Street</t>
        </is>
      </c>
      <c r="AM230" s="177" t="inlineStr">
        <is>
          <t>Dublin</t>
        </is>
      </c>
      <c r="AN230" s="178" t="inlineStr">
        <is>
          <t/>
        </is>
      </c>
      <c r="AO230" s="179" t="inlineStr">
        <is>
          <t>2</t>
        </is>
      </c>
      <c r="AP230" s="180" t="inlineStr">
        <is>
          <t>Ireland</t>
        </is>
      </c>
      <c r="AQ230" s="181" t="inlineStr">
        <is>
          <t>+353 (0)1 679 8591</t>
        </is>
      </c>
      <c r="AR230" s="182" t="inlineStr">
        <is>
          <t/>
        </is>
      </c>
      <c r="AS230" s="183" t="inlineStr">
        <is>
          <t>info@inflazome.com</t>
        </is>
      </c>
      <c r="AT230" s="184" t="inlineStr">
        <is>
          <t>Europe</t>
        </is>
      </c>
      <c r="AU230" s="185" t="inlineStr">
        <is>
          <t>Western Europe</t>
        </is>
      </c>
      <c r="AV230" s="186" t="inlineStr">
        <is>
          <t>The company raised $17 million of Series A venture funding in a deal co-led by Novartis Venture Funds and Fountain Healthcare Partners on September 11, 2016. Other undisclosed investors also participated in the round. The company intends to use the funds to develop treatments for chronic inflammatory diseases.</t>
        </is>
      </c>
      <c r="AW230" s="187" t="inlineStr">
        <is>
          <t>Fountain Healthcare Partners, Novartis Venture Fund</t>
        </is>
      </c>
      <c r="AX230" s="188" t="n">
        <v>2.0</v>
      </c>
      <c r="AY230" s="189" t="inlineStr">
        <is>
          <t/>
        </is>
      </c>
      <c r="AZ230" s="190" t="inlineStr">
        <is>
          <t/>
        </is>
      </c>
      <c r="BA230" s="191" t="inlineStr">
        <is>
          <t/>
        </is>
      </c>
      <c r="BB230" s="192" t="inlineStr">
        <is>
          <t>Fountain Healthcare Partners (www.fh-partners.com), Novartis Venture Fund (www.nvfund.com)</t>
        </is>
      </c>
      <c r="BC230" s="193" t="inlineStr">
        <is>
          <t/>
        </is>
      </c>
      <c r="BD230" s="194" t="inlineStr">
        <is>
          <t/>
        </is>
      </c>
      <c r="BE230" s="195" t="inlineStr">
        <is>
          <t/>
        </is>
      </c>
      <c r="BF230" s="196" t="inlineStr">
        <is>
          <t>ByrneWallace (Legal Advisor), A&amp;L Goodbody (Legal Advisor)</t>
        </is>
      </c>
      <c r="BG230" s="197" t="n">
        <v>42624.0</v>
      </c>
      <c r="BH230" s="198" t="n">
        <v>15.17</v>
      </c>
      <c r="BI230" s="199" t="inlineStr">
        <is>
          <t>Actual</t>
        </is>
      </c>
      <c r="BJ230" s="200" t="inlineStr">
        <is>
          <t/>
        </is>
      </c>
      <c r="BK230" s="201" t="inlineStr">
        <is>
          <t/>
        </is>
      </c>
      <c r="BL230" s="202" t="inlineStr">
        <is>
          <t>Early Stage VC</t>
        </is>
      </c>
      <c r="BM230" s="203" t="inlineStr">
        <is>
          <t>Series A</t>
        </is>
      </c>
      <c r="BN230" s="204" t="inlineStr">
        <is>
          <t/>
        </is>
      </c>
      <c r="BO230" s="205" t="inlineStr">
        <is>
          <t>Venture Capital</t>
        </is>
      </c>
      <c r="BP230" s="206" t="inlineStr">
        <is>
          <t/>
        </is>
      </c>
      <c r="BQ230" s="207" t="inlineStr">
        <is>
          <t/>
        </is>
      </c>
      <c r="BR230" s="208" t="inlineStr">
        <is>
          <t/>
        </is>
      </c>
      <c r="BS230" s="209" t="inlineStr">
        <is>
          <t>Completed</t>
        </is>
      </c>
      <c r="BT230" s="210" t="n">
        <v>42624.0</v>
      </c>
      <c r="BU230" s="211" t="n">
        <v>15.17</v>
      </c>
      <c r="BV230" s="212" t="inlineStr">
        <is>
          <t>Actual</t>
        </is>
      </c>
      <c r="BW230" s="213" t="inlineStr">
        <is>
          <t/>
        </is>
      </c>
      <c r="BX230" s="214" t="inlineStr">
        <is>
          <t/>
        </is>
      </c>
      <c r="BY230" s="215" t="inlineStr">
        <is>
          <t>Early Stage VC</t>
        </is>
      </c>
      <c r="BZ230" s="216" t="inlineStr">
        <is>
          <t>Series A</t>
        </is>
      </c>
      <c r="CA230" s="217" t="inlineStr">
        <is>
          <t/>
        </is>
      </c>
      <c r="CB230" s="218" t="inlineStr">
        <is>
          <t>Venture Capital</t>
        </is>
      </c>
      <c r="CC230" s="219" t="inlineStr">
        <is>
          <t/>
        </is>
      </c>
      <c r="CD230" s="220" t="inlineStr">
        <is>
          <t/>
        </is>
      </c>
      <c r="CE230" s="221" t="inlineStr">
        <is>
          <t/>
        </is>
      </c>
      <c r="CF230" s="222" t="inlineStr">
        <is>
          <t>Completed</t>
        </is>
      </c>
      <c r="CG230" s="223" t="inlineStr">
        <is>
          <t>0,52%</t>
        </is>
      </c>
      <c r="CH230" s="224" t="inlineStr">
        <is>
          <t>84</t>
        </is>
      </c>
      <c r="CI230" s="225" t="inlineStr">
        <is>
          <t>0,11%</t>
        </is>
      </c>
      <c r="CJ230" s="226" t="inlineStr">
        <is>
          <t>27,18%</t>
        </is>
      </c>
      <c r="CK230" s="227" t="inlineStr">
        <is>
          <t>0,00%</t>
        </is>
      </c>
      <c r="CL230" s="228" t="inlineStr">
        <is>
          <t>18</t>
        </is>
      </c>
      <c r="CM230" s="229" t="inlineStr">
        <is>
          <t>1,04%</t>
        </is>
      </c>
      <c r="CN230" s="230" t="inlineStr">
        <is>
          <t>96</t>
        </is>
      </c>
      <c r="CO230" s="231" t="inlineStr">
        <is>
          <t/>
        </is>
      </c>
      <c r="CP230" s="232" t="inlineStr">
        <is>
          <t/>
        </is>
      </c>
      <c r="CQ230" s="233" t="inlineStr">
        <is>
          <t>0,00%</t>
        </is>
      </c>
      <c r="CR230" s="234" t="inlineStr">
        <is>
          <t>13</t>
        </is>
      </c>
      <c r="CS230" s="235" t="inlineStr">
        <is>
          <t/>
        </is>
      </c>
      <c r="CT230" s="236" t="inlineStr">
        <is>
          <t/>
        </is>
      </c>
      <c r="CU230" s="237" t="inlineStr">
        <is>
          <t>1,04%</t>
        </is>
      </c>
      <c r="CV230" s="238" t="inlineStr">
        <is>
          <t>97</t>
        </is>
      </c>
      <c r="CW230" s="239" t="inlineStr">
        <is>
          <t>0,25x</t>
        </is>
      </c>
      <c r="CX230" s="240" t="inlineStr">
        <is>
          <t>20</t>
        </is>
      </c>
      <c r="CY230" s="241" t="inlineStr">
        <is>
          <t>0,01x</t>
        </is>
      </c>
      <c r="CZ230" s="242" t="inlineStr">
        <is>
          <t>2,28%</t>
        </is>
      </c>
      <c r="DA230" s="243" t="inlineStr">
        <is>
          <t>0,17x</t>
        </is>
      </c>
      <c r="DB230" s="244" t="inlineStr">
        <is>
          <t>16</t>
        </is>
      </c>
      <c r="DC230" s="245" t="inlineStr">
        <is>
          <t>0,34x</t>
        </is>
      </c>
      <c r="DD230" s="246" t="inlineStr">
        <is>
          <t>29</t>
        </is>
      </c>
      <c r="DE230" s="247" t="inlineStr">
        <is>
          <t/>
        </is>
      </c>
      <c r="DF230" s="248" t="inlineStr">
        <is>
          <t/>
        </is>
      </c>
      <c r="DG230" s="249" t="inlineStr">
        <is>
          <t>0,17x</t>
        </is>
      </c>
      <c r="DH230" s="250" t="inlineStr">
        <is>
          <t>17</t>
        </is>
      </c>
      <c r="DI230" s="251" t="inlineStr">
        <is>
          <t/>
        </is>
      </c>
      <c r="DJ230" s="252" t="inlineStr">
        <is>
          <t/>
        </is>
      </c>
      <c r="DK230" s="253" t="inlineStr">
        <is>
          <t>0,34x</t>
        </is>
      </c>
      <c r="DL230" s="254" t="inlineStr">
        <is>
          <t>33</t>
        </is>
      </c>
      <c r="DM230" s="255" t="inlineStr">
        <is>
          <t/>
        </is>
      </c>
      <c r="DN230" s="256" t="inlineStr">
        <is>
          <t/>
        </is>
      </c>
      <c r="DO230" s="257" t="inlineStr">
        <is>
          <t/>
        </is>
      </c>
      <c r="DP230" s="258" t="inlineStr">
        <is>
          <t/>
        </is>
      </c>
      <c r="DQ230" s="259" t="inlineStr">
        <is>
          <t/>
        </is>
      </c>
      <c r="DR230" s="260" t="inlineStr">
        <is>
          <t/>
        </is>
      </c>
      <c r="DS230" s="261" t="inlineStr">
        <is>
          <t>6</t>
        </is>
      </c>
      <c r="DT230" s="262" t="inlineStr">
        <is>
          <t>0</t>
        </is>
      </c>
      <c r="DU230" s="263" t="inlineStr">
        <is>
          <t>0,00%</t>
        </is>
      </c>
      <c r="DV230" s="264" t="inlineStr">
        <is>
          <t>115</t>
        </is>
      </c>
      <c r="DW230" s="265" t="inlineStr">
        <is>
          <t>2</t>
        </is>
      </c>
      <c r="DX230" s="266" t="inlineStr">
        <is>
          <t>1,77%</t>
        </is>
      </c>
      <c r="DY230" s="267" t="inlineStr">
        <is>
          <t>PitchBook Research</t>
        </is>
      </c>
      <c r="DZ230" s="786">
        <f>HYPERLINK("https://my.pitchbook.com?c=166246-21", "View company online")</f>
      </c>
    </row>
    <row r="231">
      <c r="A231" s="9" t="inlineStr">
        <is>
          <t>100169-02</t>
        </is>
      </c>
      <c r="B231" s="10" t="inlineStr">
        <is>
          <t>InFlectis BioScience</t>
        </is>
      </c>
      <c r="C231" s="11" t="inlineStr">
        <is>
          <t/>
        </is>
      </c>
      <c r="D231" s="12" t="inlineStr">
        <is>
          <t/>
        </is>
      </c>
      <c r="E231" s="13" t="inlineStr">
        <is>
          <t>100169-02</t>
        </is>
      </c>
      <c r="F231" s="14" t="inlineStr">
        <is>
          <t>Developer of small molecule drugs. The company develops small molecule drugs for the treatment of misfolding protein disorders such as neurodegenerative and age-related diseases.</t>
        </is>
      </c>
      <c r="G231" s="15" t="inlineStr">
        <is>
          <t>Healthcare</t>
        </is>
      </c>
      <c r="H231" s="16" t="inlineStr">
        <is>
          <t>Pharmaceuticals and Biotechnology</t>
        </is>
      </c>
      <c r="I231" s="17" t="inlineStr">
        <is>
          <t>Drug Discovery</t>
        </is>
      </c>
      <c r="J231" s="18" t="inlineStr">
        <is>
          <t>Drug Discovery*; Other Pharmaceuticals and Biotechnology</t>
        </is>
      </c>
      <c r="K231" s="19" t="inlineStr">
        <is>
          <t/>
        </is>
      </c>
      <c r="L231" s="20" t="inlineStr">
        <is>
          <t>Venture Capital-Backed</t>
        </is>
      </c>
      <c r="M231" s="21" t="n">
        <v>7.75</v>
      </c>
      <c r="N231" s="22" t="inlineStr">
        <is>
          <t>Startup</t>
        </is>
      </c>
      <c r="O231" s="23" t="inlineStr">
        <is>
          <t>Privately Held (backing)</t>
        </is>
      </c>
      <c r="P231" s="24" t="inlineStr">
        <is>
          <t>Venture Capital</t>
        </is>
      </c>
      <c r="Q231" s="25" t="inlineStr">
        <is>
          <t>www.inflectisbioscience.com</t>
        </is>
      </c>
      <c r="R231" s="26" t="n">
        <v>7.0</v>
      </c>
      <c r="S231" s="27" t="inlineStr">
        <is>
          <t/>
        </is>
      </c>
      <c r="T231" s="28" t="inlineStr">
        <is>
          <t/>
        </is>
      </c>
      <c r="U231" s="29" t="n">
        <v>2013.0</v>
      </c>
      <c r="V231" s="30" t="inlineStr">
        <is>
          <t/>
        </is>
      </c>
      <c r="W231" s="31" t="inlineStr">
        <is>
          <t/>
        </is>
      </c>
      <c r="X231" s="32" t="inlineStr">
        <is>
          <t/>
        </is>
      </c>
      <c r="Y231" s="33" t="inlineStr">
        <is>
          <t/>
        </is>
      </c>
      <c r="Z231" s="34" t="inlineStr">
        <is>
          <t/>
        </is>
      </c>
      <c r="AA231" s="35" t="n">
        <v>-1.00142</v>
      </c>
      <c r="AB231" s="36" t="inlineStr">
        <is>
          <t/>
        </is>
      </c>
      <c r="AC231" s="37" t="inlineStr">
        <is>
          <t/>
        </is>
      </c>
      <c r="AD231" s="38" t="inlineStr">
        <is>
          <t>FY 2015</t>
        </is>
      </c>
      <c r="AE231" s="39" t="inlineStr">
        <is>
          <t>86781-97P</t>
        </is>
      </c>
      <c r="AF231" s="40" t="inlineStr">
        <is>
          <t>Philippe Guedat</t>
        </is>
      </c>
      <c r="AG231" s="41" t="inlineStr">
        <is>
          <t>Co-Founder, Chief Executive Officer, Publication Director, Managing Director &amp; President</t>
        </is>
      </c>
      <c r="AH231" s="42" t="inlineStr">
        <is>
          <t>philippeguedat@inflectisbioscience.com</t>
        </is>
      </c>
      <c r="AI231" s="43" t="inlineStr">
        <is>
          <t>+33 (0)2 51 25 20 00</t>
        </is>
      </c>
      <c r="AJ231" s="44" t="inlineStr">
        <is>
          <t>Nantes, France</t>
        </is>
      </c>
      <c r="AK231" s="45" t="inlineStr">
        <is>
          <t>21 rue La Noue Bras de Fer</t>
        </is>
      </c>
      <c r="AL231" s="46" t="inlineStr">
        <is>
          <t/>
        </is>
      </c>
      <c r="AM231" s="47" t="inlineStr">
        <is>
          <t>Nantes</t>
        </is>
      </c>
      <c r="AN231" s="48" t="inlineStr">
        <is>
          <t/>
        </is>
      </c>
      <c r="AO231" s="49" t="inlineStr">
        <is>
          <t>44200</t>
        </is>
      </c>
      <c r="AP231" s="50" t="inlineStr">
        <is>
          <t>France</t>
        </is>
      </c>
      <c r="AQ231" s="51" t="inlineStr">
        <is>
          <t>+33 (0)2 51 25 20 00</t>
        </is>
      </c>
      <c r="AR231" s="52" t="inlineStr">
        <is>
          <t/>
        </is>
      </c>
      <c r="AS231" s="53" t="inlineStr">
        <is>
          <t>contact@inflectisbioscience.com</t>
        </is>
      </c>
      <c r="AT231" s="54" t="inlineStr">
        <is>
          <t>Europe</t>
        </is>
      </c>
      <c r="AU231" s="55" t="inlineStr">
        <is>
          <t>Western Europe</t>
        </is>
      </c>
      <c r="AV231" s="56" t="inlineStr">
        <is>
          <t>The company raised EUR 6 million of Series A venture funding in a deal led by CM-CIC Capital Innovation and Remiges Ventures on June 1, 2016. Follow On GO Capital and Participations Besançon also participated in the round. According to the financial terms of the agreement, the investors pay EUR 4.5 million and have an investment option of an additional €1.5 million under certain pre-negotiated terms.The company intends to use the funds to accelerate the development of its drug candidate IFB-088 by financing the regulatory preclinical development and the first clinical study in healthy volunteers.</t>
        </is>
      </c>
      <c r="AW231" s="57" t="inlineStr">
        <is>
          <t>CM-CIC Investissement, French Research Ministry, GO Capital (France), Participations Besançon, Remiges Ventures</t>
        </is>
      </c>
      <c r="AX231" s="58" t="n">
        <v>5.0</v>
      </c>
      <c r="AY231" s="59" t="inlineStr">
        <is>
          <t/>
        </is>
      </c>
      <c r="AZ231" s="60" t="inlineStr">
        <is>
          <t/>
        </is>
      </c>
      <c r="BA231" s="61" t="inlineStr">
        <is>
          <t/>
        </is>
      </c>
      <c r="BB231" s="62" t="inlineStr">
        <is>
          <t>CM-CIC Investissement (www.cmcic-investissement.com), GO Capital (France) (www.gocapital.fr), Remiges Ventures (www.remigesventures.com)</t>
        </is>
      </c>
      <c r="BC231" s="63" t="inlineStr">
        <is>
          <t/>
        </is>
      </c>
      <c r="BD231" s="64" t="inlineStr">
        <is>
          <t/>
        </is>
      </c>
      <c r="BE231" s="65" t="inlineStr">
        <is>
          <t/>
        </is>
      </c>
      <c r="BF231" s="66" t="inlineStr">
        <is>
          <t/>
        </is>
      </c>
      <c r="BG231" s="67" t="n">
        <v>41640.0</v>
      </c>
      <c r="BH231" s="68" t="n">
        <v>0.3</v>
      </c>
      <c r="BI231" s="69" t="inlineStr">
        <is>
          <t>Actual</t>
        </is>
      </c>
      <c r="BJ231" s="70" t="inlineStr">
        <is>
          <t/>
        </is>
      </c>
      <c r="BK231" s="71" t="inlineStr">
        <is>
          <t/>
        </is>
      </c>
      <c r="BL231" s="72" t="inlineStr">
        <is>
          <t>Grant</t>
        </is>
      </c>
      <c r="BM231" s="73" t="inlineStr">
        <is>
          <t/>
        </is>
      </c>
      <c r="BN231" s="74" t="inlineStr">
        <is>
          <t/>
        </is>
      </c>
      <c r="BO231" s="75" t="inlineStr">
        <is>
          <t>Other</t>
        </is>
      </c>
      <c r="BP231" s="76" t="inlineStr">
        <is>
          <t/>
        </is>
      </c>
      <c r="BQ231" s="77" t="inlineStr">
        <is>
          <t/>
        </is>
      </c>
      <c r="BR231" s="78" t="inlineStr">
        <is>
          <t/>
        </is>
      </c>
      <c r="BS231" s="79" t="inlineStr">
        <is>
          <t>Completed</t>
        </is>
      </c>
      <c r="BT231" s="80" t="n">
        <v>42522.0</v>
      </c>
      <c r="BU231" s="81" t="n">
        <v>6.0</v>
      </c>
      <c r="BV231" s="82" t="inlineStr">
        <is>
          <t>Actual</t>
        </is>
      </c>
      <c r="BW231" s="83" t="inlineStr">
        <is>
          <t/>
        </is>
      </c>
      <c r="BX231" s="84" t="inlineStr">
        <is>
          <t/>
        </is>
      </c>
      <c r="BY231" s="85" t="inlineStr">
        <is>
          <t>Early Stage VC</t>
        </is>
      </c>
      <c r="BZ231" s="86" t="inlineStr">
        <is>
          <t>Series A</t>
        </is>
      </c>
      <c r="CA231" s="87" t="inlineStr">
        <is>
          <t/>
        </is>
      </c>
      <c r="CB231" s="88" t="inlineStr">
        <is>
          <t>Venture Capital</t>
        </is>
      </c>
      <c r="CC231" s="89" t="inlineStr">
        <is>
          <t/>
        </is>
      </c>
      <c r="CD231" s="90" t="inlineStr">
        <is>
          <t/>
        </is>
      </c>
      <c r="CE231" s="91" t="inlineStr">
        <is>
          <t/>
        </is>
      </c>
      <c r="CF231" s="92" t="inlineStr">
        <is>
          <t>Completed</t>
        </is>
      </c>
      <c r="CG231" s="93" t="inlineStr">
        <is>
          <t>0,00%</t>
        </is>
      </c>
      <c r="CH231" s="94" t="inlineStr">
        <is>
          <t>23</t>
        </is>
      </c>
      <c r="CI231" s="95" t="inlineStr">
        <is>
          <t>0,00%</t>
        </is>
      </c>
      <c r="CJ231" s="96" t="inlineStr">
        <is>
          <t>0,00%</t>
        </is>
      </c>
      <c r="CK231" s="97" t="inlineStr">
        <is>
          <t>0,00%</t>
        </is>
      </c>
      <c r="CL231" s="98" t="inlineStr">
        <is>
          <t>18</t>
        </is>
      </c>
      <c r="CM231" s="99" t="inlineStr">
        <is>
          <t/>
        </is>
      </c>
      <c r="CN231" s="100" t="inlineStr">
        <is>
          <t/>
        </is>
      </c>
      <c r="CO231" s="101" t="inlineStr">
        <is>
          <t/>
        </is>
      </c>
      <c r="CP231" s="102" t="inlineStr">
        <is>
          <t/>
        </is>
      </c>
      <c r="CQ231" s="103" t="inlineStr">
        <is>
          <t>0,00%</t>
        </is>
      </c>
      <c r="CR231" s="104" t="inlineStr">
        <is>
          <t>13</t>
        </is>
      </c>
      <c r="CS231" s="105" t="inlineStr">
        <is>
          <t/>
        </is>
      </c>
      <c r="CT231" s="106" t="inlineStr">
        <is>
          <t/>
        </is>
      </c>
      <c r="CU231" s="107" t="inlineStr">
        <is>
          <t/>
        </is>
      </c>
      <c r="CV231" s="108" t="inlineStr">
        <is>
          <t/>
        </is>
      </c>
      <c r="CW231" s="109" t="inlineStr">
        <is>
          <t>0,69x</t>
        </is>
      </c>
      <c r="CX231" s="110" t="inlineStr">
        <is>
          <t>40</t>
        </is>
      </c>
      <c r="CY231" s="111" t="inlineStr">
        <is>
          <t>0,02x</t>
        </is>
      </c>
      <c r="CZ231" s="112" t="inlineStr">
        <is>
          <t>2,78%</t>
        </is>
      </c>
      <c r="DA231" s="113" t="inlineStr">
        <is>
          <t>0,69x</t>
        </is>
      </c>
      <c r="DB231" s="114" t="inlineStr">
        <is>
          <t>43</t>
        </is>
      </c>
      <c r="DC231" s="115" t="inlineStr">
        <is>
          <t/>
        </is>
      </c>
      <c r="DD231" s="116" t="inlineStr">
        <is>
          <t/>
        </is>
      </c>
      <c r="DE231" s="117" t="inlineStr">
        <is>
          <t/>
        </is>
      </c>
      <c r="DF231" s="118" t="inlineStr">
        <is>
          <t/>
        </is>
      </c>
      <c r="DG231" s="119" t="inlineStr">
        <is>
          <t>0,69x</t>
        </is>
      </c>
      <c r="DH231" s="120" t="inlineStr">
        <is>
          <t>43</t>
        </is>
      </c>
      <c r="DI231" s="121" t="inlineStr">
        <is>
          <t/>
        </is>
      </c>
      <c r="DJ231" s="122" t="inlineStr">
        <is>
          <t/>
        </is>
      </c>
      <c r="DK231" s="123" t="inlineStr">
        <is>
          <t/>
        </is>
      </c>
      <c r="DL231" s="124" t="inlineStr">
        <is>
          <t/>
        </is>
      </c>
      <c r="DM231" s="125" t="inlineStr">
        <is>
          <t>201</t>
        </is>
      </c>
      <c r="DN231" s="126" t="inlineStr">
        <is>
          <t>10</t>
        </is>
      </c>
      <c r="DO231" s="127" t="inlineStr">
        <is>
          <t>5,24%</t>
        </is>
      </c>
      <c r="DP231" s="128" t="inlineStr">
        <is>
          <t/>
        </is>
      </c>
      <c r="DQ231" s="129" t="inlineStr">
        <is>
          <t/>
        </is>
      </c>
      <c r="DR231" s="130" t="inlineStr">
        <is>
          <t/>
        </is>
      </c>
      <c r="DS231" s="131" t="inlineStr">
        <is>
          <t>25</t>
        </is>
      </c>
      <c r="DT231" s="132" t="inlineStr">
        <is>
          <t>0</t>
        </is>
      </c>
      <c r="DU231" s="133" t="inlineStr">
        <is>
          <t>0,00%</t>
        </is>
      </c>
      <c r="DV231" s="134" t="inlineStr">
        <is>
          <t/>
        </is>
      </c>
      <c r="DW231" s="135" t="inlineStr">
        <is>
          <t/>
        </is>
      </c>
      <c r="DX231" s="136" t="inlineStr">
        <is>
          <t/>
        </is>
      </c>
      <c r="DY231" s="137" t="inlineStr">
        <is>
          <t>PitchBook Research</t>
        </is>
      </c>
      <c r="DZ231" s="785">
        <f>HYPERLINK("https://my.pitchbook.com?c=100169-02", "View company online")</f>
      </c>
    </row>
    <row r="232">
      <c r="A232" s="139" t="inlineStr">
        <is>
          <t>98579-53</t>
        </is>
      </c>
      <c r="B232" s="140" t="inlineStr">
        <is>
          <t>Infoaccidentes</t>
        </is>
      </c>
      <c r="C232" s="141" t="inlineStr">
        <is>
          <t/>
        </is>
      </c>
      <c r="D232" s="142" t="inlineStr">
        <is>
          <t/>
        </is>
      </c>
      <c r="E232" s="143" t="inlineStr">
        <is>
          <t>98579-53</t>
        </is>
      </c>
      <c r="F232" s="144" t="inlineStr">
        <is>
          <t>Provider of a mobile application intended to offer assistance to car crash casualties. The company's mobile application offers aid and information to traffic accident victims.</t>
        </is>
      </c>
      <c r="G232" s="145" t="inlineStr">
        <is>
          <t>Consumer Products and Services (B2C)</t>
        </is>
      </c>
      <c r="H232" s="146" t="inlineStr">
        <is>
          <t>Services (Non-Financial)</t>
        </is>
      </c>
      <c r="I232" s="147" t="inlineStr">
        <is>
          <t>Legal Services (B2C)</t>
        </is>
      </c>
      <c r="J232" s="148" t="inlineStr">
        <is>
          <t>Legal Services (B2C)*; Other Services (B2C Non-Financial); Other Insurance</t>
        </is>
      </c>
      <c r="K232" s="149" t="inlineStr">
        <is>
          <t>Mobile</t>
        </is>
      </c>
      <c r="L232" s="150" t="inlineStr">
        <is>
          <t>Venture Capital-Backed</t>
        </is>
      </c>
      <c r="M232" s="151" t="n">
        <v>50.0</v>
      </c>
      <c r="N232" s="152" t="inlineStr">
        <is>
          <t>Startup</t>
        </is>
      </c>
      <c r="O232" s="153" t="inlineStr">
        <is>
          <t>Privately Held (backing)</t>
        </is>
      </c>
      <c r="P232" s="154" t="inlineStr">
        <is>
          <t>Venture Capital</t>
        </is>
      </c>
      <c r="Q232" s="155" t="inlineStr">
        <is>
          <t>www.infoaccidentes.com</t>
        </is>
      </c>
      <c r="R232" s="156" t="n">
        <v>1.0</v>
      </c>
      <c r="S232" s="157" t="inlineStr">
        <is>
          <t/>
        </is>
      </c>
      <c r="T232" s="158" t="inlineStr">
        <is>
          <t/>
        </is>
      </c>
      <c r="U232" s="159" t="n">
        <v>2012.0</v>
      </c>
      <c r="V232" s="160" t="inlineStr">
        <is>
          <t/>
        </is>
      </c>
      <c r="W232" s="161" t="inlineStr">
        <is>
          <t/>
        </is>
      </c>
      <c r="X232" s="162" t="inlineStr">
        <is>
          <t/>
        </is>
      </c>
      <c r="Y232" s="163" t="inlineStr">
        <is>
          <t/>
        </is>
      </c>
      <c r="Z232" s="164" t="inlineStr">
        <is>
          <t/>
        </is>
      </c>
      <c r="AA232" s="165" t="inlineStr">
        <is>
          <t/>
        </is>
      </c>
      <c r="AB232" s="166" t="inlineStr">
        <is>
          <t/>
        </is>
      </c>
      <c r="AC232" s="167" t="inlineStr">
        <is>
          <t/>
        </is>
      </c>
      <c r="AD232" s="168" t="inlineStr">
        <is>
          <t/>
        </is>
      </c>
      <c r="AE232" s="169" t="inlineStr">
        <is>
          <t/>
        </is>
      </c>
      <c r="AF232" s="170" t="inlineStr">
        <is>
          <t/>
        </is>
      </c>
      <c r="AG232" s="171" t="inlineStr">
        <is>
          <t/>
        </is>
      </c>
      <c r="AH232" s="172" t="inlineStr">
        <is>
          <t/>
        </is>
      </c>
      <c r="AI232" s="173" t="inlineStr">
        <is>
          <t/>
        </is>
      </c>
      <c r="AJ232" s="174" t="inlineStr">
        <is>
          <t>Valencia, Spain</t>
        </is>
      </c>
      <c r="AK232" s="175" t="inlineStr">
        <is>
          <t>Avenida Tres Cruces, 44</t>
        </is>
      </c>
      <c r="AL232" s="176" t="inlineStr">
        <is>
          <t/>
        </is>
      </c>
      <c r="AM232" s="177" t="inlineStr">
        <is>
          <t>Valencia</t>
        </is>
      </c>
      <c r="AN232" s="178" t="inlineStr">
        <is>
          <t/>
        </is>
      </c>
      <c r="AO232" s="179" t="inlineStr">
        <is>
          <t>46014</t>
        </is>
      </c>
      <c r="AP232" s="180" t="inlineStr">
        <is>
          <t>Spain</t>
        </is>
      </c>
      <c r="AQ232" s="181" t="inlineStr">
        <is>
          <t>+34 96 710 1215</t>
        </is>
      </c>
      <c r="AR232" s="182" t="inlineStr">
        <is>
          <t/>
        </is>
      </c>
      <c r="AS232" s="183" t="inlineStr">
        <is>
          <t>info@infoaccindenes.com</t>
        </is>
      </c>
      <c r="AT232" s="184" t="inlineStr">
        <is>
          <t>Europe</t>
        </is>
      </c>
      <c r="AU232" s="185" t="inlineStr">
        <is>
          <t>Southern Europe</t>
        </is>
      </c>
      <c r="AV232" s="186" t="inlineStr">
        <is>
          <t>The company joined Business Booster on February 7, 2012. Prior to that, the company raised EUR 50 million of venture funding from Empresa Nacional de Innovacion in 2012.</t>
        </is>
      </c>
      <c r="AW232" s="187" t="inlineStr">
        <is>
          <t>Business Booster, Empresa Nacional de Innovación</t>
        </is>
      </c>
      <c r="AX232" s="188" t="n">
        <v>2.0</v>
      </c>
      <c r="AY232" s="189" t="inlineStr">
        <is>
          <t/>
        </is>
      </c>
      <c r="AZ232" s="190" t="inlineStr">
        <is>
          <t/>
        </is>
      </c>
      <c r="BA232" s="191" t="inlineStr">
        <is>
          <t/>
        </is>
      </c>
      <c r="BB232" s="192" t="inlineStr">
        <is>
          <t>Business Booster (www.bbooster.org), Empresa Nacional de Innovación (www.enisa.es)</t>
        </is>
      </c>
      <c r="BC232" s="193" t="inlineStr">
        <is>
          <t/>
        </is>
      </c>
      <c r="BD232" s="194" t="inlineStr">
        <is>
          <t/>
        </is>
      </c>
      <c r="BE232" s="195" t="inlineStr">
        <is>
          <t/>
        </is>
      </c>
      <c r="BF232" s="196" t="inlineStr">
        <is>
          <t/>
        </is>
      </c>
      <c r="BG232" s="197" t="n">
        <v>40909.0</v>
      </c>
      <c r="BH232" s="198" t="n">
        <v>50.0</v>
      </c>
      <c r="BI232" s="199" t="inlineStr">
        <is>
          <t>Actual</t>
        </is>
      </c>
      <c r="BJ232" s="200" t="inlineStr">
        <is>
          <t/>
        </is>
      </c>
      <c r="BK232" s="201" t="inlineStr">
        <is>
          <t/>
        </is>
      </c>
      <c r="BL232" s="202" t="inlineStr">
        <is>
          <t>Early Stage VC</t>
        </is>
      </c>
      <c r="BM232" s="203" t="inlineStr">
        <is>
          <t/>
        </is>
      </c>
      <c r="BN232" s="204" t="inlineStr">
        <is>
          <t/>
        </is>
      </c>
      <c r="BO232" s="205" t="inlineStr">
        <is>
          <t>Venture Capital</t>
        </is>
      </c>
      <c r="BP232" s="206" t="inlineStr">
        <is>
          <t/>
        </is>
      </c>
      <c r="BQ232" s="207" t="inlineStr">
        <is>
          <t/>
        </is>
      </c>
      <c r="BR232" s="208" t="inlineStr">
        <is>
          <t/>
        </is>
      </c>
      <c r="BS232" s="209" t="inlineStr">
        <is>
          <t>Completed</t>
        </is>
      </c>
      <c r="BT232" s="210" t="n">
        <v>40946.0</v>
      </c>
      <c r="BU232" s="211" t="inlineStr">
        <is>
          <t/>
        </is>
      </c>
      <c r="BV232" s="212" t="inlineStr">
        <is>
          <t/>
        </is>
      </c>
      <c r="BW232" s="213" t="inlineStr">
        <is>
          <t/>
        </is>
      </c>
      <c r="BX232" s="214" t="inlineStr">
        <is>
          <t/>
        </is>
      </c>
      <c r="BY232" s="215" t="inlineStr">
        <is>
          <t>Accelerator/Incubator</t>
        </is>
      </c>
      <c r="BZ232" s="216" t="inlineStr">
        <is>
          <t/>
        </is>
      </c>
      <c r="CA232" s="217" t="inlineStr">
        <is>
          <t/>
        </is>
      </c>
      <c r="CB232" s="218" t="inlineStr">
        <is>
          <t>Other</t>
        </is>
      </c>
      <c r="CC232" s="219" t="inlineStr">
        <is>
          <t/>
        </is>
      </c>
      <c r="CD232" s="220" t="inlineStr">
        <is>
          <t/>
        </is>
      </c>
      <c r="CE232" s="221" t="inlineStr">
        <is>
          <t/>
        </is>
      </c>
      <c r="CF232" s="222" t="inlineStr">
        <is>
          <t>Completed</t>
        </is>
      </c>
      <c r="CG232" s="223" t="inlineStr">
        <is>
          <t>-4,73%</t>
        </is>
      </c>
      <c r="CH232" s="224" t="inlineStr">
        <is>
          <t>1</t>
        </is>
      </c>
      <c r="CI232" s="225" t="inlineStr">
        <is>
          <t>0,00%</t>
        </is>
      </c>
      <c r="CJ232" s="226" t="inlineStr">
        <is>
          <t>0,00%</t>
        </is>
      </c>
      <c r="CK232" s="227" t="inlineStr">
        <is>
          <t>-4,73%</t>
        </is>
      </c>
      <c r="CL232" s="228" t="inlineStr">
        <is>
          <t>2</t>
        </is>
      </c>
      <c r="CM232" s="229" t="inlineStr">
        <is>
          <t/>
        </is>
      </c>
      <c r="CN232" s="230" t="inlineStr">
        <is>
          <t/>
        </is>
      </c>
      <c r="CO232" s="231" t="inlineStr">
        <is>
          <t>-4,73%</t>
        </is>
      </c>
      <c r="CP232" s="232" t="inlineStr">
        <is>
          <t>7</t>
        </is>
      </c>
      <c r="CQ232" s="233" t="inlineStr">
        <is>
          <t/>
        </is>
      </c>
      <c r="CR232" s="234" t="inlineStr">
        <is>
          <t/>
        </is>
      </c>
      <c r="CS232" s="235" t="inlineStr">
        <is>
          <t/>
        </is>
      </c>
      <c r="CT232" s="236" t="inlineStr">
        <is>
          <t/>
        </is>
      </c>
      <c r="CU232" s="237" t="inlineStr">
        <is>
          <t/>
        </is>
      </c>
      <c r="CV232" s="238" t="inlineStr">
        <is>
          <t/>
        </is>
      </c>
      <c r="CW232" s="239" t="inlineStr">
        <is>
          <t>2,05x</t>
        </is>
      </c>
      <c r="CX232" s="240" t="inlineStr">
        <is>
          <t>65</t>
        </is>
      </c>
      <c r="CY232" s="241" t="inlineStr">
        <is>
          <t>0,00x</t>
        </is>
      </c>
      <c r="CZ232" s="242" t="inlineStr">
        <is>
          <t>0,00%</t>
        </is>
      </c>
      <c r="DA232" s="243" t="inlineStr">
        <is>
          <t>2,05x</t>
        </is>
      </c>
      <c r="DB232" s="244" t="inlineStr">
        <is>
          <t>67</t>
        </is>
      </c>
      <c r="DC232" s="245" t="inlineStr">
        <is>
          <t/>
        </is>
      </c>
      <c r="DD232" s="246" t="inlineStr">
        <is>
          <t/>
        </is>
      </c>
      <c r="DE232" s="247" t="inlineStr">
        <is>
          <t>2,05x</t>
        </is>
      </c>
      <c r="DF232" s="248" t="inlineStr">
        <is>
          <t>64</t>
        </is>
      </c>
      <c r="DG232" s="249" t="inlineStr">
        <is>
          <t/>
        </is>
      </c>
      <c r="DH232" s="250" t="inlineStr">
        <is>
          <t/>
        </is>
      </c>
      <c r="DI232" s="251" t="inlineStr">
        <is>
          <t/>
        </is>
      </c>
      <c r="DJ232" s="252" t="inlineStr">
        <is>
          <t/>
        </is>
      </c>
      <c r="DK232" s="253" t="inlineStr">
        <is>
          <t/>
        </is>
      </c>
      <c r="DL232" s="254" t="inlineStr">
        <is>
          <t/>
        </is>
      </c>
      <c r="DM232" s="255" t="inlineStr">
        <is>
          <t>1.233</t>
        </is>
      </c>
      <c r="DN232" s="256" t="inlineStr">
        <is>
          <t>78</t>
        </is>
      </c>
      <c r="DO232" s="257" t="inlineStr">
        <is>
          <t>6,75%</t>
        </is>
      </c>
      <c r="DP232" s="258" t="inlineStr">
        <is>
          <t/>
        </is>
      </c>
      <c r="DQ232" s="259" t="inlineStr">
        <is>
          <t/>
        </is>
      </c>
      <c r="DR232" s="260" t="inlineStr">
        <is>
          <t/>
        </is>
      </c>
      <c r="DS232" s="261" t="inlineStr">
        <is>
          <t/>
        </is>
      </c>
      <c r="DT232" s="262" t="inlineStr">
        <is>
          <t/>
        </is>
      </c>
      <c r="DU232" s="263" t="inlineStr">
        <is>
          <t/>
        </is>
      </c>
      <c r="DV232" s="264" t="inlineStr">
        <is>
          <t/>
        </is>
      </c>
      <c r="DW232" s="265" t="inlineStr">
        <is>
          <t/>
        </is>
      </c>
      <c r="DX232" s="266" t="inlineStr">
        <is>
          <t/>
        </is>
      </c>
      <c r="DY232" s="267" t="inlineStr">
        <is>
          <t>PitchBook Research</t>
        </is>
      </c>
      <c r="DZ232" s="786">
        <f>HYPERLINK("https://my.pitchbook.com?c=98579-53", "View company online")</f>
      </c>
    </row>
    <row r="233">
      <c r="A233" s="9" t="inlineStr">
        <is>
          <t>97693-21</t>
        </is>
      </c>
      <c r="B233" s="10" t="inlineStr">
        <is>
          <t>Inivata</t>
        </is>
      </c>
      <c r="C233" s="11" t="inlineStr">
        <is>
          <t/>
        </is>
      </c>
      <c r="D233" s="12" t="inlineStr">
        <is>
          <t/>
        </is>
      </c>
      <c r="E233" s="13" t="inlineStr">
        <is>
          <t>97693-21</t>
        </is>
      </c>
      <c r="F233" s="14" t="inlineStr">
        <is>
          <t>Provider of clinical cancer genomics monitoring platform designed to transform clinical cancer care with liquid biopsy. The company's clinical cancer genomics monitoring platform focuses on harnessing the potential of circulating tumor DNA (ctDNA) analysis, enabling doctors to improve cancer testing and treatment.</t>
        </is>
      </c>
      <c r="G233" s="15" t="inlineStr">
        <is>
          <t>Healthcare</t>
        </is>
      </c>
      <c r="H233" s="16" t="inlineStr">
        <is>
          <t>Pharmaceuticals and Biotechnology</t>
        </is>
      </c>
      <c r="I233" s="17" t="inlineStr">
        <is>
          <t>Biotechnology</t>
        </is>
      </c>
      <c r="J233" s="18" t="inlineStr">
        <is>
          <t>Biotechnology*; Drug Discovery</t>
        </is>
      </c>
      <c r="K233" s="19" t="inlineStr">
        <is>
          <t>Life Sciences, Oncology</t>
        </is>
      </c>
      <c r="L233" s="20" t="inlineStr">
        <is>
          <t>Venture Capital-Backed</t>
        </is>
      </c>
      <c r="M233" s="21" t="n">
        <v>46.88</v>
      </c>
      <c r="N233" s="22" t="inlineStr">
        <is>
          <t>Startup</t>
        </is>
      </c>
      <c r="O233" s="23" t="inlineStr">
        <is>
          <t>Privately Held (backing)</t>
        </is>
      </c>
      <c r="P233" s="24" t="inlineStr">
        <is>
          <t>Venture Capital</t>
        </is>
      </c>
      <c r="Q233" s="25" t="inlineStr">
        <is>
          <t>www.inivata.com</t>
        </is>
      </c>
      <c r="R233" s="26" t="inlineStr">
        <is>
          <t/>
        </is>
      </c>
      <c r="S233" s="27" t="inlineStr">
        <is>
          <t/>
        </is>
      </c>
      <c r="T233" s="28" t="inlineStr">
        <is>
          <t/>
        </is>
      </c>
      <c r="U233" s="29" t="n">
        <v>2014.0</v>
      </c>
      <c r="V233" s="30" t="inlineStr">
        <is>
          <t/>
        </is>
      </c>
      <c r="W233" s="31" t="inlineStr">
        <is>
          <t/>
        </is>
      </c>
      <c r="X233" s="32" t="inlineStr">
        <is>
          <t/>
        </is>
      </c>
      <c r="Y233" s="33" t="inlineStr">
        <is>
          <t/>
        </is>
      </c>
      <c r="Z233" s="34" t="inlineStr">
        <is>
          <t/>
        </is>
      </c>
      <c r="AA233" s="35" t="n">
        <v>-4.38234</v>
      </c>
      <c r="AB233" s="36" t="inlineStr">
        <is>
          <t/>
        </is>
      </c>
      <c r="AC233" s="37" t="n">
        <v>-4.31803</v>
      </c>
      <c r="AD233" s="38" t="inlineStr">
        <is>
          <t>FY 2015</t>
        </is>
      </c>
      <c r="AE233" s="39" t="inlineStr">
        <is>
          <t>40199-86P</t>
        </is>
      </c>
      <c r="AF233" s="40" t="inlineStr">
        <is>
          <t>Michael Stocum</t>
        </is>
      </c>
      <c r="AG233" s="41" t="inlineStr">
        <is>
          <t>Chief Executive Officer &amp; Board Member</t>
        </is>
      </c>
      <c r="AH233" s="42" t="inlineStr">
        <is>
          <t>michael@inivata.com</t>
        </is>
      </c>
      <c r="AI233" s="43" t="inlineStr">
        <is>
          <t>+44 (0)12 2379 0880</t>
        </is>
      </c>
      <c r="AJ233" s="44" t="inlineStr">
        <is>
          <t>Cambridge, United Kingdom</t>
        </is>
      </c>
      <c r="AK233" s="45" t="inlineStr">
        <is>
          <t>The Portway Building</t>
        </is>
      </c>
      <c r="AL233" s="46" t="inlineStr">
        <is>
          <t>Granta Park</t>
        </is>
      </c>
      <c r="AM233" s="47" t="inlineStr">
        <is>
          <t>Cambridge</t>
        </is>
      </c>
      <c r="AN233" s="48" t="inlineStr">
        <is>
          <t>England</t>
        </is>
      </c>
      <c r="AO233" s="49" t="inlineStr">
        <is>
          <t>CB21 6GS</t>
        </is>
      </c>
      <c r="AP233" s="50" t="inlineStr">
        <is>
          <t>United Kingdom</t>
        </is>
      </c>
      <c r="AQ233" s="51" t="inlineStr">
        <is>
          <t>+44 (0)12 2379 0880</t>
        </is>
      </c>
      <c r="AR233" s="52" t="inlineStr">
        <is>
          <t/>
        </is>
      </c>
      <c r="AS233" s="53" t="inlineStr">
        <is>
          <t>info@inivata.com</t>
        </is>
      </c>
      <c r="AT233" s="54" t="inlineStr">
        <is>
          <t>Europe</t>
        </is>
      </c>
      <c r="AU233" s="55" t="inlineStr">
        <is>
          <t>Western Europe</t>
        </is>
      </c>
      <c r="AV233" s="56" t="inlineStr">
        <is>
          <t>The company raised GBP 31.5 million of Series A venture funding from Woodford Investment Management, Touchstone Innovations and Cambridge Innovation Capital on January 26, 2016, putting the pre-money valuation at GBP 10.44 million. Johnson &amp; Johnson Innovation also participated in this round. Out of the total transaction, GBP 21 million was raised in the form of debt financing. The company will use funds to accelerate clinical studies to validate its technology platform based on enhanced TAm-Seq and commercialize their first products.</t>
        </is>
      </c>
      <c r="AW233" s="57" t="inlineStr">
        <is>
          <t>Cambridge Innovation Capital, Cancer Research Technology, Johnson &amp; Johnson Innovation - JJDC, Touchstone Innovations, Woodford Investment Management</t>
        </is>
      </c>
      <c r="AX233" s="58" t="n">
        <v>5.0</v>
      </c>
      <c r="AY233" s="59" t="inlineStr">
        <is>
          <t/>
        </is>
      </c>
      <c r="AZ233" s="60" t="inlineStr">
        <is>
          <t/>
        </is>
      </c>
      <c r="BA233" s="61" t="inlineStr">
        <is>
          <t/>
        </is>
      </c>
      <c r="BB233" s="62" t="inlineStr">
        <is>
          <t>Cambridge Innovation Capital (www.cicplc.co.uk), Cancer Research Technology (commercial.cancerresearchuk.org), Johnson &amp; Johnson Innovation - JJDC (www.jnjinnovation.com/jjdc), Touchstone Innovations (www.touchstoneinnovations.com), Woodford Investment Management (woodfordfunds.com)</t>
        </is>
      </c>
      <c r="BC233" s="63" t="inlineStr">
        <is>
          <t/>
        </is>
      </c>
      <c r="BD233" s="64" t="inlineStr">
        <is>
          <t/>
        </is>
      </c>
      <c r="BE233" s="65" t="inlineStr">
        <is>
          <t/>
        </is>
      </c>
      <c r="BF233" s="66" t="inlineStr">
        <is>
          <t/>
        </is>
      </c>
      <c r="BG233" s="67" t="n">
        <v>41905.0</v>
      </c>
      <c r="BH233" s="68" t="n">
        <v>5.06</v>
      </c>
      <c r="BI233" s="69" t="inlineStr">
        <is>
          <t>Actual</t>
        </is>
      </c>
      <c r="BJ233" s="70" t="n">
        <v>6.95</v>
      </c>
      <c r="BK233" s="71" t="inlineStr">
        <is>
          <t>Actual</t>
        </is>
      </c>
      <c r="BL233" s="72" t="inlineStr">
        <is>
          <t>Early Stage VC</t>
        </is>
      </c>
      <c r="BM233" s="73" t="inlineStr">
        <is>
          <t/>
        </is>
      </c>
      <c r="BN233" s="74" t="inlineStr">
        <is>
          <t/>
        </is>
      </c>
      <c r="BO233" s="75" t="inlineStr">
        <is>
          <t>Venture Capital</t>
        </is>
      </c>
      <c r="BP233" s="76" t="inlineStr">
        <is>
          <t/>
        </is>
      </c>
      <c r="BQ233" s="77" t="inlineStr">
        <is>
          <t/>
        </is>
      </c>
      <c r="BR233" s="78" t="inlineStr">
        <is>
          <t/>
        </is>
      </c>
      <c r="BS233" s="79" t="inlineStr">
        <is>
          <t>Completed</t>
        </is>
      </c>
      <c r="BT233" s="80" t="n">
        <v>42395.0</v>
      </c>
      <c r="BU233" s="81" t="n">
        <v>41.83</v>
      </c>
      <c r="BV233" s="82" t="inlineStr">
        <is>
          <t>Actual</t>
        </is>
      </c>
      <c r="BW233" s="83" t="n">
        <v>27.81</v>
      </c>
      <c r="BX233" s="84" t="inlineStr">
        <is>
          <t>Actual</t>
        </is>
      </c>
      <c r="BY233" s="85" t="inlineStr">
        <is>
          <t>Early Stage VC</t>
        </is>
      </c>
      <c r="BZ233" s="86" t="inlineStr">
        <is>
          <t>Series A</t>
        </is>
      </c>
      <c r="CA233" s="87" t="inlineStr">
        <is>
          <t/>
        </is>
      </c>
      <c r="CB233" s="88" t="inlineStr">
        <is>
          <t>Venture Capital</t>
        </is>
      </c>
      <c r="CC233" s="89" t="inlineStr">
        <is>
          <t>Loan</t>
        </is>
      </c>
      <c r="CD233" s="90" t="inlineStr">
        <is>
          <t/>
        </is>
      </c>
      <c r="CE233" s="91" t="inlineStr">
        <is>
          <t/>
        </is>
      </c>
      <c r="CF233" s="92" t="inlineStr">
        <is>
          <t>Completed</t>
        </is>
      </c>
      <c r="CG233" s="93" t="inlineStr">
        <is>
          <t>0,26%</t>
        </is>
      </c>
      <c r="CH233" s="94" t="inlineStr">
        <is>
          <t>80</t>
        </is>
      </c>
      <c r="CI233" s="95" t="inlineStr">
        <is>
          <t>0,00%</t>
        </is>
      </c>
      <c r="CJ233" s="96" t="inlineStr">
        <is>
          <t>-0,50%</t>
        </is>
      </c>
      <c r="CK233" s="97" t="inlineStr">
        <is>
          <t>0,00%</t>
        </is>
      </c>
      <c r="CL233" s="98" t="inlineStr">
        <is>
          <t>18</t>
        </is>
      </c>
      <c r="CM233" s="99" t="inlineStr">
        <is>
          <t>0,52%</t>
        </is>
      </c>
      <c r="CN233" s="100" t="inlineStr">
        <is>
          <t>90</t>
        </is>
      </c>
      <c r="CO233" s="101" t="inlineStr">
        <is>
          <t>0,00%</t>
        </is>
      </c>
      <c r="CP233" s="102" t="inlineStr">
        <is>
          <t>26</t>
        </is>
      </c>
      <c r="CQ233" s="103" t="inlineStr">
        <is>
          <t/>
        </is>
      </c>
      <c r="CR233" s="104" t="inlineStr">
        <is>
          <t/>
        </is>
      </c>
      <c r="CS233" s="105" t="inlineStr">
        <is>
          <t/>
        </is>
      </c>
      <c r="CT233" s="106" t="inlineStr">
        <is>
          <t/>
        </is>
      </c>
      <c r="CU233" s="107" t="inlineStr">
        <is>
          <t>0,52%</t>
        </is>
      </c>
      <c r="CV233" s="108" t="inlineStr">
        <is>
          <t>92</t>
        </is>
      </c>
      <c r="CW233" s="109" t="inlineStr">
        <is>
          <t>1,25x</t>
        </is>
      </c>
      <c r="CX233" s="110" t="inlineStr">
        <is>
          <t>54</t>
        </is>
      </c>
      <c r="CY233" s="111" t="inlineStr">
        <is>
          <t>0,03x</t>
        </is>
      </c>
      <c r="CZ233" s="112" t="inlineStr">
        <is>
          <t>2,29%</t>
        </is>
      </c>
      <c r="DA233" s="113" t="inlineStr">
        <is>
          <t>0,70x</t>
        </is>
      </c>
      <c r="DB233" s="114" t="inlineStr">
        <is>
          <t>44</t>
        </is>
      </c>
      <c r="DC233" s="115" t="inlineStr">
        <is>
          <t>1,81x</t>
        </is>
      </c>
      <c r="DD233" s="116" t="inlineStr">
        <is>
          <t>59</t>
        </is>
      </c>
      <c r="DE233" s="117" t="inlineStr">
        <is>
          <t>0,70x</t>
        </is>
      </c>
      <c r="DF233" s="118" t="inlineStr">
        <is>
          <t>43</t>
        </is>
      </c>
      <c r="DG233" s="119" t="inlineStr">
        <is>
          <t/>
        </is>
      </c>
      <c r="DH233" s="120" t="inlineStr">
        <is>
          <t/>
        </is>
      </c>
      <c r="DI233" s="121" t="inlineStr">
        <is>
          <t/>
        </is>
      </c>
      <c r="DJ233" s="122" t="inlineStr">
        <is>
          <t/>
        </is>
      </c>
      <c r="DK233" s="123" t="inlineStr">
        <is>
          <t>1,81x</t>
        </is>
      </c>
      <c r="DL233" s="124" t="inlineStr">
        <is>
          <t>61</t>
        </is>
      </c>
      <c r="DM233" s="125" t="inlineStr">
        <is>
          <t>429</t>
        </is>
      </c>
      <c r="DN233" s="126" t="inlineStr">
        <is>
          <t>-3</t>
        </is>
      </c>
      <c r="DO233" s="127" t="inlineStr">
        <is>
          <t>-0,69%</t>
        </is>
      </c>
      <c r="DP233" s="128" t="inlineStr">
        <is>
          <t/>
        </is>
      </c>
      <c r="DQ233" s="129" t="inlineStr">
        <is>
          <t/>
        </is>
      </c>
      <c r="DR233" s="130" t="inlineStr">
        <is>
          <t/>
        </is>
      </c>
      <c r="DS233" s="131" t="inlineStr">
        <is>
          <t/>
        </is>
      </c>
      <c r="DT233" s="132" t="inlineStr">
        <is>
          <t/>
        </is>
      </c>
      <c r="DU233" s="133" t="inlineStr">
        <is>
          <t/>
        </is>
      </c>
      <c r="DV233" s="134" t="inlineStr">
        <is>
          <t>616</t>
        </is>
      </c>
      <c r="DW233" s="135" t="inlineStr">
        <is>
          <t>3</t>
        </is>
      </c>
      <c r="DX233" s="136" t="inlineStr">
        <is>
          <t>0,49%</t>
        </is>
      </c>
      <c r="DY233" s="137" t="inlineStr">
        <is>
          <t>PitchBook Research</t>
        </is>
      </c>
      <c r="DZ233" s="785">
        <f>HYPERLINK("https://my.pitchbook.com?c=97693-21", "View company online")</f>
      </c>
    </row>
    <row r="234">
      <c r="A234" s="139" t="inlineStr">
        <is>
          <t>61963-66</t>
        </is>
      </c>
      <c r="B234" s="140" t="inlineStr">
        <is>
          <t>Inotrem</t>
        </is>
      </c>
      <c r="C234" s="141" t="inlineStr">
        <is>
          <t/>
        </is>
      </c>
      <c r="D234" s="142" t="inlineStr">
        <is>
          <t/>
        </is>
      </c>
      <c r="E234" s="143" t="inlineStr">
        <is>
          <t>61963-66</t>
        </is>
      </c>
      <c r="F234" s="144" t="inlineStr">
        <is>
          <t>Developer of novel treatments designed to offer first-in-class immunotherapies for the treatment of inflammatory diseases. The company's novel treatments focus on targeted immunotherapy for acute inflammatory syndromes and has strong expertise around the biology of the TREM-1 receptor, enabling healthcare professionals focus on critical care and treat patients with acute inflammatory syndromes.</t>
        </is>
      </c>
      <c r="G234" s="145" t="inlineStr">
        <is>
          <t>Healthcare</t>
        </is>
      </c>
      <c r="H234" s="146" t="inlineStr">
        <is>
          <t>Pharmaceuticals and Biotechnology</t>
        </is>
      </c>
      <c r="I234" s="147" t="inlineStr">
        <is>
          <t>Drug Discovery</t>
        </is>
      </c>
      <c r="J234" s="148" t="inlineStr">
        <is>
          <t>Drug Discovery*; Other Pharmaceuticals and Biotechnology; Other Healthcare</t>
        </is>
      </c>
      <c r="K234" s="149" t="inlineStr">
        <is>
          <t>Life Sciences</t>
        </is>
      </c>
      <c r="L234" s="150" t="inlineStr">
        <is>
          <t>Venture Capital-Backed</t>
        </is>
      </c>
      <c r="M234" s="151" t="n">
        <v>18.0</v>
      </c>
      <c r="N234" s="152" t="inlineStr">
        <is>
          <t>Startup</t>
        </is>
      </c>
      <c r="O234" s="153" t="inlineStr">
        <is>
          <t>Privately Held (backing)</t>
        </is>
      </c>
      <c r="P234" s="154" t="inlineStr">
        <is>
          <t>Venture Capital</t>
        </is>
      </c>
      <c r="Q234" s="155" t="inlineStr">
        <is>
          <t>www.inotrem.com</t>
        </is>
      </c>
      <c r="R234" s="156" t="n">
        <v>7.0</v>
      </c>
      <c r="S234" s="157" t="inlineStr">
        <is>
          <t/>
        </is>
      </c>
      <c r="T234" s="158" t="inlineStr">
        <is>
          <t/>
        </is>
      </c>
      <c r="U234" s="159" t="n">
        <v>2013.0</v>
      </c>
      <c r="V234" s="160" t="inlineStr">
        <is>
          <t/>
        </is>
      </c>
      <c r="W234" s="161" t="inlineStr">
        <is>
          <t/>
        </is>
      </c>
      <c r="X234" s="162" t="inlineStr">
        <is>
          <t/>
        </is>
      </c>
      <c r="Y234" s="163" t="n">
        <v>0.00919</v>
      </c>
      <c r="Z234" s="164" t="inlineStr">
        <is>
          <t/>
        </is>
      </c>
      <c r="AA234" s="165" t="n">
        <v>-3.16962</v>
      </c>
      <c r="AB234" s="166" t="inlineStr">
        <is>
          <t/>
        </is>
      </c>
      <c r="AC234" s="167" t="n">
        <v>-3.91379</v>
      </c>
      <c r="AD234" s="168" t="inlineStr">
        <is>
          <t>FY 2015</t>
        </is>
      </c>
      <c r="AE234" s="169" t="inlineStr">
        <is>
          <t>61683-04P</t>
        </is>
      </c>
      <c r="AF234" s="170" t="inlineStr">
        <is>
          <t>Jean-Jacques Garaud</t>
        </is>
      </c>
      <c r="AG234" s="171" t="inlineStr">
        <is>
          <t>Chief Executive Officer, Co-Founder &amp; Board Member</t>
        </is>
      </c>
      <c r="AH234" s="172" t="inlineStr">
        <is>
          <t/>
        </is>
      </c>
      <c r="AI234" s="173" t="inlineStr">
        <is>
          <t/>
        </is>
      </c>
      <c r="AJ234" s="174" t="inlineStr">
        <is>
          <t>Paris, France</t>
        </is>
      </c>
      <c r="AK234" s="175" t="inlineStr">
        <is>
          <t>114 rue de la Boetie</t>
        </is>
      </c>
      <c r="AL234" s="176" t="inlineStr">
        <is>
          <t/>
        </is>
      </c>
      <c r="AM234" s="177" t="inlineStr">
        <is>
          <t>Paris</t>
        </is>
      </c>
      <c r="AN234" s="178" t="inlineStr">
        <is>
          <t/>
        </is>
      </c>
      <c r="AO234" s="179" t="inlineStr">
        <is>
          <t>75008</t>
        </is>
      </c>
      <c r="AP234" s="180" t="inlineStr">
        <is>
          <t>France</t>
        </is>
      </c>
      <c r="AQ234" s="181" t="inlineStr">
        <is>
          <t/>
        </is>
      </c>
      <c r="AR234" s="182" t="inlineStr">
        <is>
          <t/>
        </is>
      </c>
      <c r="AS234" s="183" t="inlineStr">
        <is>
          <t/>
        </is>
      </c>
      <c r="AT234" s="184" t="inlineStr">
        <is>
          <t>Europe</t>
        </is>
      </c>
      <c r="AU234" s="185" t="inlineStr">
        <is>
          <t>Western Europe</t>
        </is>
      </c>
      <c r="AV234" s="186" t="inlineStr">
        <is>
          <t>The company raised EUR 18 million of Series A venture funding in a deal led by Edmond de Rothschild Investment Partners and Sofinnova Partners on March 13, 2014. BioMed Partners and Inserm Transfert Initiative also participated in this round.</t>
        </is>
      </c>
      <c r="AW234" s="187" t="inlineStr">
        <is>
          <t>BioMedPartners, Bpifrance, Edmond de Rothschild Investment Partners, Incubateur Lorrain, Inserm Transfert Initiative, Sofinnova Partners</t>
        </is>
      </c>
      <c r="AX234" s="188" t="n">
        <v>6.0</v>
      </c>
      <c r="AY234" s="189" t="inlineStr">
        <is>
          <t/>
        </is>
      </c>
      <c r="AZ234" s="190" t="inlineStr">
        <is>
          <t/>
        </is>
      </c>
      <c r="BA234" s="191" t="inlineStr">
        <is>
          <t/>
        </is>
      </c>
      <c r="BB234" s="192" t="inlineStr">
        <is>
          <t>BioMedPartners (www.biomedvc.com), Bpifrance (www.bpifrance.fr), Incubateur Lorrain (www.incubateurlorrain.org), Inserm Transfert Initiative (www.inserm-transfert-initiative.com), Sofinnova Partners (www.sofinnova.fr)</t>
        </is>
      </c>
      <c r="BC234" s="193" t="inlineStr">
        <is>
          <t/>
        </is>
      </c>
      <c r="BD234" s="194" t="inlineStr">
        <is>
          <t/>
        </is>
      </c>
      <c r="BE234" s="195" t="inlineStr">
        <is>
          <t/>
        </is>
      </c>
      <c r="BF234" s="196" t="inlineStr">
        <is>
          <t/>
        </is>
      </c>
      <c r="BG234" s="197" t="inlineStr">
        <is>
          <t/>
        </is>
      </c>
      <c r="BH234" s="198" t="inlineStr">
        <is>
          <t/>
        </is>
      </c>
      <c r="BI234" s="199" t="inlineStr">
        <is>
          <t/>
        </is>
      </c>
      <c r="BJ234" s="200" t="inlineStr">
        <is>
          <t/>
        </is>
      </c>
      <c r="BK234" s="201" t="inlineStr">
        <is>
          <t/>
        </is>
      </c>
      <c r="BL234" s="202" t="inlineStr">
        <is>
          <t>Seed Round</t>
        </is>
      </c>
      <c r="BM234" s="203" t="inlineStr">
        <is>
          <t>Seed</t>
        </is>
      </c>
      <c r="BN234" s="204" t="inlineStr">
        <is>
          <t/>
        </is>
      </c>
      <c r="BO234" s="205" t="inlineStr">
        <is>
          <t>Venture Capital</t>
        </is>
      </c>
      <c r="BP234" s="206" t="inlineStr">
        <is>
          <t/>
        </is>
      </c>
      <c r="BQ234" s="207" t="inlineStr">
        <is>
          <t/>
        </is>
      </c>
      <c r="BR234" s="208" t="inlineStr">
        <is>
          <t/>
        </is>
      </c>
      <c r="BS234" s="209" t="inlineStr">
        <is>
          <t>Completed</t>
        </is>
      </c>
      <c r="BT234" s="210" t="n">
        <v>41711.0</v>
      </c>
      <c r="BU234" s="211" t="n">
        <v>18.0</v>
      </c>
      <c r="BV234" s="212" t="inlineStr">
        <is>
          <t>Actual</t>
        </is>
      </c>
      <c r="BW234" s="213" t="inlineStr">
        <is>
          <t/>
        </is>
      </c>
      <c r="BX234" s="214" t="inlineStr">
        <is>
          <t/>
        </is>
      </c>
      <c r="BY234" s="215" t="inlineStr">
        <is>
          <t>Early Stage VC</t>
        </is>
      </c>
      <c r="BZ234" s="216" t="inlineStr">
        <is>
          <t>Series A</t>
        </is>
      </c>
      <c r="CA234" s="217" t="inlineStr">
        <is>
          <t/>
        </is>
      </c>
      <c r="CB234" s="218" t="inlineStr">
        <is>
          <t>Venture Capital</t>
        </is>
      </c>
      <c r="CC234" s="219" t="inlineStr">
        <is>
          <t/>
        </is>
      </c>
      <c r="CD234" s="220" t="inlineStr">
        <is>
          <t/>
        </is>
      </c>
      <c r="CE234" s="221" t="inlineStr">
        <is>
          <t/>
        </is>
      </c>
      <c r="CF234" s="222" t="inlineStr">
        <is>
          <t>Completed</t>
        </is>
      </c>
      <c r="CG234" s="223" t="inlineStr">
        <is>
          <t>0,00%</t>
        </is>
      </c>
      <c r="CH234" s="224" t="inlineStr">
        <is>
          <t>23</t>
        </is>
      </c>
      <c r="CI234" s="225" t="inlineStr">
        <is>
          <t>0,00%</t>
        </is>
      </c>
      <c r="CJ234" s="226" t="inlineStr">
        <is>
          <t>0,00%</t>
        </is>
      </c>
      <c r="CK234" s="227" t="inlineStr">
        <is>
          <t>0,00%</t>
        </is>
      </c>
      <c r="CL234" s="228" t="inlineStr">
        <is>
          <t>18</t>
        </is>
      </c>
      <c r="CM234" s="229" t="inlineStr">
        <is>
          <t/>
        </is>
      </c>
      <c r="CN234" s="230" t="inlineStr">
        <is>
          <t/>
        </is>
      </c>
      <c r="CO234" s="231" t="inlineStr">
        <is>
          <t>0,00%</t>
        </is>
      </c>
      <c r="CP234" s="232" t="inlineStr">
        <is>
          <t>26</t>
        </is>
      </c>
      <c r="CQ234" s="233" t="inlineStr">
        <is>
          <t>0,00%</t>
        </is>
      </c>
      <c r="CR234" s="234" t="inlineStr">
        <is>
          <t>13</t>
        </is>
      </c>
      <c r="CS234" s="235" t="inlineStr">
        <is>
          <t/>
        </is>
      </c>
      <c r="CT234" s="236" t="inlineStr">
        <is>
          <t/>
        </is>
      </c>
      <c r="CU234" s="237" t="inlineStr">
        <is>
          <t/>
        </is>
      </c>
      <c r="CV234" s="238" t="inlineStr">
        <is>
          <t/>
        </is>
      </c>
      <c r="CW234" s="239" t="inlineStr">
        <is>
          <t>0,21x</t>
        </is>
      </c>
      <c r="CX234" s="240" t="inlineStr">
        <is>
          <t>18</t>
        </is>
      </c>
      <c r="CY234" s="241" t="inlineStr">
        <is>
          <t>-0,01x</t>
        </is>
      </c>
      <c r="CZ234" s="242" t="inlineStr">
        <is>
          <t>-4,22%</t>
        </is>
      </c>
      <c r="DA234" s="243" t="inlineStr">
        <is>
          <t>0,21x</t>
        </is>
      </c>
      <c r="DB234" s="244" t="inlineStr">
        <is>
          <t>20</t>
        </is>
      </c>
      <c r="DC234" s="245" t="inlineStr">
        <is>
          <t/>
        </is>
      </c>
      <c r="DD234" s="246" t="inlineStr">
        <is>
          <t/>
        </is>
      </c>
      <c r="DE234" s="247" t="inlineStr">
        <is>
          <t>0,12x</t>
        </is>
      </c>
      <c r="DF234" s="248" t="inlineStr">
        <is>
          <t>11</t>
        </is>
      </c>
      <c r="DG234" s="249" t="inlineStr">
        <is>
          <t>0,31x</t>
        </is>
      </c>
      <c r="DH234" s="250" t="inlineStr">
        <is>
          <t>27</t>
        </is>
      </c>
      <c r="DI234" s="251" t="inlineStr">
        <is>
          <t/>
        </is>
      </c>
      <c r="DJ234" s="252" t="inlineStr">
        <is>
          <t/>
        </is>
      </c>
      <c r="DK234" s="253" t="inlineStr">
        <is>
          <t/>
        </is>
      </c>
      <c r="DL234" s="254" t="inlineStr">
        <is>
          <t/>
        </is>
      </c>
      <c r="DM234" s="255" t="inlineStr">
        <is>
          <t>74</t>
        </is>
      </c>
      <c r="DN234" s="256" t="inlineStr">
        <is>
          <t>-3</t>
        </is>
      </c>
      <c r="DO234" s="257" t="inlineStr">
        <is>
          <t>-3,90%</t>
        </is>
      </c>
      <c r="DP234" s="258" t="inlineStr">
        <is>
          <t/>
        </is>
      </c>
      <c r="DQ234" s="259" t="inlineStr">
        <is>
          <t/>
        </is>
      </c>
      <c r="DR234" s="260" t="inlineStr">
        <is>
          <t/>
        </is>
      </c>
      <c r="DS234" s="261" t="inlineStr">
        <is>
          <t>11</t>
        </is>
      </c>
      <c r="DT234" s="262" t="inlineStr">
        <is>
          <t>-1</t>
        </is>
      </c>
      <c r="DU234" s="263" t="inlineStr">
        <is>
          <t>-8,33%</t>
        </is>
      </c>
      <c r="DV234" s="264" t="inlineStr">
        <is>
          <t/>
        </is>
      </c>
      <c r="DW234" s="265" t="inlineStr">
        <is>
          <t/>
        </is>
      </c>
      <c r="DX234" s="266" t="inlineStr">
        <is>
          <t/>
        </is>
      </c>
      <c r="DY234" s="267" t="inlineStr">
        <is>
          <t>PitchBook Research</t>
        </is>
      </c>
      <c r="DZ234" s="786">
        <f>HYPERLINK("https://my.pitchbook.com?c=61963-66", "View company online")</f>
      </c>
    </row>
    <row r="235">
      <c r="A235" s="9" t="inlineStr">
        <is>
          <t>91388-35</t>
        </is>
      </c>
      <c r="B235" s="10" t="inlineStr">
        <is>
          <t>Instamart.ru</t>
        </is>
      </c>
      <c r="C235" s="11" t="inlineStr">
        <is>
          <t/>
        </is>
      </c>
      <c r="D235" s="12" t="inlineStr">
        <is>
          <t>Instamart</t>
        </is>
      </c>
      <c r="E235" s="13" t="inlineStr">
        <is>
          <t>91388-35</t>
        </is>
      </c>
      <c r="F235" s="14" t="inlineStr">
        <is>
          <t>Provider of grocery delivery services. The company offers delivery of products from retail grocery stores and supermarkets in Russia.</t>
        </is>
      </c>
      <c r="G235" s="15" t="inlineStr">
        <is>
          <t>Consumer Products and Services (B2C)</t>
        </is>
      </c>
      <c r="H235" s="16" t="inlineStr">
        <is>
          <t>Retail</t>
        </is>
      </c>
      <c r="I235" s="17" t="inlineStr">
        <is>
          <t>Other Retail</t>
        </is>
      </c>
      <c r="J235" s="18" t="inlineStr">
        <is>
          <t>Other Retail*</t>
        </is>
      </c>
      <c r="K235" s="19" t="inlineStr">
        <is>
          <t/>
        </is>
      </c>
      <c r="L235" s="20" t="inlineStr">
        <is>
          <t>Venture Capital-Backed</t>
        </is>
      </c>
      <c r="M235" s="21" t="n">
        <v>95.51</v>
      </c>
      <c r="N235" s="22" t="inlineStr">
        <is>
          <t>Generating Revenue</t>
        </is>
      </c>
      <c r="O235" s="23" t="inlineStr">
        <is>
          <t>Privately Held (backing)</t>
        </is>
      </c>
      <c r="P235" s="24" t="inlineStr">
        <is>
          <t>Venture Capital, M&amp;A</t>
        </is>
      </c>
      <c r="Q235" s="25" t="inlineStr">
        <is>
          <t>www.instamart.ru</t>
        </is>
      </c>
      <c r="R235" s="26" t="inlineStr">
        <is>
          <t/>
        </is>
      </c>
      <c r="S235" s="27" t="inlineStr">
        <is>
          <t/>
        </is>
      </c>
      <c r="T235" s="28" t="inlineStr">
        <is>
          <t/>
        </is>
      </c>
      <c r="U235" s="29" t="n">
        <v>2013.0</v>
      </c>
      <c r="V235" s="30" t="inlineStr">
        <is>
          <t/>
        </is>
      </c>
      <c r="W235" s="31" t="inlineStr">
        <is>
          <t/>
        </is>
      </c>
      <c r="X235" s="32" t="inlineStr">
        <is>
          <t/>
        </is>
      </c>
      <c r="Y235" s="33" t="n">
        <v>0.00847</v>
      </c>
      <c r="Z235" s="34" t="inlineStr">
        <is>
          <t/>
        </is>
      </c>
      <c r="AA235" s="35" t="inlineStr">
        <is>
          <t/>
        </is>
      </c>
      <c r="AB235" s="36" t="inlineStr">
        <is>
          <t/>
        </is>
      </c>
      <c r="AC235" s="37" t="inlineStr">
        <is>
          <t/>
        </is>
      </c>
      <c r="AD235" s="38" t="inlineStr">
        <is>
          <t>FY 2017</t>
        </is>
      </c>
      <c r="AE235" s="39" t="inlineStr">
        <is>
          <t>153045-46P</t>
        </is>
      </c>
      <c r="AF235" s="40" t="inlineStr">
        <is>
          <t>Peter Fedchenkov</t>
        </is>
      </c>
      <c r="AG235" s="41" t="inlineStr">
        <is>
          <t>Co-Founder</t>
        </is>
      </c>
      <c r="AH235" s="42" t="inlineStr">
        <is>
          <t>peter.fedchenkov@instamart.ru</t>
        </is>
      </c>
      <c r="AI235" s="43" t="inlineStr">
        <is>
          <t>+7 (8)495 120 6000</t>
        </is>
      </c>
      <c r="AJ235" s="44" t="inlineStr">
        <is>
          <t>Moscow, Russia</t>
        </is>
      </c>
      <c r="AK235" s="45" t="inlineStr">
        <is>
          <t>Str. Lobnenskaya, d. 6A</t>
        </is>
      </c>
      <c r="AL235" s="46" t="inlineStr">
        <is>
          <t/>
        </is>
      </c>
      <c r="AM235" s="47" t="inlineStr">
        <is>
          <t>Moscow</t>
        </is>
      </c>
      <c r="AN235" s="48" t="inlineStr">
        <is>
          <t/>
        </is>
      </c>
      <c r="AO235" s="49" t="inlineStr">
        <is>
          <t/>
        </is>
      </c>
      <c r="AP235" s="50" t="inlineStr">
        <is>
          <t>Russia</t>
        </is>
      </c>
      <c r="AQ235" s="51" t="inlineStr">
        <is>
          <t>+7 (8)495 120 6000</t>
        </is>
      </c>
      <c r="AR235" s="52" t="inlineStr">
        <is>
          <t/>
        </is>
      </c>
      <c r="AS235" s="53" t="inlineStr">
        <is>
          <t/>
        </is>
      </c>
      <c r="AT235" s="54" t="inlineStr">
        <is>
          <t>Europe</t>
        </is>
      </c>
      <c r="AU235" s="55" t="inlineStr">
        <is>
          <t>Eastern Europe</t>
        </is>
      </c>
      <c r="AV235" s="56" t="inlineStr">
        <is>
          <t>The company received $100 million of financing on December 22, 2016.</t>
        </is>
      </c>
      <c r="AW235" s="57" t="inlineStr">
        <is>
          <t>Albert Sagiryan, Coalition Capital, Mail.ru, Sergey Qiwi</t>
        </is>
      </c>
      <c r="AX235" s="58" t="n">
        <v>4.0</v>
      </c>
      <c r="AY235" s="59" t="inlineStr">
        <is>
          <t/>
        </is>
      </c>
      <c r="AZ235" s="60" t="inlineStr">
        <is>
          <t/>
        </is>
      </c>
      <c r="BA235" s="61" t="inlineStr">
        <is>
          <t/>
        </is>
      </c>
      <c r="BB235" s="62" t="inlineStr">
        <is>
          <t>Mail.ru (mail.ru)</t>
        </is>
      </c>
      <c r="BC235" s="63" t="inlineStr">
        <is>
          <t/>
        </is>
      </c>
      <c r="BD235" s="64" t="inlineStr">
        <is>
          <t/>
        </is>
      </c>
      <c r="BE235" s="65" t="inlineStr">
        <is>
          <t/>
        </is>
      </c>
      <c r="BF235" s="66" t="inlineStr">
        <is>
          <t/>
        </is>
      </c>
      <c r="BG235" s="67" t="n">
        <v>42675.0</v>
      </c>
      <c r="BH235" s="68" t="n">
        <v>0.65</v>
      </c>
      <c r="BI235" s="69" t="inlineStr">
        <is>
          <t>Actual</t>
        </is>
      </c>
      <c r="BJ235" s="70" t="inlineStr">
        <is>
          <t/>
        </is>
      </c>
      <c r="BK235" s="71" t="inlineStr">
        <is>
          <t/>
        </is>
      </c>
      <c r="BL235" s="72" t="inlineStr">
        <is>
          <t>Seed Round</t>
        </is>
      </c>
      <c r="BM235" s="73" t="inlineStr">
        <is>
          <t>Seed</t>
        </is>
      </c>
      <c r="BN235" s="74" t="inlineStr">
        <is>
          <t/>
        </is>
      </c>
      <c r="BO235" s="75" t="inlineStr">
        <is>
          <t>Individual</t>
        </is>
      </c>
      <c r="BP235" s="76" t="inlineStr">
        <is>
          <t/>
        </is>
      </c>
      <c r="BQ235" s="77" t="inlineStr">
        <is>
          <t/>
        </is>
      </c>
      <c r="BR235" s="78" t="inlineStr">
        <is>
          <t/>
        </is>
      </c>
      <c r="BS235" s="79" t="inlineStr">
        <is>
          <t>Completed</t>
        </is>
      </c>
      <c r="BT235" s="80" t="n">
        <v>42726.0</v>
      </c>
      <c r="BU235" s="81" t="n">
        <v>94.86</v>
      </c>
      <c r="BV235" s="82" t="inlineStr">
        <is>
          <t>Actual</t>
        </is>
      </c>
      <c r="BW235" s="83" t="inlineStr">
        <is>
          <t/>
        </is>
      </c>
      <c r="BX235" s="84" t="inlineStr">
        <is>
          <t/>
        </is>
      </c>
      <c r="BY235" s="85" t="inlineStr">
        <is>
          <t>Corporate</t>
        </is>
      </c>
      <c r="BZ235" s="86" t="inlineStr">
        <is>
          <t>Corporate</t>
        </is>
      </c>
      <c r="CA235" s="87" t="inlineStr">
        <is>
          <t/>
        </is>
      </c>
      <c r="CB235" s="88" t="inlineStr">
        <is>
          <t>Corporate</t>
        </is>
      </c>
      <c r="CC235" s="89" t="inlineStr">
        <is>
          <t/>
        </is>
      </c>
      <c r="CD235" s="90" t="inlineStr">
        <is>
          <t/>
        </is>
      </c>
      <c r="CE235" s="91" t="inlineStr">
        <is>
          <t/>
        </is>
      </c>
      <c r="CF235" s="92" t="inlineStr">
        <is>
          <t>Completed</t>
        </is>
      </c>
      <c r="CG235" s="93" t="inlineStr">
        <is>
          <t>0,20%</t>
        </is>
      </c>
      <c r="CH235" s="94" t="inlineStr">
        <is>
          <t>78</t>
        </is>
      </c>
      <c r="CI235" s="95" t="inlineStr">
        <is>
          <t>0,06%</t>
        </is>
      </c>
      <c r="CJ235" s="96" t="inlineStr">
        <is>
          <t>40,79%</t>
        </is>
      </c>
      <c r="CK235" s="97" t="inlineStr">
        <is>
          <t>-0,05%</t>
        </is>
      </c>
      <c r="CL235" s="98" t="inlineStr">
        <is>
          <t>17</t>
        </is>
      </c>
      <c r="CM235" s="99" t="inlineStr">
        <is>
          <t>0,44%</t>
        </is>
      </c>
      <c r="CN235" s="100" t="inlineStr">
        <is>
          <t>88</t>
        </is>
      </c>
      <c r="CO235" s="101" t="inlineStr">
        <is>
          <t>-0,09%</t>
        </is>
      </c>
      <c r="CP235" s="102" t="inlineStr">
        <is>
          <t>25</t>
        </is>
      </c>
      <c r="CQ235" s="103" t="inlineStr">
        <is>
          <t>0,00%</t>
        </is>
      </c>
      <c r="CR235" s="104" t="inlineStr">
        <is>
          <t>13</t>
        </is>
      </c>
      <c r="CS235" s="105" t="inlineStr">
        <is>
          <t>0,87%</t>
        </is>
      </c>
      <c r="CT235" s="106" t="inlineStr">
        <is>
          <t>93</t>
        </is>
      </c>
      <c r="CU235" s="107" t="inlineStr">
        <is>
          <t>0,00%</t>
        </is>
      </c>
      <c r="CV235" s="108" t="inlineStr">
        <is>
          <t>20</t>
        </is>
      </c>
      <c r="CW235" s="109" t="inlineStr">
        <is>
          <t>45,81x</t>
        </is>
      </c>
      <c r="CX235" s="110" t="inlineStr">
        <is>
          <t>95</t>
        </is>
      </c>
      <c r="CY235" s="111" t="inlineStr">
        <is>
          <t>0,02x</t>
        </is>
      </c>
      <c r="CZ235" s="112" t="inlineStr">
        <is>
          <t>0,04%</t>
        </is>
      </c>
      <c r="DA235" s="113" t="inlineStr">
        <is>
          <t>90,99x</t>
        </is>
      </c>
      <c r="DB235" s="114" t="inlineStr">
        <is>
          <t>98</t>
        </is>
      </c>
      <c r="DC235" s="115" t="inlineStr">
        <is>
          <t>0,63x</t>
        </is>
      </c>
      <c r="DD235" s="116" t="inlineStr">
        <is>
          <t>40</t>
        </is>
      </c>
      <c r="DE235" s="117" t="inlineStr">
        <is>
          <t>181,68x</t>
        </is>
      </c>
      <c r="DF235" s="118" t="inlineStr">
        <is>
          <t>97</t>
        </is>
      </c>
      <c r="DG235" s="119" t="inlineStr">
        <is>
          <t>0,31x</t>
        </is>
      </c>
      <c r="DH235" s="120" t="inlineStr">
        <is>
          <t>27</t>
        </is>
      </c>
      <c r="DI235" s="121" t="inlineStr">
        <is>
          <t>1,20x</t>
        </is>
      </c>
      <c r="DJ235" s="122" t="inlineStr">
        <is>
          <t>54</t>
        </is>
      </c>
      <c r="DK235" s="123" t="inlineStr">
        <is>
          <t>0,07x</t>
        </is>
      </c>
      <c r="DL235" s="124" t="inlineStr">
        <is>
          <t>14</t>
        </is>
      </c>
      <c r="DM235" s="125" t="inlineStr">
        <is>
          <t>113.810</t>
        </is>
      </c>
      <c r="DN235" s="126" t="inlineStr">
        <is>
          <t>-6.231</t>
        </is>
      </c>
      <c r="DO235" s="127" t="inlineStr">
        <is>
          <t>-5,19%</t>
        </is>
      </c>
      <c r="DP235" s="128" t="inlineStr">
        <is>
          <t>954</t>
        </is>
      </c>
      <c r="DQ235" s="129" t="inlineStr">
        <is>
          <t>18</t>
        </is>
      </c>
      <c r="DR235" s="130" t="inlineStr">
        <is>
          <t>1,92%</t>
        </is>
      </c>
      <c r="DS235" s="131" t="inlineStr">
        <is>
          <t>10</t>
        </is>
      </c>
      <c r="DT235" s="132" t="inlineStr">
        <is>
          <t>0</t>
        </is>
      </c>
      <c r="DU235" s="133" t="inlineStr">
        <is>
          <t>0,00%</t>
        </is>
      </c>
      <c r="DV235" s="134" t="inlineStr">
        <is>
          <t>24</t>
        </is>
      </c>
      <c r="DW235" s="135" t="inlineStr">
        <is>
          <t>0</t>
        </is>
      </c>
      <c r="DX235" s="136" t="inlineStr">
        <is>
          <t>0,00%</t>
        </is>
      </c>
      <c r="DY235" s="137" t="inlineStr">
        <is>
          <t>PitchBook Research</t>
        </is>
      </c>
      <c r="DZ235" s="785">
        <f>HYPERLINK("https://my.pitchbook.com?c=91388-35", "View company online")</f>
      </c>
    </row>
    <row r="236">
      <c r="A236" s="139" t="inlineStr">
        <is>
          <t>149611-60</t>
        </is>
      </c>
      <c r="B236" s="140" t="inlineStr">
        <is>
          <t>Inthera Bioscience</t>
        </is>
      </c>
      <c r="C236" s="141" t="inlineStr">
        <is>
          <t/>
        </is>
      </c>
      <c r="D236" s="142" t="inlineStr">
        <is>
          <t>Inthera</t>
        </is>
      </c>
      <c r="E236" s="143" t="inlineStr">
        <is>
          <t>149611-60</t>
        </is>
      </c>
      <c r="F236" s="144" t="inlineStr">
        <is>
          <t>Developer of first-in-class targeted small molecule therapies designed to provide treatment for solid tumors. The company's drug discovery programs are focused on the development of novel first-in-class oral agents blocking aberrant cell signaling in solid tumors and uses proprietary technology platform to rationally design protein-protein interaction inhibitors, enabling patient to begin treatment more quickly and result in a higher likelihood of a successful treatment.</t>
        </is>
      </c>
      <c r="G236" s="145" t="inlineStr">
        <is>
          <t>Healthcare</t>
        </is>
      </c>
      <c r="H236" s="146" t="inlineStr">
        <is>
          <t>Pharmaceuticals and Biotechnology</t>
        </is>
      </c>
      <c r="I236" s="147" t="inlineStr">
        <is>
          <t>Drug Discovery</t>
        </is>
      </c>
      <c r="J236" s="148" t="inlineStr">
        <is>
          <t>Drug Discovery*; Biotechnology; Pharmaceuticals</t>
        </is>
      </c>
      <c r="K236" s="149" t="inlineStr">
        <is>
          <t>Life Sciences, Oncology</t>
        </is>
      </c>
      <c r="L236" s="150" t="inlineStr">
        <is>
          <t>Venture Capital-Backed</t>
        </is>
      </c>
      <c r="M236" s="151" t="n">
        <v>13.03</v>
      </c>
      <c r="N236" s="152" t="inlineStr">
        <is>
          <t>Product Development</t>
        </is>
      </c>
      <c r="O236" s="153" t="inlineStr">
        <is>
          <t>Privately Held (backing)</t>
        </is>
      </c>
      <c r="P236" s="154" t="inlineStr">
        <is>
          <t>Venture Capital</t>
        </is>
      </c>
      <c r="Q236" s="155" t="inlineStr">
        <is>
          <t/>
        </is>
      </c>
      <c r="R236" s="156" t="inlineStr">
        <is>
          <t/>
        </is>
      </c>
      <c r="S236" s="157" t="inlineStr">
        <is>
          <t/>
        </is>
      </c>
      <c r="T236" s="158" t="inlineStr">
        <is>
          <t/>
        </is>
      </c>
      <c r="U236" s="159" t="n">
        <v>2013.0</v>
      </c>
      <c r="V236" s="160" t="inlineStr">
        <is>
          <t/>
        </is>
      </c>
      <c r="W236" s="161" t="inlineStr">
        <is>
          <t/>
        </is>
      </c>
      <c r="X236" s="162" t="inlineStr">
        <is>
          <t/>
        </is>
      </c>
      <c r="Y236" s="163" t="inlineStr">
        <is>
          <t/>
        </is>
      </c>
      <c r="Z236" s="164" t="inlineStr">
        <is>
          <t/>
        </is>
      </c>
      <c r="AA236" s="165" t="inlineStr">
        <is>
          <t/>
        </is>
      </c>
      <c r="AB236" s="166" t="inlineStr">
        <is>
          <t/>
        </is>
      </c>
      <c r="AC236" s="167" t="inlineStr">
        <is>
          <t/>
        </is>
      </c>
      <c r="AD236" s="168" t="inlineStr">
        <is>
          <t/>
        </is>
      </c>
      <c r="AE236" s="169" t="inlineStr">
        <is>
          <t>100682-20P</t>
        </is>
      </c>
      <c r="AF236" s="170" t="inlineStr">
        <is>
          <t>Roland Walder</t>
        </is>
      </c>
      <c r="AG236" s="171" t="inlineStr">
        <is>
          <t>Chief Financial Officer</t>
        </is>
      </c>
      <c r="AH236" s="172" t="inlineStr">
        <is>
          <t/>
        </is>
      </c>
      <c r="AI236" s="173" t="inlineStr">
        <is>
          <t/>
        </is>
      </c>
      <c r="AJ236" s="174" t="inlineStr">
        <is>
          <t>Zurich, Switzerland</t>
        </is>
      </c>
      <c r="AK236" s="175" t="inlineStr">
        <is>
          <t/>
        </is>
      </c>
      <c r="AL236" s="176" t="inlineStr">
        <is>
          <t/>
        </is>
      </c>
      <c r="AM236" s="177" t="inlineStr">
        <is>
          <t>Zurich</t>
        </is>
      </c>
      <c r="AN236" s="178" t="inlineStr">
        <is>
          <t/>
        </is>
      </c>
      <c r="AO236" s="179" t="inlineStr">
        <is>
          <t/>
        </is>
      </c>
      <c r="AP236" s="180" t="inlineStr">
        <is>
          <t>Switzerland</t>
        </is>
      </c>
      <c r="AQ236" s="181" t="inlineStr">
        <is>
          <t/>
        </is>
      </c>
      <c r="AR236" s="182" t="inlineStr">
        <is>
          <t/>
        </is>
      </c>
      <c r="AS236" s="183" t="inlineStr">
        <is>
          <t/>
        </is>
      </c>
      <c r="AT236" s="184" t="inlineStr">
        <is>
          <t>Europe</t>
        </is>
      </c>
      <c r="AU236" s="185" t="inlineStr">
        <is>
          <t>Western Europe</t>
        </is>
      </c>
      <c r="AV236" s="186" t="inlineStr">
        <is>
          <t>The company raised CHF 10.5 million of Series A venture funding from lead investor Merck Ventures on May 31, 2017. Aglaia BioMedical Ventures, Novo and an undisclosed investor also participated in the round. The funds will be used to complete the pre-clinical development of its lead program against HPV-associated cancers and expand operations and the pipeline.</t>
        </is>
      </c>
      <c r="AW236" s="187" t="inlineStr">
        <is>
          <t>Aglaia Biomedical Ventures, Eva Capital, Merck Ventures, Novo</t>
        </is>
      </c>
      <c r="AX236" s="188" t="n">
        <v>4.0</v>
      </c>
      <c r="AY236" s="189" t="inlineStr">
        <is>
          <t/>
        </is>
      </c>
      <c r="AZ236" s="190" t="inlineStr">
        <is>
          <t/>
        </is>
      </c>
      <c r="BA236" s="191" t="inlineStr">
        <is>
          <t/>
        </is>
      </c>
      <c r="BB236" s="192" t="inlineStr">
        <is>
          <t>Aglaia Biomedical Ventures (www.aglaia-biomedical.com), Eva Capital (www.eva-basel.ch), Merck Ventures (www.merck-ventures.com), Novo (www.novoholdings.dk)</t>
        </is>
      </c>
      <c r="BC236" s="193" t="inlineStr">
        <is>
          <t/>
        </is>
      </c>
      <c r="BD236" s="194" t="inlineStr">
        <is>
          <t/>
        </is>
      </c>
      <c r="BE236" s="195" t="inlineStr">
        <is>
          <t/>
        </is>
      </c>
      <c r="BF236" s="196" t="inlineStr">
        <is>
          <t>Vischer (Legal Advisor)</t>
        </is>
      </c>
      <c r="BG236" s="197" t="n">
        <v>42352.0</v>
      </c>
      <c r="BH236" s="198" t="n">
        <v>3.4</v>
      </c>
      <c r="BI236" s="199" t="inlineStr">
        <is>
          <t>Actual</t>
        </is>
      </c>
      <c r="BJ236" s="200" t="inlineStr">
        <is>
          <t/>
        </is>
      </c>
      <c r="BK236" s="201" t="inlineStr">
        <is>
          <t/>
        </is>
      </c>
      <c r="BL236" s="202" t="inlineStr">
        <is>
          <t>Seed Round</t>
        </is>
      </c>
      <c r="BM236" s="203" t="inlineStr">
        <is>
          <t>Seed</t>
        </is>
      </c>
      <c r="BN236" s="204" t="inlineStr">
        <is>
          <t/>
        </is>
      </c>
      <c r="BO236" s="205" t="inlineStr">
        <is>
          <t>Venture Capital</t>
        </is>
      </c>
      <c r="BP236" s="206" t="inlineStr">
        <is>
          <t/>
        </is>
      </c>
      <c r="BQ236" s="207" t="inlineStr">
        <is>
          <t/>
        </is>
      </c>
      <c r="BR236" s="208" t="inlineStr">
        <is>
          <t/>
        </is>
      </c>
      <c r="BS236" s="209" t="inlineStr">
        <is>
          <t>Completed</t>
        </is>
      </c>
      <c r="BT236" s="210" t="n">
        <v>42886.0</v>
      </c>
      <c r="BU236" s="211" t="n">
        <v>9.63</v>
      </c>
      <c r="BV236" s="212" t="inlineStr">
        <is>
          <t>Actual</t>
        </is>
      </c>
      <c r="BW236" s="213" t="inlineStr">
        <is>
          <t/>
        </is>
      </c>
      <c r="BX236" s="214" t="inlineStr">
        <is>
          <t/>
        </is>
      </c>
      <c r="BY236" s="215" t="inlineStr">
        <is>
          <t>Early Stage VC</t>
        </is>
      </c>
      <c r="BZ236" s="216" t="inlineStr">
        <is>
          <t>Series A</t>
        </is>
      </c>
      <c r="CA236" s="217" t="inlineStr">
        <is>
          <t/>
        </is>
      </c>
      <c r="CB236" s="218" t="inlineStr">
        <is>
          <t>Venture Capital</t>
        </is>
      </c>
      <c r="CC236" s="219" t="inlineStr">
        <is>
          <t/>
        </is>
      </c>
      <c r="CD236" s="220" t="inlineStr">
        <is>
          <t/>
        </is>
      </c>
      <c r="CE236" s="221" t="inlineStr">
        <is>
          <t/>
        </is>
      </c>
      <c r="CF236" s="222" t="inlineStr">
        <is>
          <t>Completed</t>
        </is>
      </c>
      <c r="CG236" s="223" t="inlineStr">
        <is>
          <t/>
        </is>
      </c>
      <c r="CH236" s="224" t="inlineStr">
        <is>
          <t/>
        </is>
      </c>
      <c r="CI236" s="225" t="inlineStr">
        <is>
          <t/>
        </is>
      </c>
      <c r="CJ236" s="226" t="inlineStr">
        <is>
          <t/>
        </is>
      </c>
      <c r="CK236" s="227" t="inlineStr">
        <is>
          <t/>
        </is>
      </c>
      <c r="CL236" s="228" t="inlineStr">
        <is>
          <t/>
        </is>
      </c>
      <c r="CM236" s="229" t="inlineStr">
        <is>
          <t/>
        </is>
      </c>
      <c r="CN236" s="230" t="inlineStr">
        <is>
          <t/>
        </is>
      </c>
      <c r="CO236" s="231" t="inlineStr">
        <is>
          <t/>
        </is>
      </c>
      <c r="CP236" s="232" t="inlineStr">
        <is>
          <t/>
        </is>
      </c>
      <c r="CQ236" s="233" t="inlineStr">
        <is>
          <t/>
        </is>
      </c>
      <c r="CR236" s="234" t="inlineStr">
        <is>
          <t/>
        </is>
      </c>
      <c r="CS236" s="235" t="inlineStr">
        <is>
          <t/>
        </is>
      </c>
      <c r="CT236" s="236" t="inlineStr">
        <is>
          <t/>
        </is>
      </c>
      <c r="CU236" s="237" t="inlineStr">
        <is>
          <t/>
        </is>
      </c>
      <c r="CV236" s="238" t="inlineStr">
        <is>
          <t/>
        </is>
      </c>
      <c r="CW236" s="239" t="inlineStr">
        <is>
          <t/>
        </is>
      </c>
      <c r="CX236" s="240" t="inlineStr">
        <is>
          <t/>
        </is>
      </c>
      <c r="CY236" s="241" t="inlineStr">
        <is>
          <t/>
        </is>
      </c>
      <c r="CZ236" s="242" t="inlineStr">
        <is>
          <t/>
        </is>
      </c>
      <c r="DA236" s="243" t="inlineStr">
        <is>
          <t/>
        </is>
      </c>
      <c r="DB236" s="244" t="inlineStr">
        <is>
          <t/>
        </is>
      </c>
      <c r="DC236" s="245" t="inlineStr">
        <is>
          <t/>
        </is>
      </c>
      <c r="DD236" s="246" t="inlineStr">
        <is>
          <t/>
        </is>
      </c>
      <c r="DE236" s="247" t="inlineStr">
        <is>
          <t/>
        </is>
      </c>
      <c r="DF236" s="248" t="inlineStr">
        <is>
          <t/>
        </is>
      </c>
      <c r="DG236" s="249" t="inlineStr">
        <is>
          <t/>
        </is>
      </c>
      <c r="DH236" s="250" t="inlineStr">
        <is>
          <t/>
        </is>
      </c>
      <c r="DI236" s="251" t="inlineStr">
        <is>
          <t/>
        </is>
      </c>
      <c r="DJ236" s="252" t="inlineStr">
        <is>
          <t/>
        </is>
      </c>
      <c r="DK236" s="253" t="inlineStr">
        <is>
          <t/>
        </is>
      </c>
      <c r="DL236" s="254" t="inlineStr">
        <is>
          <t/>
        </is>
      </c>
      <c r="DM236" s="255" t="inlineStr">
        <is>
          <t/>
        </is>
      </c>
      <c r="DN236" s="256" t="inlineStr">
        <is>
          <t/>
        </is>
      </c>
      <c r="DO236" s="257" t="inlineStr">
        <is>
          <t/>
        </is>
      </c>
      <c r="DP236" s="258" t="inlineStr">
        <is>
          <t/>
        </is>
      </c>
      <c r="DQ236" s="259" t="inlineStr">
        <is>
          <t/>
        </is>
      </c>
      <c r="DR236" s="260" t="inlineStr">
        <is>
          <t/>
        </is>
      </c>
      <c r="DS236" s="261" t="inlineStr">
        <is>
          <t/>
        </is>
      </c>
      <c r="DT236" s="262" t="inlineStr">
        <is>
          <t/>
        </is>
      </c>
      <c r="DU236" s="263" t="inlineStr">
        <is>
          <t/>
        </is>
      </c>
      <c r="DV236" s="264" t="inlineStr">
        <is>
          <t/>
        </is>
      </c>
      <c r="DW236" s="265" t="inlineStr">
        <is>
          <t/>
        </is>
      </c>
      <c r="DX236" s="266" t="inlineStr">
        <is>
          <t/>
        </is>
      </c>
      <c r="DY236" s="267" t="inlineStr">
        <is>
          <t>PitchBook Research</t>
        </is>
      </c>
      <c r="DZ236" s="786">
        <f>HYPERLINK("https://my.pitchbook.com?c=149611-60", "View company online")</f>
      </c>
    </row>
    <row r="237">
      <c r="A237" s="9" t="inlineStr">
        <is>
          <t>151218-10</t>
        </is>
      </c>
      <c r="B237" s="10" t="inlineStr">
        <is>
          <t>IO Biotech</t>
        </is>
      </c>
      <c r="C237" s="11" t="inlineStr">
        <is>
          <t/>
        </is>
      </c>
      <c r="D237" s="12" t="inlineStr">
        <is>
          <t/>
        </is>
      </c>
      <c r="E237" s="13" t="inlineStr">
        <is>
          <t>151218-10</t>
        </is>
      </c>
      <c r="F237" s="14" t="inlineStr">
        <is>
          <t>Developer of vaccine designed to offer cancer treatments. The company's vaccine develops immunotherapy for cancer by targeting a mechanism used by tumour cells to evade immune responses.</t>
        </is>
      </c>
      <c r="G237" s="15" t="inlineStr">
        <is>
          <t>Healthcare</t>
        </is>
      </c>
      <c r="H237" s="16" t="inlineStr">
        <is>
          <t>Pharmaceuticals and Biotechnology</t>
        </is>
      </c>
      <c r="I237" s="17" t="inlineStr">
        <is>
          <t>Biotechnology</t>
        </is>
      </c>
      <c r="J237" s="18" t="inlineStr">
        <is>
          <t>Biotechnology*</t>
        </is>
      </c>
      <c r="K237" s="19" t="inlineStr">
        <is>
          <t>Life Sciences, Oncology</t>
        </is>
      </c>
      <c r="L237" s="20" t="inlineStr">
        <is>
          <t>Venture Capital-Backed</t>
        </is>
      </c>
      <c r="M237" s="21" t="n">
        <v>11.0</v>
      </c>
      <c r="N237" s="22" t="inlineStr">
        <is>
          <t>Generating Revenue</t>
        </is>
      </c>
      <c r="O237" s="23" t="inlineStr">
        <is>
          <t>Privately Held (backing)</t>
        </is>
      </c>
      <c r="P237" s="24" t="inlineStr">
        <is>
          <t>Venture Capital</t>
        </is>
      </c>
      <c r="Q237" s="25" t="inlineStr">
        <is>
          <t>www.iobiotech.com</t>
        </is>
      </c>
      <c r="R237" s="26" t="inlineStr">
        <is>
          <t/>
        </is>
      </c>
      <c r="S237" s="27" t="inlineStr">
        <is>
          <t/>
        </is>
      </c>
      <c r="T237" s="28" t="inlineStr">
        <is>
          <t/>
        </is>
      </c>
      <c r="U237" s="29" t="n">
        <v>2014.0</v>
      </c>
      <c r="V237" s="30" t="inlineStr">
        <is>
          <t/>
        </is>
      </c>
      <c r="W237" s="31" t="inlineStr">
        <is>
          <t/>
        </is>
      </c>
      <c r="X237" s="32" t="inlineStr">
        <is>
          <t/>
        </is>
      </c>
      <c r="Y237" s="33" t="inlineStr">
        <is>
          <t/>
        </is>
      </c>
      <c r="Z237" s="34" t="inlineStr">
        <is>
          <t/>
        </is>
      </c>
      <c r="AA237" s="35" t="n">
        <v>-0.4318</v>
      </c>
      <c r="AB237" s="36" t="inlineStr">
        <is>
          <t/>
        </is>
      </c>
      <c r="AC237" s="37" t="n">
        <v>-0.52368</v>
      </c>
      <c r="AD237" s="38" t="inlineStr">
        <is>
          <t>FY 2015</t>
        </is>
      </c>
      <c r="AE237" s="39" t="inlineStr">
        <is>
          <t>48846-34P</t>
        </is>
      </c>
      <c r="AF237" s="40" t="inlineStr">
        <is>
          <t>Mai-Britt Zocca</t>
        </is>
      </c>
      <c r="AG237" s="41" t="inlineStr">
        <is>
          <t>Chief Executive Officer &amp; Co-Founder</t>
        </is>
      </c>
      <c r="AH237" s="42" t="inlineStr">
        <is>
          <t>mbz@onconox.com</t>
        </is>
      </c>
      <c r="AI237" s="43" t="inlineStr">
        <is>
          <t>+45 2194 7856</t>
        </is>
      </c>
      <c r="AJ237" s="44" t="inlineStr">
        <is>
          <t>Copenhagen, Denmark</t>
        </is>
      </c>
      <c r="AK237" s="45" t="inlineStr">
        <is>
          <t>Ole Maaløes Vej 3</t>
        </is>
      </c>
      <c r="AL237" s="46" t="inlineStr">
        <is>
          <t/>
        </is>
      </c>
      <c r="AM237" s="47" t="inlineStr">
        <is>
          <t>Copenhagen</t>
        </is>
      </c>
      <c r="AN237" s="48" t="inlineStr">
        <is>
          <t/>
        </is>
      </c>
      <c r="AO237" s="49" t="inlineStr">
        <is>
          <t>2200</t>
        </is>
      </c>
      <c r="AP237" s="50" t="inlineStr">
        <is>
          <t>Denmark</t>
        </is>
      </c>
      <c r="AQ237" s="51" t="inlineStr">
        <is>
          <t>+45 2194 7856</t>
        </is>
      </c>
      <c r="AR237" s="52" t="inlineStr">
        <is>
          <t/>
        </is>
      </c>
      <c r="AS237" s="53" t="inlineStr">
        <is>
          <t/>
        </is>
      </c>
      <c r="AT237" s="54" t="inlineStr">
        <is>
          <t>Europe</t>
        </is>
      </c>
      <c r="AU237" s="55" t="inlineStr">
        <is>
          <t>Northern Europe</t>
        </is>
      </c>
      <c r="AV237" s="56" t="inlineStr">
        <is>
          <t>The company raised EUR 11 million of Series A venture funding from Novo, Sunstone Capital and Lundbeckfonden on January 5, 2016.</t>
        </is>
      </c>
      <c r="AW237" s="57" t="inlineStr">
        <is>
          <t>Lundbeckfonden, Novo, Sunstone Capital</t>
        </is>
      </c>
      <c r="AX237" s="58" t="n">
        <v>3.0</v>
      </c>
      <c r="AY237" s="59" t="inlineStr">
        <is>
          <t/>
        </is>
      </c>
      <c r="AZ237" s="60" t="inlineStr">
        <is>
          <t/>
        </is>
      </c>
      <c r="BA237" s="61" t="inlineStr">
        <is>
          <t/>
        </is>
      </c>
      <c r="BB237" s="62" t="inlineStr">
        <is>
          <t>Lundbeckfonden (www.lundbeckfonden.com), Novo (www.novoholdings.dk), Sunstone Capital (www.sunstone.eu)</t>
        </is>
      </c>
      <c r="BC237" s="63" t="inlineStr">
        <is>
          <t/>
        </is>
      </c>
      <c r="BD237" s="64" t="inlineStr">
        <is>
          <t/>
        </is>
      </c>
      <c r="BE237" s="65" t="inlineStr">
        <is>
          <t>EY (Auditor)</t>
        </is>
      </c>
      <c r="BF237" s="66" t="inlineStr">
        <is>
          <t/>
        </is>
      </c>
      <c r="BG237" s="67" t="inlineStr">
        <is>
          <t/>
        </is>
      </c>
      <c r="BH237" s="68" t="inlineStr">
        <is>
          <t/>
        </is>
      </c>
      <c r="BI237" s="69" t="inlineStr">
        <is>
          <t/>
        </is>
      </c>
      <c r="BJ237" s="70" t="inlineStr">
        <is>
          <t/>
        </is>
      </c>
      <c r="BK237" s="71" t="inlineStr">
        <is>
          <t/>
        </is>
      </c>
      <c r="BL237" s="72" t="inlineStr">
        <is>
          <t>Early Stage VC</t>
        </is>
      </c>
      <c r="BM237" s="73" t="inlineStr">
        <is>
          <t/>
        </is>
      </c>
      <c r="BN237" s="74" t="inlineStr">
        <is>
          <t/>
        </is>
      </c>
      <c r="BO237" s="75" t="inlineStr">
        <is>
          <t>Venture Capital</t>
        </is>
      </c>
      <c r="BP237" s="76" t="inlineStr">
        <is>
          <t/>
        </is>
      </c>
      <c r="BQ237" s="77" t="inlineStr">
        <is>
          <t/>
        </is>
      </c>
      <c r="BR237" s="78" t="inlineStr">
        <is>
          <t/>
        </is>
      </c>
      <c r="BS237" s="79" t="inlineStr">
        <is>
          <t>Completed</t>
        </is>
      </c>
      <c r="BT237" s="80" t="n">
        <v>42374.0</v>
      </c>
      <c r="BU237" s="81" t="n">
        <v>11.0</v>
      </c>
      <c r="BV237" s="82" t="inlineStr">
        <is>
          <t>Actual</t>
        </is>
      </c>
      <c r="BW237" s="83" t="inlineStr">
        <is>
          <t/>
        </is>
      </c>
      <c r="BX237" s="84" t="inlineStr">
        <is>
          <t/>
        </is>
      </c>
      <c r="BY237" s="85" t="inlineStr">
        <is>
          <t>Early Stage VC</t>
        </is>
      </c>
      <c r="BZ237" s="86" t="inlineStr">
        <is>
          <t>Series A</t>
        </is>
      </c>
      <c r="CA237" s="87" t="inlineStr">
        <is>
          <t/>
        </is>
      </c>
      <c r="CB237" s="88" t="inlineStr">
        <is>
          <t>Venture Capital</t>
        </is>
      </c>
      <c r="CC237" s="89" t="inlineStr">
        <is>
          <t/>
        </is>
      </c>
      <c r="CD237" s="90" t="inlineStr">
        <is>
          <t/>
        </is>
      </c>
      <c r="CE237" s="91" t="inlineStr">
        <is>
          <t/>
        </is>
      </c>
      <c r="CF237" s="92" t="inlineStr">
        <is>
          <t>Completed</t>
        </is>
      </c>
      <c r="CG237" s="93" t="inlineStr">
        <is>
          <t>0,00%</t>
        </is>
      </c>
      <c r="CH237" s="94" t="inlineStr">
        <is>
          <t>23</t>
        </is>
      </c>
      <c r="CI237" s="95" t="inlineStr">
        <is>
          <t>0,00%</t>
        </is>
      </c>
      <c r="CJ237" s="96" t="inlineStr">
        <is>
          <t>0,00%</t>
        </is>
      </c>
      <c r="CK237" s="97" t="inlineStr">
        <is>
          <t>0,00%</t>
        </is>
      </c>
      <c r="CL237" s="98" t="inlineStr">
        <is>
          <t>18</t>
        </is>
      </c>
      <c r="CM237" s="99" t="inlineStr">
        <is>
          <t/>
        </is>
      </c>
      <c r="CN237" s="100" t="inlineStr">
        <is>
          <t/>
        </is>
      </c>
      <c r="CO237" s="101" t="inlineStr">
        <is>
          <t/>
        </is>
      </c>
      <c r="CP237" s="102" t="inlineStr">
        <is>
          <t/>
        </is>
      </c>
      <c r="CQ237" s="103" t="inlineStr">
        <is>
          <t>0,00%</t>
        </is>
      </c>
      <c r="CR237" s="104" t="inlineStr">
        <is>
          <t>13</t>
        </is>
      </c>
      <c r="CS237" s="105" t="inlineStr">
        <is>
          <t/>
        </is>
      </c>
      <c r="CT237" s="106" t="inlineStr">
        <is>
          <t/>
        </is>
      </c>
      <c r="CU237" s="107" t="inlineStr">
        <is>
          <t/>
        </is>
      </c>
      <c r="CV237" s="108" t="inlineStr">
        <is>
          <t/>
        </is>
      </c>
      <c r="CW237" s="109" t="inlineStr">
        <is>
          <t>0,44x</t>
        </is>
      </c>
      <c r="CX237" s="110" t="inlineStr">
        <is>
          <t>31</t>
        </is>
      </c>
      <c r="CY237" s="111" t="inlineStr">
        <is>
          <t>-0,04x</t>
        </is>
      </c>
      <c r="CZ237" s="112" t="inlineStr">
        <is>
          <t>-8,64%</t>
        </is>
      </c>
      <c r="DA237" s="113" t="inlineStr">
        <is>
          <t>0,44x</t>
        </is>
      </c>
      <c r="DB237" s="114" t="inlineStr">
        <is>
          <t>33</t>
        </is>
      </c>
      <c r="DC237" s="115" t="inlineStr">
        <is>
          <t/>
        </is>
      </c>
      <c r="DD237" s="116" t="inlineStr">
        <is>
          <t/>
        </is>
      </c>
      <c r="DE237" s="117" t="inlineStr">
        <is>
          <t/>
        </is>
      </c>
      <c r="DF237" s="118" t="inlineStr">
        <is>
          <t/>
        </is>
      </c>
      <c r="DG237" s="119" t="inlineStr">
        <is>
          <t>0,44x</t>
        </is>
      </c>
      <c r="DH237" s="120" t="inlineStr">
        <is>
          <t>34</t>
        </is>
      </c>
      <c r="DI237" s="121" t="inlineStr">
        <is>
          <t/>
        </is>
      </c>
      <c r="DJ237" s="122" t="inlineStr">
        <is>
          <t/>
        </is>
      </c>
      <c r="DK237" s="123" t="inlineStr">
        <is>
          <t/>
        </is>
      </c>
      <c r="DL237" s="124" t="inlineStr">
        <is>
          <t/>
        </is>
      </c>
      <c r="DM237" s="125" t="inlineStr">
        <is>
          <t/>
        </is>
      </c>
      <c r="DN237" s="126" t="inlineStr">
        <is>
          <t/>
        </is>
      </c>
      <c r="DO237" s="127" t="inlineStr">
        <is>
          <t/>
        </is>
      </c>
      <c r="DP237" s="128" t="inlineStr">
        <is>
          <t/>
        </is>
      </c>
      <c r="DQ237" s="129" t="inlineStr">
        <is>
          <t/>
        </is>
      </c>
      <c r="DR237" s="130" t="inlineStr">
        <is>
          <t/>
        </is>
      </c>
      <c r="DS237" s="131" t="inlineStr">
        <is>
          <t>16</t>
        </is>
      </c>
      <c r="DT237" s="132" t="inlineStr">
        <is>
          <t>-1</t>
        </is>
      </c>
      <c r="DU237" s="133" t="inlineStr">
        <is>
          <t>-5,88%</t>
        </is>
      </c>
      <c r="DV237" s="134" t="inlineStr">
        <is>
          <t/>
        </is>
      </c>
      <c r="DW237" s="135" t="inlineStr">
        <is>
          <t/>
        </is>
      </c>
      <c r="DX237" s="136" t="inlineStr">
        <is>
          <t/>
        </is>
      </c>
      <c r="DY237" s="137" t="inlineStr">
        <is>
          <t>PitchBook Research</t>
        </is>
      </c>
      <c r="DZ237" s="785">
        <f>HYPERLINK("https://my.pitchbook.com?c=151218-10", "View company online")</f>
      </c>
    </row>
    <row r="238">
      <c r="A238" s="139" t="inlineStr">
        <is>
          <t>166594-42</t>
        </is>
      </c>
      <c r="B238" s="140" t="inlineStr">
        <is>
          <t>iOmx Therapeutics</t>
        </is>
      </c>
      <c r="C238" s="141" t="inlineStr">
        <is>
          <t/>
        </is>
      </c>
      <c r="D238" s="142" t="inlineStr">
        <is>
          <t>iOmx</t>
        </is>
      </c>
      <c r="E238" s="143" t="inlineStr">
        <is>
          <t>166594-42</t>
        </is>
      </c>
      <c r="F238" s="144" t="inlineStr">
        <is>
          <t>Developer of immuno-oncology target drugs. The company engages in the development of cancer therapeutics by systematically screening human tumor cells.</t>
        </is>
      </c>
      <c r="G238" s="145" t="inlineStr">
        <is>
          <t>Healthcare</t>
        </is>
      </c>
      <c r="H238" s="146" t="inlineStr">
        <is>
          <t>Pharmaceuticals and Biotechnology</t>
        </is>
      </c>
      <c r="I238" s="147" t="inlineStr">
        <is>
          <t>Drug Discovery</t>
        </is>
      </c>
      <c r="J238" s="148" t="inlineStr">
        <is>
          <t>Drug Discovery*; Biotechnology</t>
        </is>
      </c>
      <c r="K238" s="149" t="inlineStr">
        <is>
          <t>Life Sciences, Oncology</t>
        </is>
      </c>
      <c r="L238" s="150" t="inlineStr">
        <is>
          <t>Venture Capital-Backed</t>
        </is>
      </c>
      <c r="M238" s="151" t="n">
        <v>40.0</v>
      </c>
      <c r="N238" s="152" t="inlineStr">
        <is>
          <t>Startup</t>
        </is>
      </c>
      <c r="O238" s="153" t="inlineStr">
        <is>
          <t>Privately Held (backing)</t>
        </is>
      </c>
      <c r="P238" s="154" t="inlineStr">
        <is>
          <t>Venture Capital</t>
        </is>
      </c>
      <c r="Q238" s="155" t="inlineStr">
        <is>
          <t>www.iomx.com</t>
        </is>
      </c>
      <c r="R238" s="156" t="inlineStr">
        <is>
          <t/>
        </is>
      </c>
      <c r="S238" s="157" t="inlineStr">
        <is>
          <t/>
        </is>
      </c>
      <c r="T238" s="158" t="inlineStr">
        <is>
          <t/>
        </is>
      </c>
      <c r="U238" s="159" t="n">
        <v>2016.0</v>
      </c>
      <c r="V238" s="160" t="inlineStr">
        <is>
          <t/>
        </is>
      </c>
      <c r="W238" s="161" t="inlineStr">
        <is>
          <t/>
        </is>
      </c>
      <c r="X238" s="162" t="inlineStr">
        <is>
          <t/>
        </is>
      </c>
      <c r="Y238" s="163" t="inlineStr">
        <is>
          <t/>
        </is>
      </c>
      <c r="Z238" s="164" t="inlineStr">
        <is>
          <t/>
        </is>
      </c>
      <c r="AA238" s="165" t="inlineStr">
        <is>
          <t/>
        </is>
      </c>
      <c r="AB238" s="166" t="inlineStr">
        <is>
          <t/>
        </is>
      </c>
      <c r="AC238" s="167" t="inlineStr">
        <is>
          <t/>
        </is>
      </c>
      <c r="AD238" s="168" t="inlineStr">
        <is>
          <t/>
        </is>
      </c>
      <c r="AE238" s="169" t="inlineStr">
        <is>
          <t>95479-66P</t>
        </is>
      </c>
      <c r="AF238" s="170" t="inlineStr">
        <is>
          <t>Patrick Baeuerle</t>
        </is>
      </c>
      <c r="AG238" s="171" t="inlineStr">
        <is>
          <t>Co-Founder</t>
        </is>
      </c>
      <c r="AH238" s="172" t="inlineStr">
        <is>
          <t/>
        </is>
      </c>
      <c r="AI238" s="173" t="inlineStr">
        <is>
          <t/>
        </is>
      </c>
      <c r="AJ238" s="174" t="inlineStr">
        <is>
          <t>Munich, Germany</t>
        </is>
      </c>
      <c r="AK238" s="175" t="inlineStr">
        <is>
          <t>Fraunhoferstrasse 13</t>
        </is>
      </c>
      <c r="AL238" s="176" t="inlineStr">
        <is>
          <t>Martinsried</t>
        </is>
      </c>
      <c r="AM238" s="177" t="inlineStr">
        <is>
          <t>Munich</t>
        </is>
      </c>
      <c r="AN238" s="178" t="inlineStr">
        <is>
          <t/>
        </is>
      </c>
      <c r="AO238" s="179" t="inlineStr">
        <is>
          <t>82152</t>
        </is>
      </c>
      <c r="AP238" s="180" t="inlineStr">
        <is>
          <t>Germany</t>
        </is>
      </c>
      <c r="AQ238" s="181" t="inlineStr">
        <is>
          <t>+49 (0)89 8999 7090 0</t>
        </is>
      </c>
      <c r="AR238" s="182" t="inlineStr">
        <is>
          <t/>
        </is>
      </c>
      <c r="AS238" s="183" t="inlineStr">
        <is>
          <t>info@iomx.de</t>
        </is>
      </c>
      <c r="AT238" s="184" t="inlineStr">
        <is>
          <t>Europe</t>
        </is>
      </c>
      <c r="AU238" s="185" t="inlineStr">
        <is>
          <t>Western Europe</t>
        </is>
      </c>
      <c r="AV238" s="186" t="inlineStr">
        <is>
          <t>The company raised EUR 40 million of Series A venture funding in a deal led by MPM Capital and Sofinnova Partners on September 22, 2016. Wellington Partners and Merck Ventures also participated in this round. The company will use the funds to advance several proprietary product candidates up to initial clinical proof-of-concept.</t>
        </is>
      </c>
      <c r="AW238" s="187" t="inlineStr">
        <is>
          <t>Merck Ventures, MPM Capital, Sofinnova Partners, Wellington Partners</t>
        </is>
      </c>
      <c r="AX238" s="188" t="n">
        <v>4.0</v>
      </c>
      <c r="AY238" s="189" t="inlineStr">
        <is>
          <t/>
        </is>
      </c>
      <c r="AZ238" s="190" t="inlineStr">
        <is>
          <t/>
        </is>
      </c>
      <c r="BA238" s="191" t="inlineStr">
        <is>
          <t/>
        </is>
      </c>
      <c r="BB238" s="192" t="inlineStr">
        <is>
          <t>Merck Ventures (www.merck-ventures.com), MPM Capital (www.mpmcapital.com), Sofinnova Partners (www.sofinnova.fr), Wellington Partners (www.wellington-partners.com)</t>
        </is>
      </c>
      <c r="BC238" s="193" t="inlineStr">
        <is>
          <t/>
        </is>
      </c>
      <c r="BD238" s="194" t="inlineStr">
        <is>
          <t/>
        </is>
      </c>
      <c r="BE238" s="195" t="inlineStr">
        <is>
          <t/>
        </is>
      </c>
      <c r="BF238" s="196" t="inlineStr">
        <is>
          <t/>
        </is>
      </c>
      <c r="BG238" s="197" t="n">
        <v>42635.0</v>
      </c>
      <c r="BH238" s="198" t="n">
        <v>40.0</v>
      </c>
      <c r="BI238" s="199" t="inlineStr">
        <is>
          <t>Actual</t>
        </is>
      </c>
      <c r="BJ238" s="200" t="inlineStr">
        <is>
          <t/>
        </is>
      </c>
      <c r="BK238" s="201" t="inlineStr">
        <is>
          <t/>
        </is>
      </c>
      <c r="BL238" s="202" t="inlineStr">
        <is>
          <t>Early Stage VC</t>
        </is>
      </c>
      <c r="BM238" s="203" t="inlineStr">
        <is>
          <t>Series A</t>
        </is>
      </c>
      <c r="BN238" s="204" t="inlineStr">
        <is>
          <t/>
        </is>
      </c>
      <c r="BO238" s="205" t="inlineStr">
        <is>
          <t>Venture Capital</t>
        </is>
      </c>
      <c r="BP238" s="206" t="inlineStr">
        <is>
          <t/>
        </is>
      </c>
      <c r="BQ238" s="207" t="inlineStr">
        <is>
          <t/>
        </is>
      </c>
      <c r="BR238" s="208" t="inlineStr">
        <is>
          <t/>
        </is>
      </c>
      <c r="BS238" s="209" t="inlineStr">
        <is>
          <t>Completed</t>
        </is>
      </c>
      <c r="BT238" s="210" t="n">
        <v>42635.0</v>
      </c>
      <c r="BU238" s="211" t="n">
        <v>40.0</v>
      </c>
      <c r="BV238" s="212" t="inlineStr">
        <is>
          <t>Actual</t>
        </is>
      </c>
      <c r="BW238" s="213" t="inlineStr">
        <is>
          <t/>
        </is>
      </c>
      <c r="BX238" s="214" t="inlineStr">
        <is>
          <t/>
        </is>
      </c>
      <c r="BY238" s="215" t="inlineStr">
        <is>
          <t>Early Stage VC</t>
        </is>
      </c>
      <c r="BZ238" s="216" t="inlineStr">
        <is>
          <t>Series A</t>
        </is>
      </c>
      <c r="CA238" s="217" t="inlineStr">
        <is>
          <t/>
        </is>
      </c>
      <c r="CB238" s="218" t="inlineStr">
        <is>
          <t>Venture Capital</t>
        </is>
      </c>
      <c r="CC238" s="219" t="inlineStr">
        <is>
          <t/>
        </is>
      </c>
      <c r="CD238" s="220" t="inlineStr">
        <is>
          <t/>
        </is>
      </c>
      <c r="CE238" s="221" t="inlineStr">
        <is>
          <t/>
        </is>
      </c>
      <c r="CF238" s="222" t="inlineStr">
        <is>
          <t>Completed</t>
        </is>
      </c>
      <c r="CG238" s="223" t="inlineStr">
        <is>
          <t>0,00%</t>
        </is>
      </c>
      <c r="CH238" s="224" t="inlineStr">
        <is>
          <t>23</t>
        </is>
      </c>
      <c r="CI238" s="225" t="inlineStr">
        <is>
          <t>0,00%</t>
        </is>
      </c>
      <c r="CJ238" s="226" t="inlineStr">
        <is>
          <t>0,00%</t>
        </is>
      </c>
      <c r="CK238" s="227" t="inlineStr">
        <is>
          <t>0,00%</t>
        </is>
      </c>
      <c r="CL238" s="228" t="inlineStr">
        <is>
          <t>18</t>
        </is>
      </c>
      <c r="CM238" s="229" t="inlineStr">
        <is>
          <t/>
        </is>
      </c>
      <c r="CN238" s="230" t="inlineStr">
        <is>
          <t/>
        </is>
      </c>
      <c r="CO238" s="231" t="inlineStr">
        <is>
          <t>0,00%</t>
        </is>
      </c>
      <c r="CP238" s="232" t="inlineStr">
        <is>
          <t>26</t>
        </is>
      </c>
      <c r="CQ238" s="233" t="inlineStr">
        <is>
          <t/>
        </is>
      </c>
      <c r="CR238" s="234" t="inlineStr">
        <is>
          <t/>
        </is>
      </c>
      <c r="CS238" s="235" t="inlineStr">
        <is>
          <t/>
        </is>
      </c>
      <c r="CT238" s="236" t="inlineStr">
        <is>
          <t/>
        </is>
      </c>
      <c r="CU238" s="237" t="inlineStr">
        <is>
          <t/>
        </is>
      </c>
      <c r="CV238" s="238" t="inlineStr">
        <is>
          <t/>
        </is>
      </c>
      <c r="CW238" s="239" t="inlineStr">
        <is>
          <t>0,57x</t>
        </is>
      </c>
      <c r="CX238" s="240" t="inlineStr">
        <is>
          <t>36</t>
        </is>
      </c>
      <c r="CY238" s="241" t="inlineStr">
        <is>
          <t>0,00x</t>
        </is>
      </c>
      <c r="CZ238" s="242" t="inlineStr">
        <is>
          <t>0,00%</t>
        </is>
      </c>
      <c r="DA238" s="243" t="inlineStr">
        <is>
          <t>0,57x</t>
        </is>
      </c>
      <c r="DB238" s="244" t="inlineStr">
        <is>
          <t>39</t>
        </is>
      </c>
      <c r="DC238" s="245" t="inlineStr">
        <is>
          <t/>
        </is>
      </c>
      <c r="DD238" s="246" t="inlineStr">
        <is>
          <t/>
        </is>
      </c>
      <c r="DE238" s="247" t="inlineStr">
        <is>
          <t>0,57x</t>
        </is>
      </c>
      <c r="DF238" s="248" t="inlineStr">
        <is>
          <t>39</t>
        </is>
      </c>
      <c r="DG238" s="249" t="inlineStr">
        <is>
          <t/>
        </is>
      </c>
      <c r="DH238" s="250" t="inlineStr">
        <is>
          <t/>
        </is>
      </c>
      <c r="DI238" s="251" t="inlineStr">
        <is>
          <t/>
        </is>
      </c>
      <c r="DJ238" s="252" t="inlineStr">
        <is>
          <t/>
        </is>
      </c>
      <c r="DK238" s="253" t="inlineStr">
        <is>
          <t/>
        </is>
      </c>
      <c r="DL238" s="254" t="inlineStr">
        <is>
          <t/>
        </is>
      </c>
      <c r="DM238" s="255" t="inlineStr">
        <is>
          <t>338</t>
        </is>
      </c>
      <c r="DN238" s="256" t="inlineStr">
        <is>
          <t>28</t>
        </is>
      </c>
      <c r="DO238" s="257" t="inlineStr">
        <is>
          <t>9,03%</t>
        </is>
      </c>
      <c r="DP238" s="258" t="inlineStr">
        <is>
          <t/>
        </is>
      </c>
      <c r="DQ238" s="259" t="inlineStr">
        <is>
          <t/>
        </is>
      </c>
      <c r="DR238" s="260" t="inlineStr">
        <is>
          <t/>
        </is>
      </c>
      <c r="DS238" s="261" t="inlineStr">
        <is>
          <t/>
        </is>
      </c>
      <c r="DT238" s="262" t="inlineStr">
        <is>
          <t/>
        </is>
      </c>
      <c r="DU238" s="263" t="inlineStr">
        <is>
          <t/>
        </is>
      </c>
      <c r="DV238" s="264" t="inlineStr">
        <is>
          <t/>
        </is>
      </c>
      <c r="DW238" s="265" t="inlineStr">
        <is>
          <t/>
        </is>
      </c>
      <c r="DX238" s="266" t="inlineStr">
        <is>
          <t/>
        </is>
      </c>
      <c r="DY238" s="267" t="inlineStr">
        <is>
          <t>PitchBook Research</t>
        </is>
      </c>
      <c r="DZ238" s="786">
        <f>HYPERLINK("https://my.pitchbook.com?c=166594-42", "View company online")</f>
      </c>
    </row>
    <row r="239">
      <c r="A239" s="9" t="inlineStr">
        <is>
          <t>139715-74</t>
        </is>
      </c>
      <c r="B239" s="10" t="inlineStr">
        <is>
          <t>Iterum Therapeutics</t>
        </is>
      </c>
      <c r="C239" s="11" t="inlineStr">
        <is>
          <t/>
        </is>
      </c>
      <c r="D239" s="12" t="inlineStr">
        <is>
          <t/>
        </is>
      </c>
      <c r="E239" s="13" t="inlineStr">
        <is>
          <t>139715-74</t>
        </is>
      </c>
      <c r="F239" s="14" t="inlineStr">
        <is>
          <t>Developer of significantly differentiated anti-infectives aimed at combating the global crisis of multi-drug resistant (MDR) pathogens. The company's first compound sulopenem, is a novel penem anti-infective compound with oral and IV formulations in an IV only class of antibiotics that has demonstrated potent in vitro activity against a wide variety of gram-negative, gram-positive and anaerobic bacteria resistant to other antibiotics.</t>
        </is>
      </c>
      <c r="G239" s="15" t="inlineStr">
        <is>
          <t>Healthcare</t>
        </is>
      </c>
      <c r="H239" s="16" t="inlineStr">
        <is>
          <t>Pharmaceuticals and Biotechnology</t>
        </is>
      </c>
      <c r="I239" s="17" t="inlineStr">
        <is>
          <t>Drug Discovery</t>
        </is>
      </c>
      <c r="J239" s="18" t="inlineStr">
        <is>
          <t>Drug Discovery*; Biotechnology; Pharmaceuticals</t>
        </is>
      </c>
      <c r="K239" s="19" t="inlineStr">
        <is>
          <t>Life Sciences</t>
        </is>
      </c>
      <c r="L239" s="20" t="inlineStr">
        <is>
          <t>Venture Capital-Backed</t>
        </is>
      </c>
      <c r="M239" s="21" t="n">
        <v>93.8</v>
      </c>
      <c r="N239" s="22" t="inlineStr">
        <is>
          <t>Clinical Trials - General</t>
        </is>
      </c>
      <c r="O239" s="23" t="inlineStr">
        <is>
          <t>Privately Held (backing)</t>
        </is>
      </c>
      <c r="P239" s="24" t="inlineStr">
        <is>
          <t>Venture Capital</t>
        </is>
      </c>
      <c r="Q239" s="25" t="inlineStr">
        <is>
          <t>www.iterumtx.com</t>
        </is>
      </c>
      <c r="R239" s="26" t="inlineStr">
        <is>
          <t/>
        </is>
      </c>
      <c r="S239" s="27" t="inlineStr">
        <is>
          <t/>
        </is>
      </c>
      <c r="T239" s="28" t="inlineStr">
        <is>
          <t/>
        </is>
      </c>
      <c r="U239" s="29" t="n">
        <v>2015.0</v>
      </c>
      <c r="V239" s="30" t="inlineStr">
        <is>
          <t/>
        </is>
      </c>
      <c r="W239" s="31" t="inlineStr">
        <is>
          <t/>
        </is>
      </c>
      <c r="X239" s="32" t="inlineStr">
        <is>
          <t/>
        </is>
      </c>
      <c r="Y239" s="33" t="inlineStr">
        <is>
          <t/>
        </is>
      </c>
      <c r="Z239" s="34" t="inlineStr">
        <is>
          <t/>
        </is>
      </c>
      <c r="AA239" s="35" t="inlineStr">
        <is>
          <t/>
        </is>
      </c>
      <c r="AB239" s="36" t="inlineStr">
        <is>
          <t/>
        </is>
      </c>
      <c r="AC239" s="37" t="inlineStr">
        <is>
          <t/>
        </is>
      </c>
      <c r="AD239" s="38" t="inlineStr">
        <is>
          <t/>
        </is>
      </c>
      <c r="AE239" s="39" t="inlineStr">
        <is>
          <t>120977-92P</t>
        </is>
      </c>
      <c r="AF239" s="40" t="inlineStr">
        <is>
          <t>Judith Matthews</t>
        </is>
      </c>
      <c r="AG239" s="41" t="inlineStr">
        <is>
          <t>Chief Financial Officer</t>
        </is>
      </c>
      <c r="AH239" s="42" t="inlineStr">
        <is>
          <t>judy@iterumtx.com</t>
        </is>
      </c>
      <c r="AI239" s="43" t="inlineStr">
        <is>
          <t>+353 (0)1 903 8920</t>
        </is>
      </c>
      <c r="AJ239" s="44" t="inlineStr">
        <is>
          <t>Dublin, Ireland</t>
        </is>
      </c>
      <c r="AK239" s="45" t="inlineStr">
        <is>
          <t>Block 2 Floor 3, Harcourt Centre</t>
        </is>
      </c>
      <c r="AL239" s="46" t="inlineStr">
        <is>
          <t>Harcourt Street</t>
        </is>
      </c>
      <c r="AM239" s="47" t="inlineStr">
        <is>
          <t>Dublin</t>
        </is>
      </c>
      <c r="AN239" s="48" t="inlineStr">
        <is>
          <t/>
        </is>
      </c>
      <c r="AO239" s="49" t="inlineStr">
        <is>
          <t>2</t>
        </is>
      </c>
      <c r="AP239" s="50" t="inlineStr">
        <is>
          <t>Ireland</t>
        </is>
      </c>
      <c r="AQ239" s="51" t="inlineStr">
        <is>
          <t>+353 (0)1 903 8920</t>
        </is>
      </c>
      <c r="AR239" s="52" t="inlineStr">
        <is>
          <t/>
        </is>
      </c>
      <c r="AS239" s="53" t="inlineStr">
        <is>
          <t/>
        </is>
      </c>
      <c r="AT239" s="54" t="inlineStr">
        <is>
          <t>Europe</t>
        </is>
      </c>
      <c r="AU239" s="55" t="inlineStr">
        <is>
          <t>Western Europe</t>
        </is>
      </c>
      <c r="AV239" s="56" t="inlineStr">
        <is>
          <t>The company raised EUR 57.6 million of Series B venture funding in a deal led by Arix Bioscience on May 19, 2017. Pivotal bioVenture Partners, Advent Life Sciences, Irish Venture Capital Association, Domain Associates, Bay City Capital, Frazier Healthcare Partners, Canaan Partners, Sofinnova Ventures and New Leaf Venture Partners also participated in the round. The funds will be used for production of clinical supplies and registration batches, expanding the chemistry, manufacturing and control and development organizations and execution of the uncomplicated urinary tract infections Phase 3 pivotal program.</t>
        </is>
      </c>
      <c r="AW239" s="57" t="inlineStr">
        <is>
          <t>Advent Life Sciences, Arix Bioscience, Bay City Capital, Canaan Partners, Domain Associates, Frazier Healthcare Partners, Irish Venture Capital Association, New Leaf Venture Partners, Pivotal bioVenture Partners, Sofinnova Ventures</t>
        </is>
      </c>
      <c r="AX239" s="58" t="n">
        <v>10.0</v>
      </c>
      <c r="AY239" s="59" t="inlineStr">
        <is>
          <t/>
        </is>
      </c>
      <c r="AZ239" s="60" t="inlineStr">
        <is>
          <t/>
        </is>
      </c>
      <c r="BA239" s="61" t="inlineStr">
        <is>
          <t/>
        </is>
      </c>
      <c r="BB239" s="62" t="inlineStr">
        <is>
          <t>Advent Life Sciences (www.adventls.com), Arix Bioscience (www.arixbioscience.com), Bay City Capital (www.baycitycapital.com), Canaan Partners (www.canaan.com), Domain Associates (www.domainvc.com), Frazier Healthcare Partners (www.frazierhealthcare.com), Irish Venture Capital Association (www.ivca.ie), New Leaf Venture Partners (www.nlvpartners.com), Pivotal bioVenture Partners (www.pivotalbiovp.com), Sofinnova Ventures (www.sofinnova.com)</t>
        </is>
      </c>
      <c r="BC239" s="63" t="inlineStr">
        <is>
          <t/>
        </is>
      </c>
      <c r="BD239" s="64" t="inlineStr">
        <is>
          <t/>
        </is>
      </c>
      <c r="BE239" s="65" t="inlineStr">
        <is>
          <t>Cooley (Legal Advisor), A&amp;L Goodbody (Legal Advisor)</t>
        </is>
      </c>
      <c r="BF239" s="66" t="inlineStr">
        <is>
          <t>Cooley (Legal Advisor), A&amp;L Goodbody (Legal Advisor)</t>
        </is>
      </c>
      <c r="BG239" s="67" t="inlineStr">
        <is>
          <t/>
        </is>
      </c>
      <c r="BH239" s="68" t="inlineStr">
        <is>
          <t/>
        </is>
      </c>
      <c r="BI239" s="69" t="inlineStr">
        <is>
          <t/>
        </is>
      </c>
      <c r="BJ239" s="70" t="inlineStr">
        <is>
          <t/>
        </is>
      </c>
      <c r="BK239" s="71" t="inlineStr">
        <is>
          <t/>
        </is>
      </c>
      <c r="BL239" s="72" t="inlineStr">
        <is>
          <t>Early Stage VC</t>
        </is>
      </c>
      <c r="BM239" s="73" t="inlineStr">
        <is>
          <t/>
        </is>
      </c>
      <c r="BN239" s="74" t="inlineStr">
        <is>
          <t/>
        </is>
      </c>
      <c r="BO239" s="75" t="inlineStr">
        <is>
          <t>Venture Capital</t>
        </is>
      </c>
      <c r="BP239" s="76" t="inlineStr">
        <is>
          <t/>
        </is>
      </c>
      <c r="BQ239" s="77" t="inlineStr">
        <is>
          <t/>
        </is>
      </c>
      <c r="BR239" s="78" t="inlineStr">
        <is>
          <t/>
        </is>
      </c>
      <c r="BS239" s="79" t="inlineStr">
        <is>
          <t>Completed</t>
        </is>
      </c>
      <c r="BT239" s="80" t="n">
        <v>42874.0</v>
      </c>
      <c r="BU239" s="81" t="n">
        <v>57.8</v>
      </c>
      <c r="BV239" s="82" t="inlineStr">
        <is>
          <t>Actual</t>
        </is>
      </c>
      <c r="BW239" s="83" t="inlineStr">
        <is>
          <t/>
        </is>
      </c>
      <c r="BX239" s="84" t="inlineStr">
        <is>
          <t/>
        </is>
      </c>
      <c r="BY239" s="85" t="inlineStr">
        <is>
          <t>Early Stage VC</t>
        </is>
      </c>
      <c r="BZ239" s="86" t="inlineStr">
        <is>
          <t>Series B</t>
        </is>
      </c>
      <c r="CA239" s="87" t="inlineStr">
        <is>
          <t/>
        </is>
      </c>
      <c r="CB239" s="88" t="inlineStr">
        <is>
          <t>Venture Capital</t>
        </is>
      </c>
      <c r="CC239" s="89" t="inlineStr">
        <is>
          <t/>
        </is>
      </c>
      <c r="CD239" s="90" t="inlineStr">
        <is>
          <t/>
        </is>
      </c>
      <c r="CE239" s="91" t="inlineStr">
        <is>
          <t/>
        </is>
      </c>
      <c r="CF239" s="92" t="inlineStr">
        <is>
          <t>Completed</t>
        </is>
      </c>
      <c r="CG239" s="93" t="inlineStr">
        <is>
          <t/>
        </is>
      </c>
      <c r="CH239" s="94" t="inlineStr">
        <is>
          <t/>
        </is>
      </c>
      <c r="CI239" s="95" t="inlineStr">
        <is>
          <t/>
        </is>
      </c>
      <c r="CJ239" s="96" t="inlineStr">
        <is>
          <t/>
        </is>
      </c>
      <c r="CK239" s="97" t="inlineStr">
        <is>
          <t/>
        </is>
      </c>
      <c r="CL239" s="98" t="inlineStr">
        <is>
          <t/>
        </is>
      </c>
      <c r="CM239" s="99" t="inlineStr">
        <is>
          <t/>
        </is>
      </c>
      <c r="CN239" s="100" t="inlineStr">
        <is>
          <t/>
        </is>
      </c>
      <c r="CO239" s="101" t="inlineStr">
        <is>
          <t/>
        </is>
      </c>
      <c r="CP239" s="102" t="inlineStr">
        <is>
          <t/>
        </is>
      </c>
      <c r="CQ239" s="103" t="inlineStr">
        <is>
          <t/>
        </is>
      </c>
      <c r="CR239" s="104" t="inlineStr">
        <is>
          <t/>
        </is>
      </c>
      <c r="CS239" s="105" t="inlineStr">
        <is>
          <t/>
        </is>
      </c>
      <c r="CT239" s="106" t="inlineStr">
        <is>
          <t/>
        </is>
      </c>
      <c r="CU239" s="107" t="inlineStr">
        <is>
          <t/>
        </is>
      </c>
      <c r="CV239" s="108" t="inlineStr">
        <is>
          <t/>
        </is>
      </c>
      <c r="CW239" s="109" t="inlineStr">
        <is>
          <t/>
        </is>
      </c>
      <c r="CX239" s="110" t="inlineStr">
        <is>
          <t/>
        </is>
      </c>
      <c r="CY239" s="111" t="inlineStr">
        <is>
          <t/>
        </is>
      </c>
      <c r="CZ239" s="112" t="inlineStr">
        <is>
          <t/>
        </is>
      </c>
      <c r="DA239" s="113" t="inlineStr">
        <is>
          <t/>
        </is>
      </c>
      <c r="DB239" s="114" t="inlineStr">
        <is>
          <t/>
        </is>
      </c>
      <c r="DC239" s="115" t="inlineStr">
        <is>
          <t/>
        </is>
      </c>
      <c r="DD239" s="116" t="inlineStr">
        <is>
          <t/>
        </is>
      </c>
      <c r="DE239" s="117" t="inlineStr">
        <is>
          <t/>
        </is>
      </c>
      <c r="DF239" s="118" t="inlineStr">
        <is>
          <t/>
        </is>
      </c>
      <c r="DG239" s="119" t="inlineStr">
        <is>
          <t/>
        </is>
      </c>
      <c r="DH239" s="120" t="inlineStr">
        <is>
          <t/>
        </is>
      </c>
      <c r="DI239" s="121" t="inlineStr">
        <is>
          <t/>
        </is>
      </c>
      <c r="DJ239" s="122" t="inlineStr">
        <is>
          <t/>
        </is>
      </c>
      <c r="DK239" s="123" t="inlineStr">
        <is>
          <t/>
        </is>
      </c>
      <c r="DL239" s="124" t="inlineStr">
        <is>
          <t/>
        </is>
      </c>
      <c r="DM239" s="125" t="inlineStr">
        <is>
          <t/>
        </is>
      </c>
      <c r="DN239" s="126" t="inlineStr">
        <is>
          <t/>
        </is>
      </c>
      <c r="DO239" s="127" t="inlineStr">
        <is>
          <t/>
        </is>
      </c>
      <c r="DP239" s="128" t="inlineStr">
        <is>
          <t/>
        </is>
      </c>
      <c r="DQ239" s="129" t="inlineStr">
        <is>
          <t/>
        </is>
      </c>
      <c r="DR239" s="130" t="inlineStr">
        <is>
          <t/>
        </is>
      </c>
      <c r="DS239" s="131" t="inlineStr">
        <is>
          <t/>
        </is>
      </c>
      <c r="DT239" s="132" t="inlineStr">
        <is>
          <t/>
        </is>
      </c>
      <c r="DU239" s="133" t="inlineStr">
        <is>
          <t/>
        </is>
      </c>
      <c r="DV239" s="134" t="inlineStr">
        <is>
          <t/>
        </is>
      </c>
      <c r="DW239" s="135" t="inlineStr">
        <is>
          <t/>
        </is>
      </c>
      <c r="DX239" s="136" t="inlineStr">
        <is>
          <t/>
        </is>
      </c>
      <c r="DY239" s="137" t="inlineStr">
        <is>
          <t>PitchBook Research</t>
        </is>
      </c>
      <c r="DZ239" s="785">
        <f>HYPERLINK("https://my.pitchbook.com?c=139715-74", "View company online")</f>
      </c>
    </row>
    <row r="240">
      <c r="A240" s="139" t="inlineStr">
        <is>
          <t>55865-17</t>
        </is>
      </c>
      <c r="B240" s="140" t="inlineStr">
        <is>
          <t>Iwoca</t>
        </is>
      </c>
      <c r="C240" s="141" t="inlineStr">
        <is>
          <t/>
        </is>
      </c>
      <c r="D240" s="142" t="inlineStr">
        <is>
          <t/>
        </is>
      </c>
      <c r="E240" s="143" t="inlineStr">
        <is>
          <t>55865-17</t>
        </is>
      </c>
      <c r="F240" s="144" t="inlineStr">
        <is>
          <t>Provider of working capital loans to small businesses. The company's working capital loans include small business loans to online retailers and sellers including unsecured business loans and short-term cash loans, enabling small business owners to turn cash flow into a competitive advantage and grow their businesses.</t>
        </is>
      </c>
      <c r="G240" s="145" t="inlineStr">
        <is>
          <t>Financial Services</t>
        </is>
      </c>
      <c r="H240" s="146" t="inlineStr">
        <is>
          <t>Capital Markets/Institutions</t>
        </is>
      </c>
      <c r="I240" s="147" t="inlineStr">
        <is>
          <t>Other Capital Markets/Institutions</t>
        </is>
      </c>
      <c r="J240" s="148" t="inlineStr">
        <is>
          <t>Other Capital Markets/Institutions*; Other Financial Services</t>
        </is>
      </c>
      <c r="K240" s="149" t="inlineStr">
        <is>
          <t>FinTech</t>
        </is>
      </c>
      <c r="L240" s="150" t="inlineStr">
        <is>
          <t>Venture Capital-Backed</t>
        </is>
      </c>
      <c r="M240" s="151" t="n">
        <v>78.25</v>
      </c>
      <c r="N240" s="152" t="inlineStr">
        <is>
          <t>Generating Revenue</t>
        </is>
      </c>
      <c r="O240" s="153" t="inlineStr">
        <is>
          <t>Privately Held (backing)</t>
        </is>
      </c>
      <c r="P240" s="154" t="inlineStr">
        <is>
          <t>Venture Capital</t>
        </is>
      </c>
      <c r="Q240" s="155" t="inlineStr">
        <is>
          <t>www.iwoca.co.uk</t>
        </is>
      </c>
      <c r="R240" s="156" t="n">
        <v>90.0</v>
      </c>
      <c r="S240" s="157" t="inlineStr">
        <is>
          <t/>
        </is>
      </c>
      <c r="T240" s="158" t="inlineStr">
        <is>
          <t/>
        </is>
      </c>
      <c r="U240" s="159" t="n">
        <v>2012.0</v>
      </c>
      <c r="V240" s="160" t="inlineStr">
        <is>
          <t/>
        </is>
      </c>
      <c r="W240" s="161" t="inlineStr">
        <is>
          <t/>
        </is>
      </c>
      <c r="X240" s="162" t="inlineStr">
        <is>
          <t/>
        </is>
      </c>
      <c r="Y240" s="163" t="n">
        <v>8.58094</v>
      </c>
      <c r="Z240" s="164" t="n">
        <v>5.641</v>
      </c>
      <c r="AA240" s="165" t="n">
        <v>-6.64242</v>
      </c>
      <c r="AB240" s="166" t="inlineStr">
        <is>
          <t/>
        </is>
      </c>
      <c r="AC240" s="167" t="n">
        <v>-5.63181</v>
      </c>
      <c r="AD240" s="168" t="inlineStr">
        <is>
          <t>FY 2015</t>
        </is>
      </c>
      <c r="AE240" s="169" t="inlineStr">
        <is>
          <t>48969-10P</t>
        </is>
      </c>
      <c r="AF240" s="170" t="inlineStr">
        <is>
          <t>Christoph Rieche</t>
        </is>
      </c>
      <c r="AG240" s="171" t="inlineStr">
        <is>
          <t>Co-Founder &amp; Chief Executive Officer</t>
        </is>
      </c>
      <c r="AH240" s="172" t="inlineStr">
        <is>
          <t>chris.rieche@iwoca.co.uk</t>
        </is>
      </c>
      <c r="AI240" s="173" t="inlineStr">
        <is>
          <t>+44 (0)80 0205 5535</t>
        </is>
      </c>
      <c r="AJ240" s="174" t="inlineStr">
        <is>
          <t>London, United Kingdom</t>
        </is>
      </c>
      <c r="AK240" s="175" t="inlineStr">
        <is>
          <t>Elsley Court</t>
        </is>
      </c>
      <c r="AL240" s="176" t="inlineStr">
        <is>
          <t>20-22 Great Titchfield Street</t>
        </is>
      </c>
      <c r="AM240" s="177" t="inlineStr">
        <is>
          <t>London</t>
        </is>
      </c>
      <c r="AN240" s="178" t="inlineStr">
        <is>
          <t>England</t>
        </is>
      </c>
      <c r="AO240" s="179" t="inlineStr">
        <is>
          <t>W1W 8BE</t>
        </is>
      </c>
      <c r="AP240" s="180" t="inlineStr">
        <is>
          <t>United Kingdom</t>
        </is>
      </c>
      <c r="AQ240" s="181" t="inlineStr">
        <is>
          <t>+44 (0)80 0205 5535</t>
        </is>
      </c>
      <c r="AR240" s="182" t="inlineStr">
        <is>
          <t/>
        </is>
      </c>
      <c r="AS240" s="183" t="inlineStr">
        <is>
          <t/>
        </is>
      </c>
      <c r="AT240" s="184" t="inlineStr">
        <is>
          <t>Europe</t>
        </is>
      </c>
      <c r="AU240" s="185" t="inlineStr">
        <is>
          <t>Western Europe</t>
        </is>
      </c>
      <c r="AV240" s="186" t="inlineStr">
        <is>
          <t>The company received an undisclosed amount of financing from Intesa Sanpaolo on July 11, 2017. Earlier, the company raised GBP 46 million of Series C venture funding in a deal led by on October 4, 2016. Acton Capital Partners, CommerzVentures, Global Founders Capital, Beyond Digital, Talis Capital and Redline Capital Management also participated in the round. Out of the total funding GBP 25 million was received in the form of secured debt from Shawbrook Bank.</t>
        </is>
      </c>
      <c r="AW240" s="187" t="inlineStr">
        <is>
          <t>Acton Capital Partners, Beyond Digital, CommerzVentures, Global Founders Capital, Intesa Sanpaolo, Prime Ventures, Redline Capital Management, Talis Capital</t>
        </is>
      </c>
      <c r="AX240" s="188" t="n">
        <v>8.0</v>
      </c>
      <c r="AY240" s="189" t="inlineStr">
        <is>
          <t/>
        </is>
      </c>
      <c r="AZ240" s="190" t="inlineStr">
        <is>
          <t/>
        </is>
      </c>
      <c r="BA240" s="191" t="inlineStr">
        <is>
          <t/>
        </is>
      </c>
      <c r="BB240" s="192" t="inlineStr">
        <is>
          <t>Acton Capital Partners (www.actoncapital.com), CommerzVentures (www.commerzventures.de), Global Founders Capital (www.globalfounders.vc), Intesa Sanpaolo (www.intesasanpaolo.com), Prime Ventures (www.primeventures.com), Redline Capital Management (www.redline-capital.com), Talis Capital (www.taliscapital.com)</t>
        </is>
      </c>
      <c r="BC240" s="193" t="inlineStr">
        <is>
          <t/>
        </is>
      </c>
      <c r="BD240" s="194" t="inlineStr">
        <is>
          <t/>
        </is>
      </c>
      <c r="BE240" s="195" t="inlineStr">
        <is>
          <t>Future Fifty (Consulting), Paul Hastings (Legal Advisor)</t>
        </is>
      </c>
      <c r="BF240" s="196" t="inlineStr">
        <is>
          <t>Shawbrook Bank, IGC Holdings (Advisor), Paul Hastings (Legal Advisor)</t>
        </is>
      </c>
      <c r="BG240" s="197" t="n">
        <v>41263.0</v>
      </c>
      <c r="BH240" s="198" t="n">
        <v>2.46</v>
      </c>
      <c r="BI240" s="199" t="inlineStr">
        <is>
          <t>Actual</t>
        </is>
      </c>
      <c r="BJ240" s="200" t="n">
        <v>6.15</v>
      </c>
      <c r="BK240" s="201" t="inlineStr">
        <is>
          <t>Actual</t>
        </is>
      </c>
      <c r="BL240" s="202" t="inlineStr">
        <is>
          <t>Early Stage VC</t>
        </is>
      </c>
      <c r="BM240" s="203" t="inlineStr">
        <is>
          <t/>
        </is>
      </c>
      <c r="BN240" s="204" t="inlineStr">
        <is>
          <t/>
        </is>
      </c>
      <c r="BO240" s="205" t="inlineStr">
        <is>
          <t>Venture Capital</t>
        </is>
      </c>
      <c r="BP240" s="206" t="inlineStr">
        <is>
          <t/>
        </is>
      </c>
      <c r="BQ240" s="207" t="inlineStr">
        <is>
          <t/>
        </is>
      </c>
      <c r="BR240" s="208" t="inlineStr">
        <is>
          <t/>
        </is>
      </c>
      <c r="BS240" s="209" t="inlineStr">
        <is>
          <t>Completed</t>
        </is>
      </c>
      <c r="BT240" s="210" t="n">
        <v>42927.0</v>
      </c>
      <c r="BU240" s="211" t="inlineStr">
        <is>
          <t/>
        </is>
      </c>
      <c r="BV240" s="212" t="inlineStr">
        <is>
          <t/>
        </is>
      </c>
      <c r="BW240" s="213" t="inlineStr">
        <is>
          <t/>
        </is>
      </c>
      <c r="BX240" s="214" t="inlineStr">
        <is>
          <t/>
        </is>
      </c>
      <c r="BY240" s="215" t="inlineStr">
        <is>
          <t>Corporate</t>
        </is>
      </c>
      <c r="BZ240" s="216" t="inlineStr">
        <is>
          <t>Corporate</t>
        </is>
      </c>
      <c r="CA240" s="217" t="inlineStr">
        <is>
          <t/>
        </is>
      </c>
      <c r="CB240" s="218" t="inlineStr">
        <is>
          <t>Corporate</t>
        </is>
      </c>
      <c r="CC240" s="219" t="inlineStr">
        <is>
          <t/>
        </is>
      </c>
      <c r="CD240" s="220" t="inlineStr">
        <is>
          <t/>
        </is>
      </c>
      <c r="CE240" s="221" t="inlineStr">
        <is>
          <t/>
        </is>
      </c>
      <c r="CF240" s="222" t="inlineStr">
        <is>
          <t>Completed</t>
        </is>
      </c>
      <c r="CG240" s="223" t="inlineStr">
        <is>
          <t>0,82%</t>
        </is>
      </c>
      <c r="CH240" s="224" t="inlineStr">
        <is>
          <t>87</t>
        </is>
      </c>
      <c r="CI240" s="225" t="inlineStr">
        <is>
          <t>0,01%</t>
        </is>
      </c>
      <c r="CJ240" s="226" t="inlineStr">
        <is>
          <t>0,98%</t>
        </is>
      </c>
      <c r="CK240" s="227" t="inlineStr">
        <is>
          <t>1,61%</t>
        </is>
      </c>
      <c r="CL240" s="228" t="inlineStr">
        <is>
          <t>89</t>
        </is>
      </c>
      <c r="CM240" s="229" t="inlineStr">
        <is>
          <t>0,03%</t>
        </is>
      </c>
      <c r="CN240" s="230" t="inlineStr">
        <is>
          <t>48</t>
        </is>
      </c>
      <c r="CO240" s="231" t="inlineStr">
        <is>
          <t>-1,09%</t>
        </is>
      </c>
      <c r="CP240" s="232" t="inlineStr">
        <is>
          <t>20</t>
        </is>
      </c>
      <c r="CQ240" s="233" t="inlineStr">
        <is>
          <t>4,30%</t>
        </is>
      </c>
      <c r="CR240" s="234" t="inlineStr">
        <is>
          <t>94</t>
        </is>
      </c>
      <c r="CS240" s="235" t="inlineStr">
        <is>
          <t>0,01%</t>
        </is>
      </c>
      <c r="CT240" s="236" t="inlineStr">
        <is>
          <t>41</t>
        </is>
      </c>
      <c r="CU240" s="237" t="inlineStr">
        <is>
          <t>0,06%</t>
        </is>
      </c>
      <c r="CV240" s="238" t="inlineStr">
        <is>
          <t>62</t>
        </is>
      </c>
      <c r="CW240" s="239" t="inlineStr">
        <is>
          <t>15,67x</t>
        </is>
      </c>
      <c r="CX240" s="240" t="inlineStr">
        <is>
          <t>90</t>
        </is>
      </c>
      <c r="CY240" s="241" t="inlineStr">
        <is>
          <t>0,19x</t>
        </is>
      </c>
      <c r="CZ240" s="242" t="inlineStr">
        <is>
          <t>1,22%</t>
        </is>
      </c>
      <c r="DA240" s="243" t="inlineStr">
        <is>
          <t>22,41x</t>
        </is>
      </c>
      <c r="DB240" s="244" t="inlineStr">
        <is>
          <t>93</t>
        </is>
      </c>
      <c r="DC240" s="245" t="inlineStr">
        <is>
          <t>8,93x</t>
        </is>
      </c>
      <c r="DD240" s="246" t="inlineStr">
        <is>
          <t>83</t>
        </is>
      </c>
      <c r="DE240" s="247" t="inlineStr">
        <is>
          <t>19,26x</t>
        </is>
      </c>
      <c r="DF240" s="248" t="inlineStr">
        <is>
          <t>88</t>
        </is>
      </c>
      <c r="DG240" s="249" t="inlineStr">
        <is>
          <t>25,56x</t>
        </is>
      </c>
      <c r="DH240" s="250" t="inlineStr">
        <is>
          <t>94</t>
        </is>
      </c>
      <c r="DI240" s="251" t="inlineStr">
        <is>
          <t>4,35x</t>
        </is>
      </c>
      <c r="DJ240" s="252" t="inlineStr">
        <is>
          <t>73</t>
        </is>
      </c>
      <c r="DK240" s="253" t="inlineStr">
        <is>
          <t>13,50x</t>
        </is>
      </c>
      <c r="DL240" s="254" t="inlineStr">
        <is>
          <t>89</t>
        </is>
      </c>
      <c r="DM240" s="255" t="inlineStr">
        <is>
          <t>11.777</t>
        </is>
      </c>
      <c r="DN240" s="256" t="inlineStr">
        <is>
          <t>196</t>
        </is>
      </c>
      <c r="DO240" s="257" t="inlineStr">
        <is>
          <t>1,69%</t>
        </is>
      </c>
      <c r="DP240" s="258" t="inlineStr">
        <is>
          <t>3.477</t>
        </is>
      </c>
      <c r="DQ240" s="259" t="inlineStr">
        <is>
          <t>-2</t>
        </is>
      </c>
      <c r="DR240" s="260" t="inlineStr">
        <is>
          <t>-0,06%</t>
        </is>
      </c>
      <c r="DS240" s="261" t="inlineStr">
        <is>
          <t>924</t>
        </is>
      </c>
      <c r="DT240" s="262" t="inlineStr">
        <is>
          <t>-4</t>
        </is>
      </c>
      <c r="DU240" s="263" t="inlineStr">
        <is>
          <t>-0,43%</t>
        </is>
      </c>
      <c r="DV240" s="264" t="inlineStr">
        <is>
          <t>4.631</t>
        </is>
      </c>
      <c r="DW240" s="265" t="inlineStr">
        <is>
          <t>2</t>
        </is>
      </c>
      <c r="DX240" s="266" t="inlineStr">
        <is>
          <t>0,04%</t>
        </is>
      </c>
      <c r="DY240" s="267" t="inlineStr">
        <is>
          <t>PitchBook Research</t>
        </is>
      </c>
      <c r="DZ240" s="786">
        <f>HYPERLINK("https://my.pitchbook.com?c=55865-17", "View company online")</f>
      </c>
    </row>
    <row r="241">
      <c r="A241" s="9" t="inlineStr">
        <is>
          <t>160371-64</t>
        </is>
      </c>
      <c r="B241" s="10" t="inlineStr">
        <is>
          <t>Ixaltis</t>
        </is>
      </c>
      <c r="C241" s="11" t="inlineStr">
        <is>
          <t/>
        </is>
      </c>
      <c r="D241" s="12" t="inlineStr">
        <is>
          <t/>
        </is>
      </c>
      <c r="E241" s="13" t="inlineStr">
        <is>
          <t>160371-64</t>
        </is>
      </c>
      <c r="F241" s="14" t="inlineStr">
        <is>
          <t>Developer of therapeutics to treat genitourinary diseases. The company specializes in developing pharmaceutical products for the treatment disorders of the urogenital tract.</t>
        </is>
      </c>
      <c r="G241" s="15" t="inlineStr">
        <is>
          <t>Healthcare</t>
        </is>
      </c>
      <c r="H241" s="16" t="inlineStr">
        <is>
          <t>Pharmaceuticals and Biotechnology</t>
        </is>
      </c>
      <c r="I241" s="17" t="inlineStr">
        <is>
          <t>Pharmaceuticals</t>
        </is>
      </c>
      <c r="J241" s="18" t="inlineStr">
        <is>
          <t>Pharmaceuticals*; Biotechnology</t>
        </is>
      </c>
      <c r="K241" s="19" t="inlineStr">
        <is>
          <t/>
        </is>
      </c>
      <c r="L241" s="20" t="inlineStr">
        <is>
          <t>Venture Capital-Backed</t>
        </is>
      </c>
      <c r="M241" s="21" t="n">
        <v>10.8</v>
      </c>
      <c r="N241" s="22" t="inlineStr">
        <is>
          <t>Startup</t>
        </is>
      </c>
      <c r="O241" s="23" t="inlineStr">
        <is>
          <t>Privately Held (backing)</t>
        </is>
      </c>
      <c r="P241" s="24" t="inlineStr">
        <is>
          <t>Venture Capital</t>
        </is>
      </c>
      <c r="Q241" s="25" t="inlineStr">
        <is>
          <t>www.ixaltis.com</t>
        </is>
      </c>
      <c r="R241" s="26" t="n">
        <v>2.0</v>
      </c>
      <c r="S241" s="27" t="inlineStr">
        <is>
          <t/>
        </is>
      </c>
      <c r="T241" s="28" t="inlineStr">
        <is>
          <t/>
        </is>
      </c>
      <c r="U241" s="29" t="n">
        <v>2015.0</v>
      </c>
      <c r="V241" s="30" t="inlineStr">
        <is>
          <t/>
        </is>
      </c>
      <c r="W241" s="31" t="inlineStr">
        <is>
          <t/>
        </is>
      </c>
      <c r="X241" s="32" t="inlineStr">
        <is>
          <t/>
        </is>
      </c>
      <c r="Y241" s="33" t="inlineStr">
        <is>
          <t/>
        </is>
      </c>
      <c r="Z241" s="34" t="inlineStr">
        <is>
          <t/>
        </is>
      </c>
      <c r="AA241" s="35" t="inlineStr">
        <is>
          <t/>
        </is>
      </c>
      <c r="AB241" s="36" t="inlineStr">
        <is>
          <t/>
        </is>
      </c>
      <c r="AC241" s="37" t="inlineStr">
        <is>
          <t/>
        </is>
      </c>
      <c r="AD241" s="38" t="inlineStr">
        <is>
          <t/>
        </is>
      </c>
      <c r="AE241" s="39" t="inlineStr">
        <is>
          <t>59111-65P</t>
        </is>
      </c>
      <c r="AF241" s="40" t="inlineStr">
        <is>
          <t>Roberto Gradnik</t>
        </is>
      </c>
      <c r="AG241" s="41" t="inlineStr">
        <is>
          <t>Chief Executive Officer, Co-Founder &amp; Board Member</t>
        </is>
      </c>
      <c r="AH241" s="42" t="inlineStr">
        <is>
          <t>gradnik@ixaltis.com</t>
        </is>
      </c>
      <c r="AI241" s="43" t="inlineStr">
        <is>
          <t>+33 (0)4 50 43 24 70</t>
        </is>
      </c>
      <c r="AJ241" s="44" t="inlineStr">
        <is>
          <t>Toulouse, France</t>
        </is>
      </c>
      <c r="AK241" s="45" t="inlineStr">
        <is>
          <t>Canal Biotech 2</t>
        </is>
      </c>
      <c r="AL241" s="46" t="inlineStr">
        <is>
          <t>3, rue des satellites</t>
        </is>
      </c>
      <c r="AM241" s="47" t="inlineStr">
        <is>
          <t>Toulouse</t>
        </is>
      </c>
      <c r="AN241" s="48" t="inlineStr">
        <is>
          <t/>
        </is>
      </c>
      <c r="AO241" s="49" t="inlineStr">
        <is>
          <t>74160</t>
        </is>
      </c>
      <c r="AP241" s="50" t="inlineStr">
        <is>
          <t>France</t>
        </is>
      </c>
      <c r="AQ241" s="51" t="inlineStr">
        <is>
          <t>+33 (0)4 50 43 24 70</t>
        </is>
      </c>
      <c r="AR241" s="52" t="inlineStr">
        <is>
          <t>+33 (0)4 50 43 24 70</t>
        </is>
      </c>
      <c r="AS241" s="53" t="inlineStr">
        <is>
          <t>contact@ixaltis.com</t>
        </is>
      </c>
      <c r="AT241" s="54" t="inlineStr">
        <is>
          <t>Europe</t>
        </is>
      </c>
      <c r="AU241" s="55" t="inlineStr">
        <is>
          <t>Western Europe</t>
        </is>
      </c>
      <c r="AV241" s="56" t="inlineStr">
        <is>
          <t>The company raised EUR 8 million of venture funding from iXO Private Equity, Principia and Sofimac Partners on May 30, 2016. Pierre Olivier Goineau and Institut Régional de Développement Industriel also participated in this round. The company will use the funds to continue research into urinary incontinence.</t>
        </is>
      </c>
      <c r="AW241" s="57" t="inlineStr">
        <is>
          <t>Institut Régional de Développement Industriel, iXO Private Equity, Pierre Olivier Goineau, Principia SGR, Sofimac Partners</t>
        </is>
      </c>
      <c r="AX241" s="58" t="n">
        <v>5.0</v>
      </c>
      <c r="AY241" s="59" t="inlineStr">
        <is>
          <t/>
        </is>
      </c>
      <c r="AZ241" s="60" t="inlineStr">
        <is>
          <t/>
        </is>
      </c>
      <c r="BA241" s="61" t="inlineStr">
        <is>
          <t/>
        </is>
      </c>
      <c r="BB241" s="62" t="inlineStr">
        <is>
          <t>Institut Régional de Développement Industriel (www.irdigestion.fr), iXO Private Equity (www.ixope.fr), Principia SGR (www.principiasgr.it), Sofimac Partners (www.sofimacpartners.fr)</t>
        </is>
      </c>
      <c r="BC241" s="63" t="inlineStr">
        <is>
          <t/>
        </is>
      </c>
      <c r="BD241" s="64" t="inlineStr">
        <is>
          <t/>
        </is>
      </c>
      <c r="BE241" s="65" t="inlineStr">
        <is>
          <t/>
        </is>
      </c>
      <c r="BF241" s="66" t="inlineStr">
        <is>
          <t>Pinot de Villechenon &amp; Associés (Legal Advisor)</t>
        </is>
      </c>
      <c r="BG241" s="67" t="inlineStr">
        <is>
          <t/>
        </is>
      </c>
      <c r="BH241" s="68" t="n">
        <v>2.8</v>
      </c>
      <c r="BI241" s="69" t="inlineStr">
        <is>
          <t>Actual</t>
        </is>
      </c>
      <c r="BJ241" s="70" t="inlineStr">
        <is>
          <t/>
        </is>
      </c>
      <c r="BK241" s="71" t="inlineStr">
        <is>
          <t/>
        </is>
      </c>
      <c r="BL241" s="72" t="inlineStr">
        <is>
          <t>Loan</t>
        </is>
      </c>
      <c r="BM241" s="73" t="inlineStr">
        <is>
          <t/>
        </is>
      </c>
      <c r="BN241" s="74" t="inlineStr">
        <is>
          <t/>
        </is>
      </c>
      <c r="BO241" s="75" t="inlineStr">
        <is>
          <t>Debt</t>
        </is>
      </c>
      <c r="BP241" s="76" t="inlineStr">
        <is>
          <t>Loan</t>
        </is>
      </c>
      <c r="BQ241" s="77" t="inlineStr">
        <is>
          <t/>
        </is>
      </c>
      <c r="BR241" s="78" t="inlineStr">
        <is>
          <t/>
        </is>
      </c>
      <c r="BS241" s="79" t="inlineStr">
        <is>
          <t>Completed</t>
        </is>
      </c>
      <c r="BT241" s="80" t="n">
        <v>42517.0</v>
      </c>
      <c r="BU241" s="81" t="n">
        <v>8.0</v>
      </c>
      <c r="BV241" s="82" t="inlineStr">
        <is>
          <t>Actual</t>
        </is>
      </c>
      <c r="BW241" s="83" t="inlineStr">
        <is>
          <t/>
        </is>
      </c>
      <c r="BX241" s="84" t="inlineStr">
        <is>
          <t/>
        </is>
      </c>
      <c r="BY241" s="85" t="inlineStr">
        <is>
          <t>Early Stage VC</t>
        </is>
      </c>
      <c r="BZ241" s="86" t="inlineStr">
        <is>
          <t/>
        </is>
      </c>
      <c r="CA241" s="87" t="inlineStr">
        <is>
          <t/>
        </is>
      </c>
      <c r="CB241" s="88" t="inlineStr">
        <is>
          <t>Venture Capital</t>
        </is>
      </c>
      <c r="CC241" s="89" t="inlineStr">
        <is>
          <t/>
        </is>
      </c>
      <c r="CD241" s="90" t="inlineStr">
        <is>
          <t/>
        </is>
      </c>
      <c r="CE241" s="91" t="inlineStr">
        <is>
          <t/>
        </is>
      </c>
      <c r="CF241" s="92" t="inlineStr">
        <is>
          <t>Completed</t>
        </is>
      </c>
      <c r="CG241" s="93" t="inlineStr">
        <is>
          <t/>
        </is>
      </c>
      <c r="CH241" s="94" t="inlineStr">
        <is>
          <t/>
        </is>
      </c>
      <c r="CI241" s="95" t="inlineStr">
        <is>
          <t/>
        </is>
      </c>
      <c r="CJ241" s="96" t="inlineStr">
        <is>
          <t/>
        </is>
      </c>
      <c r="CK241" s="97" t="inlineStr">
        <is>
          <t/>
        </is>
      </c>
      <c r="CL241" s="98" t="inlineStr">
        <is>
          <t/>
        </is>
      </c>
      <c r="CM241" s="99" t="inlineStr">
        <is>
          <t/>
        </is>
      </c>
      <c r="CN241" s="100" t="inlineStr">
        <is>
          <t/>
        </is>
      </c>
      <c r="CO241" s="101" t="inlineStr">
        <is>
          <t/>
        </is>
      </c>
      <c r="CP241" s="102" t="inlineStr">
        <is>
          <t/>
        </is>
      </c>
      <c r="CQ241" s="103" t="inlineStr">
        <is>
          <t/>
        </is>
      </c>
      <c r="CR241" s="104" t="inlineStr">
        <is>
          <t/>
        </is>
      </c>
      <c r="CS241" s="105" t="inlineStr">
        <is>
          <t/>
        </is>
      </c>
      <c r="CT241" s="106" t="inlineStr">
        <is>
          <t/>
        </is>
      </c>
      <c r="CU241" s="107" t="inlineStr">
        <is>
          <t/>
        </is>
      </c>
      <c r="CV241" s="108" t="inlineStr">
        <is>
          <t/>
        </is>
      </c>
      <c r="CW241" s="109" t="inlineStr">
        <is>
          <t/>
        </is>
      </c>
      <c r="CX241" s="110" t="inlineStr">
        <is>
          <t/>
        </is>
      </c>
      <c r="CY241" s="111" t="inlineStr">
        <is>
          <t/>
        </is>
      </c>
      <c r="CZ241" s="112" t="inlineStr">
        <is>
          <t/>
        </is>
      </c>
      <c r="DA241" s="113" t="inlineStr">
        <is>
          <t/>
        </is>
      </c>
      <c r="DB241" s="114" t="inlineStr">
        <is>
          <t/>
        </is>
      </c>
      <c r="DC241" s="115" t="inlineStr">
        <is>
          <t/>
        </is>
      </c>
      <c r="DD241" s="116" t="inlineStr">
        <is>
          <t/>
        </is>
      </c>
      <c r="DE241" s="117" t="inlineStr">
        <is>
          <t/>
        </is>
      </c>
      <c r="DF241" s="118" t="inlineStr">
        <is>
          <t/>
        </is>
      </c>
      <c r="DG241" s="119" t="inlineStr">
        <is>
          <t/>
        </is>
      </c>
      <c r="DH241" s="120" t="inlineStr">
        <is>
          <t/>
        </is>
      </c>
      <c r="DI241" s="121" t="inlineStr">
        <is>
          <t/>
        </is>
      </c>
      <c r="DJ241" s="122" t="inlineStr">
        <is>
          <t/>
        </is>
      </c>
      <c r="DK241" s="123" t="inlineStr">
        <is>
          <t/>
        </is>
      </c>
      <c r="DL241" s="124" t="inlineStr">
        <is>
          <t/>
        </is>
      </c>
      <c r="DM241" s="125" t="inlineStr">
        <is>
          <t/>
        </is>
      </c>
      <c r="DN241" s="126" t="inlineStr">
        <is>
          <t/>
        </is>
      </c>
      <c r="DO241" s="127" t="inlineStr">
        <is>
          <t/>
        </is>
      </c>
      <c r="DP241" s="128" t="inlineStr">
        <is>
          <t/>
        </is>
      </c>
      <c r="DQ241" s="129" t="inlineStr">
        <is>
          <t/>
        </is>
      </c>
      <c r="DR241" s="130" t="inlineStr">
        <is>
          <t/>
        </is>
      </c>
      <c r="DS241" s="131" t="inlineStr">
        <is>
          <t/>
        </is>
      </c>
      <c r="DT241" s="132" t="inlineStr">
        <is>
          <t/>
        </is>
      </c>
      <c r="DU241" s="133" t="inlineStr">
        <is>
          <t/>
        </is>
      </c>
      <c r="DV241" s="134" t="inlineStr">
        <is>
          <t/>
        </is>
      </c>
      <c r="DW241" s="135" t="inlineStr">
        <is>
          <t/>
        </is>
      </c>
      <c r="DX241" s="136" t="inlineStr">
        <is>
          <t/>
        </is>
      </c>
      <c r="DY241" s="137" t="inlineStr">
        <is>
          <t>PitchBook Research</t>
        </is>
      </c>
      <c r="DZ241" s="785">
        <f>HYPERLINK("https://my.pitchbook.com?c=160371-64", "View company online")</f>
      </c>
    </row>
    <row r="242">
      <c r="A242" s="139" t="inlineStr">
        <is>
          <t>65177-11</t>
        </is>
      </c>
      <c r="B242" s="140" t="inlineStr">
        <is>
          <t>Jinn</t>
        </is>
      </c>
      <c r="C242" s="141" t="inlineStr">
        <is>
          <t/>
        </is>
      </c>
      <c r="D242" s="142" t="inlineStr">
        <is>
          <t/>
        </is>
      </c>
      <c r="E242" s="143" t="inlineStr">
        <is>
          <t>65177-11</t>
        </is>
      </c>
      <c r="F242" s="144" t="inlineStr">
        <is>
          <t>Developer of an on-demand food delivery service designed to buy goods from any local shop for same-hour delivery. The company's on-demand food delivery service includes a location-based mobile application that charges customers a delivery fee based on distance and for items ordered through their application providing same-hour doorstep delivery.</t>
        </is>
      </c>
      <c r="G242" s="145" t="inlineStr">
        <is>
          <t>Consumer Products and Services (B2C)</t>
        </is>
      </c>
      <c r="H242" s="146" t="inlineStr">
        <is>
          <t>Other Consumer Products and Services</t>
        </is>
      </c>
      <c r="I242" s="147" t="inlineStr">
        <is>
          <t>Other Consumer Products and Services</t>
        </is>
      </c>
      <c r="J242" s="148" t="inlineStr">
        <is>
          <t>Other Consumer Products and Services*; Application Software</t>
        </is>
      </c>
      <c r="K242" s="149" t="inlineStr">
        <is>
          <t>E-Commerce, Mobile</t>
        </is>
      </c>
      <c r="L242" s="150" t="inlineStr">
        <is>
          <t>Venture Capital-Backed</t>
        </is>
      </c>
      <c r="M242" s="151" t="n">
        <v>19.05</v>
      </c>
      <c r="N242" s="152" t="inlineStr">
        <is>
          <t>Generating Revenue</t>
        </is>
      </c>
      <c r="O242" s="153" t="inlineStr">
        <is>
          <t>Privately Held (backing)</t>
        </is>
      </c>
      <c r="P242" s="154" t="inlineStr">
        <is>
          <t>Venture Capital</t>
        </is>
      </c>
      <c r="Q242" s="155" t="inlineStr">
        <is>
          <t>www.jinnapp.com</t>
        </is>
      </c>
      <c r="R242" s="156" t="n">
        <v>20.0</v>
      </c>
      <c r="S242" s="157" t="inlineStr">
        <is>
          <t/>
        </is>
      </c>
      <c r="T242" s="158" t="inlineStr">
        <is>
          <t/>
        </is>
      </c>
      <c r="U242" s="159" t="n">
        <v>2013.0</v>
      </c>
      <c r="V242" s="160" t="inlineStr">
        <is>
          <t/>
        </is>
      </c>
      <c r="W242" s="161" t="inlineStr">
        <is>
          <t/>
        </is>
      </c>
      <c r="X242" s="162" t="inlineStr">
        <is>
          <t/>
        </is>
      </c>
      <c r="Y242" s="163" t="inlineStr">
        <is>
          <t/>
        </is>
      </c>
      <c r="Z242" s="164" t="inlineStr">
        <is>
          <t/>
        </is>
      </c>
      <c r="AA242" s="165" t="inlineStr">
        <is>
          <t/>
        </is>
      </c>
      <c r="AB242" s="166" t="inlineStr">
        <is>
          <t/>
        </is>
      </c>
      <c r="AC242" s="167" t="inlineStr">
        <is>
          <t/>
        </is>
      </c>
      <c r="AD242" s="168" t="inlineStr">
        <is>
          <t/>
        </is>
      </c>
      <c r="AE242" s="169" t="inlineStr">
        <is>
          <t>73397-89P</t>
        </is>
      </c>
      <c r="AF242" s="170" t="inlineStr">
        <is>
          <t>Leon Herrera</t>
        </is>
      </c>
      <c r="AG242" s="171" t="inlineStr">
        <is>
          <t>Co-Founder, Chief Operating Officer &amp; Board Member</t>
        </is>
      </c>
      <c r="AH242" s="172" t="inlineStr">
        <is>
          <t>leon@jinnapp.com</t>
        </is>
      </c>
      <c r="AI242" s="173" t="inlineStr">
        <is>
          <t/>
        </is>
      </c>
      <c r="AJ242" s="174" t="inlineStr">
        <is>
          <t>Whitechapel, United Kingdom</t>
        </is>
      </c>
      <c r="AK242" s="175" t="inlineStr">
        <is>
          <t>32/38 Leman Street</t>
        </is>
      </c>
      <c r="AL242" s="176" t="inlineStr">
        <is>
          <t/>
        </is>
      </c>
      <c r="AM242" s="177" t="inlineStr">
        <is>
          <t>Whitechapel</t>
        </is>
      </c>
      <c r="AN242" s="178" t="inlineStr">
        <is>
          <t>England</t>
        </is>
      </c>
      <c r="AO242" s="179" t="inlineStr">
        <is>
          <t>E1 8EW</t>
        </is>
      </c>
      <c r="AP242" s="180" t="inlineStr">
        <is>
          <t>United Kingdom</t>
        </is>
      </c>
      <c r="AQ242" s="181" t="inlineStr">
        <is>
          <t/>
        </is>
      </c>
      <c r="AR242" s="182" t="inlineStr">
        <is>
          <t/>
        </is>
      </c>
      <c r="AS242" s="183" t="inlineStr">
        <is>
          <t>hello@jinnapp.com</t>
        </is>
      </c>
      <c r="AT242" s="184" t="inlineStr">
        <is>
          <t>Europe</t>
        </is>
      </c>
      <c r="AU242" s="185" t="inlineStr">
        <is>
          <t>Western Europe</t>
        </is>
      </c>
      <c r="AV242" s="186" t="inlineStr">
        <is>
          <t>The company raised $10 million of venture funding from STE Capital, Samaipata Ventures and other undisclosed previous investors on May 12, 2017. The company, which has raised $20 million in total funding to date, intends to use the funds to grow in their existing markets.</t>
        </is>
      </c>
      <c r="AW242" s="187" t="inlineStr">
        <is>
          <t>Andrew Weisz, Bull Capital Partners, Doug Scott, Elderstreet Investments, Ignite, Laurence Marlor, Laurent Laffy, Paul Humphreys, Peter Thornton, Samaipata Ventures, Simon Bichara, STE Capital</t>
        </is>
      </c>
      <c r="AX242" s="188" t="n">
        <v>12.0</v>
      </c>
      <c r="AY242" s="189" t="inlineStr">
        <is>
          <t/>
        </is>
      </c>
      <c r="AZ242" s="190" t="inlineStr">
        <is>
          <t/>
        </is>
      </c>
      <c r="BA242" s="191" t="inlineStr">
        <is>
          <t/>
        </is>
      </c>
      <c r="BB242" s="192" t="inlineStr">
        <is>
          <t>Bull Capital Partners (www.bullcp.com), Doug Scott (www.droug.co.uk), Elderstreet Investments (www.elderstreet.com), Ignite (www.ignite.io), Samaipata Ventures (www.samaipataventures.com), STE Capital (www.stecapital.net)</t>
        </is>
      </c>
      <c r="BC242" s="193" t="inlineStr">
        <is>
          <t/>
        </is>
      </c>
      <c r="BD242" s="194" t="inlineStr">
        <is>
          <t/>
        </is>
      </c>
      <c r="BE242" s="195" t="inlineStr">
        <is>
          <t/>
        </is>
      </c>
      <c r="BF242" s="196" t="inlineStr">
        <is>
          <t/>
        </is>
      </c>
      <c r="BG242" s="197" t="n">
        <v>41518.0</v>
      </c>
      <c r="BH242" s="198" t="n">
        <v>0.03</v>
      </c>
      <c r="BI242" s="199" t="inlineStr">
        <is>
          <t>Actual</t>
        </is>
      </c>
      <c r="BJ242" s="200" t="inlineStr">
        <is>
          <t/>
        </is>
      </c>
      <c r="BK242" s="201" t="inlineStr">
        <is>
          <t/>
        </is>
      </c>
      <c r="BL242" s="202" t="inlineStr">
        <is>
          <t>Accelerator/Incubator</t>
        </is>
      </c>
      <c r="BM242" s="203" t="inlineStr">
        <is>
          <t/>
        </is>
      </c>
      <c r="BN242" s="204" t="inlineStr">
        <is>
          <t/>
        </is>
      </c>
      <c r="BO242" s="205" t="inlineStr">
        <is>
          <t>Other</t>
        </is>
      </c>
      <c r="BP242" s="206" t="inlineStr">
        <is>
          <t/>
        </is>
      </c>
      <c r="BQ242" s="207" t="inlineStr">
        <is>
          <t/>
        </is>
      </c>
      <c r="BR242" s="208" t="inlineStr">
        <is>
          <t/>
        </is>
      </c>
      <c r="BS242" s="209" t="inlineStr">
        <is>
          <t>Completed</t>
        </is>
      </c>
      <c r="BT242" s="210" t="n">
        <v>42867.0</v>
      </c>
      <c r="BU242" s="211" t="n">
        <v>9.05</v>
      </c>
      <c r="BV242" s="212" t="inlineStr">
        <is>
          <t>Actual</t>
        </is>
      </c>
      <c r="BW242" s="213" t="inlineStr">
        <is>
          <t/>
        </is>
      </c>
      <c r="BX242" s="214" t="inlineStr">
        <is>
          <t/>
        </is>
      </c>
      <c r="BY242" s="215" t="inlineStr">
        <is>
          <t>Early Stage VC</t>
        </is>
      </c>
      <c r="BZ242" s="216" t="inlineStr">
        <is>
          <t/>
        </is>
      </c>
      <c r="CA242" s="217" t="inlineStr">
        <is>
          <t/>
        </is>
      </c>
      <c r="CB242" s="218" t="inlineStr">
        <is>
          <t>Venture Capital</t>
        </is>
      </c>
      <c r="CC242" s="219" t="inlineStr">
        <is>
          <t/>
        </is>
      </c>
      <c r="CD242" s="220" t="inlineStr">
        <is>
          <t/>
        </is>
      </c>
      <c r="CE242" s="221" t="inlineStr">
        <is>
          <t/>
        </is>
      </c>
      <c r="CF242" s="222" t="inlineStr">
        <is>
          <t>Completed</t>
        </is>
      </c>
      <c r="CG242" s="223" t="inlineStr">
        <is>
          <t>-1,25%</t>
        </is>
      </c>
      <c r="CH242" s="224" t="inlineStr">
        <is>
          <t>4</t>
        </is>
      </c>
      <c r="CI242" s="225" t="inlineStr">
        <is>
          <t>0,09%</t>
        </is>
      </c>
      <c r="CJ242" s="226" t="inlineStr">
        <is>
          <t>6,87%</t>
        </is>
      </c>
      <c r="CK242" s="227" t="inlineStr">
        <is>
          <t>-2,53%</t>
        </is>
      </c>
      <c r="CL242" s="228" t="inlineStr">
        <is>
          <t>4</t>
        </is>
      </c>
      <c r="CM242" s="229" t="inlineStr">
        <is>
          <t>0,03%</t>
        </is>
      </c>
      <c r="CN242" s="230" t="inlineStr">
        <is>
          <t>48</t>
        </is>
      </c>
      <c r="CO242" s="231" t="inlineStr">
        <is>
          <t>-7,09%</t>
        </is>
      </c>
      <c r="CP242" s="232" t="inlineStr">
        <is>
          <t>4</t>
        </is>
      </c>
      <c r="CQ242" s="233" t="inlineStr">
        <is>
          <t>2,04%</t>
        </is>
      </c>
      <c r="CR242" s="234" t="inlineStr">
        <is>
          <t>91</t>
        </is>
      </c>
      <c r="CS242" s="235" t="inlineStr">
        <is>
          <t>0,06%</t>
        </is>
      </c>
      <c r="CT242" s="236" t="inlineStr">
        <is>
          <t>51</t>
        </is>
      </c>
      <c r="CU242" s="237" t="inlineStr">
        <is>
          <t>0,00%</t>
        </is>
      </c>
      <c r="CV242" s="238" t="inlineStr">
        <is>
          <t>20</t>
        </is>
      </c>
      <c r="CW242" s="239" t="inlineStr">
        <is>
          <t>21,67x</t>
        </is>
      </c>
      <c r="CX242" s="240" t="inlineStr">
        <is>
          <t>92</t>
        </is>
      </c>
      <c r="CY242" s="241" t="inlineStr">
        <is>
          <t>0,59x</t>
        </is>
      </c>
      <c r="CZ242" s="242" t="inlineStr">
        <is>
          <t>2,79%</t>
        </is>
      </c>
      <c r="DA242" s="243" t="inlineStr">
        <is>
          <t>16,44x</t>
        </is>
      </c>
      <c r="DB242" s="244" t="inlineStr">
        <is>
          <t>91</t>
        </is>
      </c>
      <c r="DC242" s="245" t="inlineStr">
        <is>
          <t>26,90x</t>
        </is>
      </c>
      <c r="DD242" s="246" t="inlineStr">
        <is>
          <t>92</t>
        </is>
      </c>
      <c r="DE242" s="247" t="inlineStr">
        <is>
          <t>18,43x</t>
        </is>
      </c>
      <c r="DF242" s="248" t="inlineStr">
        <is>
          <t>88</t>
        </is>
      </c>
      <c r="DG242" s="249" t="inlineStr">
        <is>
          <t>14,44x</t>
        </is>
      </c>
      <c r="DH242" s="250" t="inlineStr">
        <is>
          <t>90</t>
        </is>
      </c>
      <c r="DI242" s="251" t="inlineStr">
        <is>
          <t>53,71x</t>
        </is>
      </c>
      <c r="DJ242" s="252" t="inlineStr">
        <is>
          <t>93</t>
        </is>
      </c>
      <c r="DK242" s="253" t="inlineStr">
        <is>
          <t>0,10x</t>
        </is>
      </c>
      <c r="DL242" s="254" t="inlineStr">
        <is>
          <t>18</t>
        </is>
      </c>
      <c r="DM242" s="255" t="inlineStr">
        <is>
          <t>11.908</t>
        </is>
      </c>
      <c r="DN242" s="256" t="inlineStr">
        <is>
          <t>-1.723</t>
        </is>
      </c>
      <c r="DO242" s="257" t="inlineStr">
        <is>
          <t>-12,64%</t>
        </is>
      </c>
      <c r="DP242" s="258" t="inlineStr">
        <is>
          <t>42.924</t>
        </is>
      </c>
      <c r="DQ242" s="259" t="inlineStr">
        <is>
          <t>-18</t>
        </is>
      </c>
      <c r="DR242" s="260" t="inlineStr">
        <is>
          <t>-0,04%</t>
        </is>
      </c>
      <c r="DS242" s="261" t="inlineStr">
        <is>
          <t>506</t>
        </is>
      </c>
      <c r="DT242" s="262" t="inlineStr">
        <is>
          <t>25</t>
        </is>
      </c>
      <c r="DU242" s="263" t="inlineStr">
        <is>
          <t>5,20%</t>
        </is>
      </c>
      <c r="DV242" s="264" t="inlineStr">
        <is>
          <t>34</t>
        </is>
      </c>
      <c r="DW242" s="265" t="inlineStr">
        <is>
          <t>1</t>
        </is>
      </c>
      <c r="DX242" s="266" t="inlineStr">
        <is>
          <t>3,03%</t>
        </is>
      </c>
      <c r="DY242" s="267" t="inlineStr">
        <is>
          <t>PitchBook Research</t>
        </is>
      </c>
      <c r="DZ242" s="786">
        <f>HYPERLINK("https://my.pitchbook.com?c=65177-11", "View company online")</f>
      </c>
    </row>
    <row r="243">
      <c r="A243" s="9" t="inlineStr">
        <is>
          <t>58224-34</t>
        </is>
      </c>
      <c r="B243" s="10" t="inlineStr">
        <is>
          <t>Jobbio</t>
        </is>
      </c>
      <c r="C243" s="11" t="inlineStr">
        <is>
          <t/>
        </is>
      </c>
      <c r="D243" s="12" t="inlineStr">
        <is>
          <t/>
        </is>
      </c>
      <c r="E243" s="13" t="inlineStr">
        <is>
          <t>58224-34</t>
        </is>
      </c>
      <c r="F243" s="14" t="inlineStr">
        <is>
          <t>Provider of an online recruitment platform. The company provides a platform that enables job seekers to upload information to get in touch with employers while conversely allowing employers to search for talent.</t>
        </is>
      </c>
      <c r="G243" s="15" t="inlineStr">
        <is>
          <t>Business Products and Services (B2B)</t>
        </is>
      </c>
      <c r="H243" s="16" t="inlineStr">
        <is>
          <t>Commercial Services</t>
        </is>
      </c>
      <c r="I243" s="17" t="inlineStr">
        <is>
          <t>Human Capital Services</t>
        </is>
      </c>
      <c r="J243" s="18" t="inlineStr">
        <is>
          <t>Human Capital Services*; Application Software</t>
        </is>
      </c>
      <c r="K243" s="19" t="inlineStr">
        <is>
          <t>SaaS</t>
        </is>
      </c>
      <c r="L243" s="20" t="inlineStr">
        <is>
          <t>Venture Capital-Backed</t>
        </is>
      </c>
      <c r="M243" s="21" t="n">
        <v>12.92</v>
      </c>
      <c r="N243" s="22" t="inlineStr">
        <is>
          <t>Generating Revenue</t>
        </is>
      </c>
      <c r="O243" s="23" t="inlineStr">
        <is>
          <t>Privately Held (backing)</t>
        </is>
      </c>
      <c r="P243" s="24" t="inlineStr">
        <is>
          <t>Venture Capital</t>
        </is>
      </c>
      <c r="Q243" s="25" t="inlineStr">
        <is>
          <t>www.jobbio.com</t>
        </is>
      </c>
      <c r="R243" s="26" t="n">
        <v>19.0</v>
      </c>
      <c r="S243" s="27" t="inlineStr">
        <is>
          <t/>
        </is>
      </c>
      <c r="T243" s="28" t="inlineStr">
        <is>
          <t/>
        </is>
      </c>
      <c r="U243" s="29" t="n">
        <v>2012.0</v>
      </c>
      <c r="V243" s="30" t="inlineStr">
        <is>
          <t/>
        </is>
      </c>
      <c r="W243" s="31" t="inlineStr">
        <is>
          <t/>
        </is>
      </c>
      <c r="X243" s="32" t="inlineStr">
        <is>
          <t/>
        </is>
      </c>
      <c r="Y243" s="33" t="inlineStr">
        <is>
          <t/>
        </is>
      </c>
      <c r="Z243" s="34" t="inlineStr">
        <is>
          <t/>
        </is>
      </c>
      <c r="AA243" s="35" t="inlineStr">
        <is>
          <t/>
        </is>
      </c>
      <c r="AB243" s="36" t="inlineStr">
        <is>
          <t/>
        </is>
      </c>
      <c r="AC243" s="37" t="inlineStr">
        <is>
          <t/>
        </is>
      </c>
      <c r="AD243" s="38" t="inlineStr">
        <is>
          <t/>
        </is>
      </c>
      <c r="AE243" s="39" t="inlineStr">
        <is>
          <t>56633-14P</t>
        </is>
      </c>
      <c r="AF243" s="40" t="inlineStr">
        <is>
          <t>Stephen Quinn</t>
        </is>
      </c>
      <c r="AG243" s="41" t="inlineStr">
        <is>
          <t>Co-Founder &amp; Chief Executive Officer</t>
        </is>
      </c>
      <c r="AH243" s="42" t="inlineStr">
        <is>
          <t>stephen@onjobbio.com</t>
        </is>
      </c>
      <c r="AI243" s="43" t="inlineStr">
        <is>
          <t>+353 (0)1 440 4900</t>
        </is>
      </c>
      <c r="AJ243" s="44" t="inlineStr">
        <is>
          <t>Dublin, Ireland</t>
        </is>
      </c>
      <c r="AK243" s="45" t="inlineStr">
        <is>
          <t>46 Upper Mount Street</t>
        </is>
      </c>
      <c r="AL243" s="46" t="inlineStr">
        <is>
          <t/>
        </is>
      </c>
      <c r="AM243" s="47" t="inlineStr">
        <is>
          <t>Dublin</t>
        </is>
      </c>
      <c r="AN243" s="48" t="inlineStr">
        <is>
          <t/>
        </is>
      </c>
      <c r="AO243" s="49" t="inlineStr">
        <is>
          <t>2</t>
        </is>
      </c>
      <c r="AP243" s="50" t="inlineStr">
        <is>
          <t>Ireland</t>
        </is>
      </c>
      <c r="AQ243" s="51" t="inlineStr">
        <is>
          <t>+353 (0)1 440 4900</t>
        </is>
      </c>
      <c r="AR243" s="52" t="inlineStr">
        <is>
          <t/>
        </is>
      </c>
      <c r="AS243" s="53" t="inlineStr">
        <is>
          <t>hello@jobbio.com</t>
        </is>
      </c>
      <c r="AT243" s="54" t="inlineStr">
        <is>
          <t>Europe</t>
        </is>
      </c>
      <c r="AU243" s="55" t="inlineStr">
        <is>
          <t>Western Europe</t>
        </is>
      </c>
      <c r="AV243" s="56" t="inlineStr">
        <is>
          <t>The company raised EUR 9.78 million of Series A venture funding in a deal led by NJF Capital in 2017. AIBSCF, Irish Venture Capital Association, Enterprise Ireland, International Investment and Underwriting, Enterprise Equity Venture Capital, Montilla International, Dublin Business Innovation Centre, Barry Maloney, Smurfit Family Investments and Michael Chadwick also participated in the round. The funds will be used to double its workforce in the next 12 months across the UK and U.S. divisions while also expanding into Canada.</t>
        </is>
      </c>
      <c r="AW243" s="57" t="inlineStr">
        <is>
          <t>AIBSCF, Barry Maloney, Dublin Business Innovation Centre, Enterprise Equity Venture Capital, Enterprise Ireland, International Investment and Underwriting, Irish Venture Capital Association, Michael Chadwick, Montilla International, MXC Capital, NJF Capital, Smurfit Family Investments</t>
        </is>
      </c>
      <c r="AX243" s="58" t="n">
        <v>12.0</v>
      </c>
      <c r="AY243" s="59" t="inlineStr">
        <is>
          <t/>
        </is>
      </c>
      <c r="AZ243" s="60" t="inlineStr">
        <is>
          <t/>
        </is>
      </c>
      <c r="BA243" s="61" t="inlineStr">
        <is>
          <t/>
        </is>
      </c>
      <c r="BB243" s="62" t="inlineStr">
        <is>
          <t>Dublin Business Innovation Centre (dublinbic.ie), Enterprise Equity Venture Capital (www.enterpriseequity.ie), Enterprise Ireland (www.enterprise-ireland.com), International Investment and Underwriting (www.iiu.ie), Irish Venture Capital Association (www.ivca.ie), MXC Capital (www.mxccapital.com), NJF Capital (www.njfcapital.com)</t>
        </is>
      </c>
      <c r="BC243" s="63" t="inlineStr">
        <is>
          <t/>
        </is>
      </c>
      <c r="BD243" s="64" t="inlineStr">
        <is>
          <t/>
        </is>
      </c>
      <c r="BE243" s="65" t="inlineStr">
        <is>
          <t>Maples &amp; Calder (Legal Advisor)</t>
        </is>
      </c>
      <c r="BF243" s="66" t="inlineStr">
        <is>
          <t>Mason Hayes &amp; Curran (Legal Advisor), Beauchamps Solicitors (Legal Advisor), Maples &amp; Calder (Legal Advisor)</t>
        </is>
      </c>
      <c r="BG243" s="67" t="n">
        <v>41551.0</v>
      </c>
      <c r="BH243" s="68" t="n">
        <v>0.45</v>
      </c>
      <c r="BI243" s="69" t="inlineStr">
        <is>
          <t>Actual</t>
        </is>
      </c>
      <c r="BJ243" s="70" t="inlineStr">
        <is>
          <t/>
        </is>
      </c>
      <c r="BK243" s="71" t="inlineStr">
        <is>
          <t/>
        </is>
      </c>
      <c r="BL243" s="72" t="inlineStr">
        <is>
          <t>Seed Round</t>
        </is>
      </c>
      <c r="BM243" s="73" t="inlineStr">
        <is>
          <t>Seed</t>
        </is>
      </c>
      <c r="BN243" s="74" t="inlineStr">
        <is>
          <t/>
        </is>
      </c>
      <c r="BO243" s="75" t="inlineStr">
        <is>
          <t>Venture Capital</t>
        </is>
      </c>
      <c r="BP243" s="76" t="inlineStr">
        <is>
          <t/>
        </is>
      </c>
      <c r="BQ243" s="77" t="inlineStr">
        <is>
          <t/>
        </is>
      </c>
      <c r="BR243" s="78" t="inlineStr">
        <is>
          <t/>
        </is>
      </c>
      <c r="BS243" s="79" t="inlineStr">
        <is>
          <t>Completed</t>
        </is>
      </c>
      <c r="BT243" s="80" t="n">
        <v>42736.0</v>
      </c>
      <c r="BU243" s="81" t="n">
        <v>9.79</v>
      </c>
      <c r="BV243" s="82" t="inlineStr">
        <is>
          <t>Actual</t>
        </is>
      </c>
      <c r="BW243" s="83" t="inlineStr">
        <is>
          <t/>
        </is>
      </c>
      <c r="BX243" s="84" t="inlineStr">
        <is>
          <t/>
        </is>
      </c>
      <c r="BY243" s="85" t="inlineStr">
        <is>
          <t>Early Stage VC</t>
        </is>
      </c>
      <c r="BZ243" s="86" t="inlineStr">
        <is>
          <t>Series A</t>
        </is>
      </c>
      <c r="CA243" s="87" t="inlineStr">
        <is>
          <t/>
        </is>
      </c>
      <c r="CB243" s="88" t="inlineStr">
        <is>
          <t>Venture Capital</t>
        </is>
      </c>
      <c r="CC243" s="89" t="inlineStr">
        <is>
          <t/>
        </is>
      </c>
      <c r="CD243" s="90" t="inlineStr">
        <is>
          <t/>
        </is>
      </c>
      <c r="CE243" s="91" t="inlineStr">
        <is>
          <t/>
        </is>
      </c>
      <c r="CF243" s="92" t="inlineStr">
        <is>
          <t>Completed</t>
        </is>
      </c>
      <c r="CG243" s="93" t="inlineStr">
        <is>
          <t>0,48%</t>
        </is>
      </c>
      <c r="CH243" s="94" t="inlineStr">
        <is>
          <t>84</t>
        </is>
      </c>
      <c r="CI243" s="95" t="inlineStr">
        <is>
          <t>0,00%</t>
        </is>
      </c>
      <c r="CJ243" s="96" t="inlineStr">
        <is>
          <t>-0,40%</t>
        </is>
      </c>
      <c r="CK243" s="97" t="inlineStr">
        <is>
          <t>0,39%</t>
        </is>
      </c>
      <c r="CL243" s="98" t="inlineStr">
        <is>
          <t>83</t>
        </is>
      </c>
      <c r="CM243" s="99" t="inlineStr">
        <is>
          <t>0,58%</t>
        </is>
      </c>
      <c r="CN243" s="100" t="inlineStr">
        <is>
          <t>91</t>
        </is>
      </c>
      <c r="CO243" s="101" t="inlineStr">
        <is>
          <t>0,77%</t>
        </is>
      </c>
      <c r="CP243" s="102" t="inlineStr">
        <is>
          <t>83</t>
        </is>
      </c>
      <c r="CQ243" s="103" t="inlineStr">
        <is>
          <t>0,00%</t>
        </is>
      </c>
      <c r="CR243" s="104" t="inlineStr">
        <is>
          <t>13</t>
        </is>
      </c>
      <c r="CS243" s="105" t="inlineStr">
        <is>
          <t>0,67%</t>
        </is>
      </c>
      <c r="CT243" s="106" t="inlineStr">
        <is>
          <t>91</t>
        </is>
      </c>
      <c r="CU243" s="107" t="inlineStr">
        <is>
          <t>0,49%</t>
        </is>
      </c>
      <c r="CV243" s="108" t="inlineStr">
        <is>
          <t>91</t>
        </is>
      </c>
      <c r="CW243" s="109" t="inlineStr">
        <is>
          <t>58,80x</t>
        </is>
      </c>
      <c r="CX243" s="110" t="inlineStr">
        <is>
          <t>96</t>
        </is>
      </c>
      <c r="CY243" s="111" t="inlineStr">
        <is>
          <t>0,28x</t>
        </is>
      </c>
      <c r="CZ243" s="112" t="inlineStr">
        <is>
          <t>0,48%</t>
        </is>
      </c>
      <c r="DA243" s="113" t="inlineStr">
        <is>
          <t>95,70x</t>
        </is>
      </c>
      <c r="DB243" s="114" t="inlineStr">
        <is>
          <t>98</t>
        </is>
      </c>
      <c r="DC243" s="115" t="inlineStr">
        <is>
          <t>21,90x</t>
        </is>
      </c>
      <c r="DD243" s="116" t="inlineStr">
        <is>
          <t>90</t>
        </is>
      </c>
      <c r="DE243" s="117" t="inlineStr">
        <is>
          <t>188,82x</t>
        </is>
      </c>
      <c r="DF243" s="118" t="inlineStr">
        <is>
          <t>97</t>
        </is>
      </c>
      <c r="DG243" s="119" t="inlineStr">
        <is>
          <t>2,58x</t>
        </is>
      </c>
      <c r="DH243" s="120" t="inlineStr">
        <is>
          <t>69</t>
        </is>
      </c>
      <c r="DI243" s="121" t="inlineStr">
        <is>
          <t>19,18x</t>
        </is>
      </c>
      <c r="DJ243" s="122" t="inlineStr">
        <is>
          <t>87</t>
        </is>
      </c>
      <c r="DK243" s="123" t="inlineStr">
        <is>
          <t>24,62x</t>
        </is>
      </c>
      <c r="DL243" s="124" t="inlineStr">
        <is>
          <t>93</t>
        </is>
      </c>
      <c r="DM243" s="125" t="inlineStr">
        <is>
          <t>115.997</t>
        </is>
      </c>
      <c r="DN243" s="126" t="inlineStr">
        <is>
          <t>381</t>
        </is>
      </c>
      <c r="DO243" s="127" t="inlineStr">
        <is>
          <t>0,33%</t>
        </is>
      </c>
      <c r="DP243" s="128" t="inlineStr">
        <is>
          <t>15.307</t>
        </is>
      </c>
      <c r="DQ243" s="129" t="inlineStr">
        <is>
          <t>60</t>
        </is>
      </c>
      <c r="DR243" s="130" t="inlineStr">
        <is>
          <t>0,39%</t>
        </is>
      </c>
      <c r="DS243" s="131" t="inlineStr">
        <is>
          <t>92</t>
        </is>
      </c>
      <c r="DT243" s="132" t="inlineStr">
        <is>
          <t>1</t>
        </is>
      </c>
      <c r="DU243" s="133" t="inlineStr">
        <is>
          <t>1,10%</t>
        </is>
      </c>
      <c r="DV243" s="134" t="inlineStr">
        <is>
          <t>8.426</t>
        </is>
      </c>
      <c r="DW243" s="135" t="inlineStr">
        <is>
          <t>34</t>
        </is>
      </c>
      <c r="DX243" s="136" t="inlineStr">
        <is>
          <t>0,41%</t>
        </is>
      </c>
      <c r="DY243" s="137" t="inlineStr">
        <is>
          <t>PitchBook Research</t>
        </is>
      </c>
      <c r="DZ243" s="785">
        <f>HYPERLINK("https://my.pitchbook.com?c=58224-34", "View company online")</f>
      </c>
    </row>
    <row r="244">
      <c r="A244" s="139" t="inlineStr">
        <is>
          <t>114402-70</t>
        </is>
      </c>
      <c r="B244" s="140" t="inlineStr">
        <is>
          <t>JobToday</t>
        </is>
      </c>
      <c r="C244" s="141" t="inlineStr">
        <is>
          <t/>
        </is>
      </c>
      <c r="D244" s="142" t="inlineStr">
        <is>
          <t>JobToday App</t>
        </is>
      </c>
      <c r="E244" s="143" t="inlineStr">
        <is>
          <t>114402-70</t>
        </is>
      </c>
      <c r="F244" s="144" t="inlineStr">
        <is>
          <t>Developer of an online platform designed to revolutionize the way candidates find jobs and employers hire staff. The company's mobile application allows people to apply for relevant jobs without any CV or cover letter required and offers a built-in messaging platform to make communication between employers and applicants more immediate, enabling people to find a job in 24 hours.</t>
        </is>
      </c>
      <c r="G244" s="145" t="inlineStr">
        <is>
          <t>Information Technology</t>
        </is>
      </c>
      <c r="H244" s="146" t="inlineStr">
        <is>
          <t>Software</t>
        </is>
      </c>
      <c r="I244" s="147" t="inlineStr">
        <is>
          <t>Application Software</t>
        </is>
      </c>
      <c r="J244" s="148" t="inlineStr">
        <is>
          <t>Application Software*; Human Capital Services; Information Services (B2C)</t>
        </is>
      </c>
      <c r="K244" s="149" t="inlineStr">
        <is>
          <t>Mobile</t>
        </is>
      </c>
      <c r="L244" s="150" t="inlineStr">
        <is>
          <t>Venture Capital-Backed</t>
        </is>
      </c>
      <c r="M244" s="151" t="n">
        <v>27.71</v>
      </c>
      <c r="N244" s="152" t="inlineStr">
        <is>
          <t>Generating Revenue</t>
        </is>
      </c>
      <c r="O244" s="153" t="inlineStr">
        <is>
          <t>Privately Held (backing)</t>
        </is>
      </c>
      <c r="P244" s="154" t="inlineStr">
        <is>
          <t>Venture Capital</t>
        </is>
      </c>
      <c r="Q244" s="155" t="inlineStr">
        <is>
          <t>www.jobtoday.com</t>
        </is>
      </c>
      <c r="R244" s="156" t="n">
        <v>50.0</v>
      </c>
      <c r="S244" s="157" t="inlineStr">
        <is>
          <t/>
        </is>
      </c>
      <c r="T244" s="158" t="inlineStr">
        <is>
          <t/>
        </is>
      </c>
      <c r="U244" s="159" t="n">
        <v>2015.0</v>
      </c>
      <c r="V244" s="160" t="inlineStr">
        <is>
          <t/>
        </is>
      </c>
      <c r="W244" s="161" t="inlineStr">
        <is>
          <t/>
        </is>
      </c>
      <c r="X244" s="162" t="inlineStr">
        <is>
          <t/>
        </is>
      </c>
      <c r="Y244" s="163" t="inlineStr">
        <is>
          <t/>
        </is>
      </c>
      <c r="Z244" s="164" t="inlineStr">
        <is>
          <t/>
        </is>
      </c>
      <c r="AA244" s="165" t="inlineStr">
        <is>
          <t/>
        </is>
      </c>
      <c r="AB244" s="166" t="inlineStr">
        <is>
          <t/>
        </is>
      </c>
      <c r="AC244" s="167" t="inlineStr">
        <is>
          <t/>
        </is>
      </c>
      <c r="AD244" s="168" t="inlineStr">
        <is>
          <t/>
        </is>
      </c>
      <c r="AE244" s="169" t="inlineStr">
        <is>
          <t>40992-85P</t>
        </is>
      </c>
      <c r="AF244" s="170" t="inlineStr">
        <is>
          <t>Eugene Mizin</t>
        </is>
      </c>
      <c r="AG244" s="171" t="inlineStr">
        <is>
          <t>Chief Executive Officer &amp; Co-Founder</t>
        </is>
      </c>
      <c r="AH244" s="172" t="inlineStr">
        <is>
          <t>eugene@jobtodayapp.com</t>
        </is>
      </c>
      <c r="AI244" s="173" t="inlineStr">
        <is>
          <t/>
        </is>
      </c>
      <c r="AJ244" s="174" t="inlineStr">
        <is>
          <t>Luxembourg City, Luxembourg</t>
        </is>
      </c>
      <c r="AK244" s="175" t="inlineStr">
        <is>
          <t>59 Boulevard Royal</t>
        </is>
      </c>
      <c r="AL244" s="176" t="inlineStr">
        <is>
          <t/>
        </is>
      </c>
      <c r="AM244" s="177" t="inlineStr">
        <is>
          <t>Luxembourg City</t>
        </is>
      </c>
      <c r="AN244" s="178" t="inlineStr">
        <is>
          <t/>
        </is>
      </c>
      <c r="AO244" s="179" t="inlineStr">
        <is>
          <t>L2449</t>
        </is>
      </c>
      <c r="AP244" s="180" t="inlineStr">
        <is>
          <t>Luxembourg</t>
        </is>
      </c>
      <c r="AQ244" s="181" t="inlineStr">
        <is>
          <t/>
        </is>
      </c>
      <c r="AR244" s="182" t="inlineStr">
        <is>
          <t/>
        </is>
      </c>
      <c r="AS244" s="183" t="inlineStr">
        <is>
          <t>info@jobtodayapp.com</t>
        </is>
      </c>
      <c r="AT244" s="184" t="inlineStr">
        <is>
          <t>Europe</t>
        </is>
      </c>
      <c r="AU244" s="185" t="inlineStr">
        <is>
          <t>Western Europe</t>
        </is>
      </c>
      <c r="AV244" s="186" t="inlineStr">
        <is>
          <t>Astremedia, Channel Four Television, German Media Pool and RTL Group acquired an undisclosed stake in the company in exchange for services provided on March 10, 2017. Previously, the company raised $20 million of Series B venture funding in a deal led by Flint Capital on November 10, 2016.</t>
        </is>
      </c>
      <c r="AW244" s="187" t="inlineStr">
        <is>
          <t>Accel, Astremedia, Channel Four Television, Felix Capital, Flint Capital, German Media Pool, Mangrove Capital Partners, RTL Group</t>
        </is>
      </c>
      <c r="AX244" s="188" t="n">
        <v>8.0</v>
      </c>
      <c r="AY244" s="189" t="inlineStr">
        <is>
          <t/>
        </is>
      </c>
      <c r="AZ244" s="190" t="inlineStr">
        <is>
          <t/>
        </is>
      </c>
      <c r="BA244" s="191" t="inlineStr">
        <is>
          <t/>
        </is>
      </c>
      <c r="BB244" s="192" t="inlineStr">
        <is>
          <t>Accel (www.accel.com), Channel Four Television (www.channel4.com), Felix Capital (www.felixcap.com), Flint Capital (www.flintcap.com), German Media Pool (www.germanmediapool.com), Mangrove Capital Partners (www.mangrove.vc), RTL Group (www.rtlgroup.com)</t>
        </is>
      </c>
      <c r="BC244" s="193" t="inlineStr">
        <is>
          <t/>
        </is>
      </c>
      <c r="BD244" s="194" t="inlineStr">
        <is>
          <t/>
        </is>
      </c>
      <c r="BE244" s="195" t="inlineStr">
        <is>
          <t>JAG Shaw Baker (Legal Advisor)</t>
        </is>
      </c>
      <c r="BF244" s="196" t="inlineStr">
        <is>
          <t/>
        </is>
      </c>
      <c r="BG244" s="197" t="n">
        <v>42370.0</v>
      </c>
      <c r="BH244" s="198" t="n">
        <v>9.2</v>
      </c>
      <c r="BI244" s="199" t="inlineStr">
        <is>
          <t>Actual</t>
        </is>
      </c>
      <c r="BJ244" s="200" t="inlineStr">
        <is>
          <t/>
        </is>
      </c>
      <c r="BK244" s="201" t="inlineStr">
        <is>
          <t/>
        </is>
      </c>
      <c r="BL244" s="202" t="inlineStr">
        <is>
          <t>Early Stage VC</t>
        </is>
      </c>
      <c r="BM244" s="203" t="inlineStr">
        <is>
          <t>Series A</t>
        </is>
      </c>
      <c r="BN244" s="204" t="inlineStr">
        <is>
          <t/>
        </is>
      </c>
      <c r="BO244" s="205" t="inlineStr">
        <is>
          <t>Venture Capital</t>
        </is>
      </c>
      <c r="BP244" s="206" t="inlineStr">
        <is>
          <t/>
        </is>
      </c>
      <c r="BQ244" s="207" t="inlineStr">
        <is>
          <t/>
        </is>
      </c>
      <c r="BR244" s="208" t="inlineStr">
        <is>
          <t/>
        </is>
      </c>
      <c r="BS244" s="209" t="inlineStr">
        <is>
          <t>Completed</t>
        </is>
      </c>
      <c r="BT244" s="210" t="n">
        <v>42804.0</v>
      </c>
      <c r="BU244" s="211" t="n">
        <v>32.75</v>
      </c>
      <c r="BV244" s="212" t="inlineStr">
        <is>
          <t>Actual</t>
        </is>
      </c>
      <c r="BW244" s="213" t="inlineStr">
        <is>
          <t/>
        </is>
      </c>
      <c r="BX244" s="214" t="inlineStr">
        <is>
          <t/>
        </is>
      </c>
      <c r="BY244" s="215" t="inlineStr">
        <is>
          <t>Equity For Service</t>
        </is>
      </c>
      <c r="BZ244" s="216" t="inlineStr">
        <is>
          <t/>
        </is>
      </c>
      <c r="CA244" s="217" t="inlineStr">
        <is>
          <t/>
        </is>
      </c>
      <c r="CB244" s="218" t="inlineStr">
        <is>
          <t>Venture Capital</t>
        </is>
      </c>
      <c r="CC244" s="219" t="inlineStr">
        <is>
          <t/>
        </is>
      </c>
      <c r="CD244" s="220" t="inlineStr">
        <is>
          <t/>
        </is>
      </c>
      <c r="CE244" s="221" t="inlineStr">
        <is>
          <t/>
        </is>
      </c>
      <c r="CF244" s="222" t="inlineStr">
        <is>
          <t>Completed</t>
        </is>
      </c>
      <c r="CG244" s="223" t="inlineStr">
        <is>
          <t>-2,85%</t>
        </is>
      </c>
      <c r="CH244" s="224" t="inlineStr">
        <is>
          <t>2</t>
        </is>
      </c>
      <c r="CI244" s="225" t="inlineStr">
        <is>
          <t>-0,09%</t>
        </is>
      </c>
      <c r="CJ244" s="226" t="inlineStr">
        <is>
          <t>-3,37%</t>
        </is>
      </c>
      <c r="CK244" s="227" t="inlineStr">
        <is>
          <t>-6,12%</t>
        </is>
      </c>
      <c r="CL244" s="228" t="inlineStr">
        <is>
          <t>1</t>
        </is>
      </c>
      <c r="CM244" s="229" t="inlineStr">
        <is>
          <t>0,41%</t>
        </is>
      </c>
      <c r="CN244" s="230" t="inlineStr">
        <is>
          <t>87</t>
        </is>
      </c>
      <c r="CO244" s="231" t="inlineStr">
        <is>
          <t>-6,12%</t>
        </is>
      </c>
      <c r="CP244" s="232" t="inlineStr">
        <is>
          <t>5</t>
        </is>
      </c>
      <c r="CQ244" s="233" t="inlineStr">
        <is>
          <t/>
        </is>
      </c>
      <c r="CR244" s="234" t="inlineStr">
        <is>
          <t/>
        </is>
      </c>
      <c r="CS244" s="235" t="inlineStr">
        <is>
          <t>0,24%</t>
        </is>
      </c>
      <c r="CT244" s="236" t="inlineStr">
        <is>
          <t>74</t>
        </is>
      </c>
      <c r="CU244" s="237" t="inlineStr">
        <is>
          <t>0,58%</t>
        </is>
      </c>
      <c r="CV244" s="238" t="inlineStr">
        <is>
          <t>93</t>
        </is>
      </c>
      <c r="CW244" s="239" t="inlineStr">
        <is>
          <t>50,71x</t>
        </is>
      </c>
      <c r="CX244" s="240" t="inlineStr">
        <is>
          <t>96</t>
        </is>
      </c>
      <c r="CY244" s="241" t="inlineStr">
        <is>
          <t>19,15x</t>
        </is>
      </c>
      <c r="CZ244" s="242" t="inlineStr">
        <is>
          <t>60,67%</t>
        </is>
      </c>
      <c r="DA244" s="243" t="inlineStr">
        <is>
          <t>40,81x</t>
        </is>
      </c>
      <c r="DB244" s="244" t="inlineStr">
        <is>
          <t>96</t>
        </is>
      </c>
      <c r="DC244" s="245" t="inlineStr">
        <is>
          <t>60,61x</t>
        </is>
      </c>
      <c r="DD244" s="246" t="inlineStr">
        <is>
          <t>95</t>
        </is>
      </c>
      <c r="DE244" s="247" t="inlineStr">
        <is>
          <t>40,81x</t>
        </is>
      </c>
      <c r="DF244" s="248" t="inlineStr">
        <is>
          <t>92</t>
        </is>
      </c>
      <c r="DG244" s="249" t="inlineStr">
        <is>
          <t/>
        </is>
      </c>
      <c r="DH244" s="250" t="inlineStr">
        <is>
          <t/>
        </is>
      </c>
      <c r="DI244" s="251" t="inlineStr">
        <is>
          <t>98,34x</t>
        </is>
      </c>
      <c r="DJ244" s="252" t="inlineStr">
        <is>
          <t>95</t>
        </is>
      </c>
      <c r="DK244" s="253" t="inlineStr">
        <is>
          <t>22,88x</t>
        </is>
      </c>
      <c r="DL244" s="254" t="inlineStr">
        <is>
          <t>92</t>
        </is>
      </c>
      <c r="DM244" s="255" t="inlineStr">
        <is>
          <t>25.915</t>
        </is>
      </c>
      <c r="DN244" s="256" t="inlineStr">
        <is>
          <t>-2.448</t>
        </is>
      </c>
      <c r="DO244" s="257" t="inlineStr">
        <is>
          <t>-8,63%</t>
        </is>
      </c>
      <c r="DP244" s="258" t="inlineStr">
        <is>
          <t>78.501</t>
        </is>
      </c>
      <c r="DQ244" s="259" t="inlineStr">
        <is>
          <t>163</t>
        </is>
      </c>
      <c r="DR244" s="260" t="inlineStr">
        <is>
          <t>0,21%</t>
        </is>
      </c>
      <c r="DS244" s="261" t="inlineStr">
        <is>
          <t/>
        </is>
      </c>
      <c r="DT244" s="262" t="inlineStr">
        <is>
          <t/>
        </is>
      </c>
      <c r="DU244" s="263" t="inlineStr">
        <is>
          <t/>
        </is>
      </c>
      <c r="DV244" s="264" t="inlineStr">
        <is>
          <t>7.832</t>
        </is>
      </c>
      <c r="DW244" s="265" t="inlineStr">
        <is>
          <t>52</t>
        </is>
      </c>
      <c r="DX244" s="266" t="inlineStr">
        <is>
          <t>0,67%</t>
        </is>
      </c>
      <c r="DY244" s="267" t="inlineStr">
        <is>
          <t>PitchBook Research</t>
        </is>
      </c>
      <c r="DZ244" s="786">
        <f>HYPERLINK("https://my.pitchbook.com?c=114402-70", "View company online")</f>
      </c>
    </row>
    <row r="245">
      <c r="A245" s="9" t="inlineStr">
        <is>
          <t>185963-86</t>
        </is>
      </c>
      <c r="B245" s="10" t="inlineStr">
        <is>
          <t>John Street Capital</t>
        </is>
      </c>
      <c r="C245" s="11" t="inlineStr">
        <is>
          <t/>
        </is>
      </c>
      <c r="D245" s="12" t="inlineStr">
        <is>
          <t/>
        </is>
      </c>
      <c r="E245" s="13" t="inlineStr">
        <is>
          <t>185963-86</t>
        </is>
      </c>
      <c r="F245" s="14" t="inlineStr">
        <is>
          <t>Provider of investment management services. The company specializes in operating as a systematic hedge fund management and investment firm by applying scientific techniques to the trading of financial markets across asset classes and geographies.</t>
        </is>
      </c>
      <c r="G245" s="15" t="inlineStr">
        <is>
          <t>Financial Services</t>
        </is>
      </c>
      <c r="H245" s="16" t="inlineStr">
        <is>
          <t>Capital Markets/Institutions</t>
        </is>
      </c>
      <c r="I245" s="17" t="inlineStr">
        <is>
          <t>Asset Management</t>
        </is>
      </c>
      <c r="J245" s="18" t="inlineStr">
        <is>
          <t>Asset Management*; Other Capital Markets/Institutions</t>
        </is>
      </c>
      <c r="K245" s="19" t="inlineStr">
        <is>
          <t/>
        </is>
      </c>
      <c r="L245" s="20" t="inlineStr">
        <is>
          <t>Venture Capital-Backed</t>
        </is>
      </c>
      <c r="M245" s="21" t="n">
        <v>96.77</v>
      </c>
      <c r="N245" s="22" t="inlineStr">
        <is>
          <t>Profitable</t>
        </is>
      </c>
      <c r="O245" s="23" t="inlineStr">
        <is>
          <t>Privately Held (backing)</t>
        </is>
      </c>
      <c r="P245" s="24" t="inlineStr">
        <is>
          <t>Venture Capital</t>
        </is>
      </c>
      <c r="Q245" s="25" t="inlineStr">
        <is>
          <t>www.johnstreetcapital.com</t>
        </is>
      </c>
      <c r="R245" s="26" t="inlineStr">
        <is>
          <t/>
        </is>
      </c>
      <c r="S245" s="27" t="inlineStr">
        <is>
          <t/>
        </is>
      </c>
      <c r="T245" s="28" t="inlineStr">
        <is>
          <t/>
        </is>
      </c>
      <c r="U245" s="29" t="n">
        <v>2012.0</v>
      </c>
      <c r="V245" s="30" t="inlineStr">
        <is>
          <t/>
        </is>
      </c>
      <c r="W245" s="31" t="inlineStr">
        <is>
          <r>
            <rPr>
              <b/>
              <color rgb="ff26854d"/>
              <rFont val="Arial"/>
              <sz val="8.0"/>
            </rPr>
            <t>New Company</t>
          </r>
        </is>
      </c>
      <c r="X245" s="32" t="inlineStr">
        <is>
          <r>
            <rPr>
              <b/>
              <color rgb="ff26854d"/>
              <rFont val="Arial"/>
              <sz val="8.0"/>
            </rPr>
            <t>New Company</t>
          </r>
        </is>
      </c>
      <c r="Y245" s="33" t="inlineStr">
        <is>
          <t/>
        </is>
      </c>
      <c r="Z245" s="34" t="inlineStr">
        <is>
          <t/>
        </is>
      </c>
      <c r="AA245" s="35" t="inlineStr">
        <is>
          <t/>
        </is>
      </c>
      <c r="AB245" s="36" t="inlineStr">
        <is>
          <t/>
        </is>
      </c>
      <c r="AC245" s="37" t="inlineStr">
        <is>
          <t/>
        </is>
      </c>
      <c r="AD245" s="38" t="inlineStr">
        <is>
          <t/>
        </is>
      </c>
      <c r="AE245" s="39" t="inlineStr">
        <is>
          <t>170468-83P</t>
        </is>
      </c>
      <c r="AF245" s="40" t="inlineStr">
        <is>
          <t>Johannes Hoff</t>
        </is>
      </c>
      <c r="AG245" s="41" t="inlineStr">
        <is>
          <t>Co-Founder and Director</t>
        </is>
      </c>
      <c r="AH245" s="42" t="inlineStr">
        <is>
          <t>johannes.hoff@johnstreetcapital.com</t>
        </is>
      </c>
      <c r="AI245" s="43" t="inlineStr">
        <is>
          <t>+44 (0)20 7404 9428</t>
        </is>
      </c>
      <c r="AJ245" s="44" t="inlineStr">
        <is>
          <t>London, United Kingdom</t>
        </is>
      </c>
      <c r="AK245" s="45" t="inlineStr">
        <is>
          <t>29 Ely Place</t>
        </is>
      </c>
      <c r="AL245" s="46" t="inlineStr">
        <is>
          <t/>
        </is>
      </c>
      <c r="AM245" s="47" t="inlineStr">
        <is>
          <t>London</t>
        </is>
      </c>
      <c r="AN245" s="48" t="inlineStr">
        <is>
          <t>England</t>
        </is>
      </c>
      <c r="AO245" s="49" t="inlineStr">
        <is>
          <t>EC1N 6TD</t>
        </is>
      </c>
      <c r="AP245" s="50" t="inlineStr">
        <is>
          <t>United Kingdom</t>
        </is>
      </c>
      <c r="AQ245" s="51" t="inlineStr">
        <is>
          <t>+44 (0)20 7404 9428</t>
        </is>
      </c>
      <c r="AR245" s="52" t="inlineStr">
        <is>
          <t/>
        </is>
      </c>
      <c r="AS245" s="53" t="inlineStr">
        <is>
          <t>enquiries@johnstreetcapital.com</t>
        </is>
      </c>
      <c r="AT245" s="54" t="inlineStr">
        <is>
          <t>Europe</t>
        </is>
      </c>
      <c r="AU245" s="55" t="inlineStr">
        <is>
          <t>Western Europe</t>
        </is>
      </c>
      <c r="AV245" s="56" t="inlineStr">
        <is>
          <t>The company raised $75 million of venture funding from Strategic Capital Investors on February 3, 2016.</t>
        </is>
      </c>
      <c r="AW245" s="57" t="inlineStr">
        <is>
          <t>Strategic Capital Investors</t>
        </is>
      </c>
      <c r="AX245" s="58" t="n">
        <v>1.0</v>
      </c>
      <c r="AY245" s="59" t="inlineStr">
        <is>
          <t/>
        </is>
      </c>
      <c r="AZ245" s="60" t="inlineStr">
        <is>
          <t/>
        </is>
      </c>
      <c r="BA245" s="61" t="inlineStr">
        <is>
          <t/>
        </is>
      </c>
      <c r="BB245" s="62" t="inlineStr">
        <is>
          <t/>
        </is>
      </c>
      <c r="BC245" s="63" t="inlineStr">
        <is>
          <t/>
        </is>
      </c>
      <c r="BD245" s="64" t="inlineStr">
        <is>
          <t/>
        </is>
      </c>
      <c r="BE245" s="65" t="inlineStr">
        <is>
          <t/>
        </is>
      </c>
      <c r="BF245" s="66" t="inlineStr">
        <is>
          <t/>
        </is>
      </c>
      <c r="BG245" s="67" t="n">
        <v>42403.0</v>
      </c>
      <c r="BH245" s="68" t="n">
        <v>96.77</v>
      </c>
      <c r="BI245" s="69" t="inlineStr">
        <is>
          <t>Actual</t>
        </is>
      </c>
      <c r="BJ245" s="70" t="inlineStr">
        <is>
          <t/>
        </is>
      </c>
      <c r="BK245" s="71" t="inlineStr">
        <is>
          <t/>
        </is>
      </c>
      <c r="BL245" s="72" t="inlineStr">
        <is>
          <t>Early Stage VC</t>
        </is>
      </c>
      <c r="BM245" s="73" t="inlineStr">
        <is>
          <t/>
        </is>
      </c>
      <c r="BN245" s="74" t="inlineStr">
        <is>
          <t/>
        </is>
      </c>
      <c r="BO245" s="75" t="inlineStr">
        <is>
          <t>Venture Capital</t>
        </is>
      </c>
      <c r="BP245" s="76" t="inlineStr">
        <is>
          <t/>
        </is>
      </c>
      <c r="BQ245" s="77" t="inlineStr">
        <is>
          <t/>
        </is>
      </c>
      <c r="BR245" s="78" t="inlineStr">
        <is>
          <t/>
        </is>
      </c>
      <c r="BS245" s="79" t="inlineStr">
        <is>
          <t>Completed</t>
        </is>
      </c>
      <c r="BT245" s="80" t="n">
        <v>42403.0</v>
      </c>
      <c r="BU245" s="81" t="n">
        <v>96.77</v>
      </c>
      <c r="BV245" s="82" t="inlineStr">
        <is>
          <t>Actual</t>
        </is>
      </c>
      <c r="BW245" s="83" t="inlineStr">
        <is>
          <t/>
        </is>
      </c>
      <c r="BX245" s="84" t="inlineStr">
        <is>
          <t/>
        </is>
      </c>
      <c r="BY245" s="85" t="inlineStr">
        <is>
          <t>Early Stage VC</t>
        </is>
      </c>
      <c r="BZ245" s="86" t="inlineStr">
        <is>
          <t/>
        </is>
      </c>
      <c r="CA245" s="87" t="inlineStr">
        <is>
          <t/>
        </is>
      </c>
      <c r="CB245" s="88" t="inlineStr">
        <is>
          <t>Venture Capital</t>
        </is>
      </c>
      <c r="CC245" s="89" t="inlineStr">
        <is>
          <t/>
        </is>
      </c>
      <c r="CD245" s="90" t="inlineStr">
        <is>
          <t/>
        </is>
      </c>
      <c r="CE245" s="91" t="inlineStr">
        <is>
          <t/>
        </is>
      </c>
      <c r="CF245" s="92" t="inlineStr">
        <is>
          <t>Completed</t>
        </is>
      </c>
      <c r="CG245" s="93" t="inlineStr">
        <is>
          <t/>
        </is>
      </c>
      <c r="CH245" s="94" t="inlineStr">
        <is>
          <t/>
        </is>
      </c>
      <c r="CI245" s="95" t="inlineStr">
        <is>
          <t/>
        </is>
      </c>
      <c r="CJ245" s="96" t="inlineStr">
        <is>
          <t/>
        </is>
      </c>
      <c r="CK245" s="97" t="inlineStr">
        <is>
          <t/>
        </is>
      </c>
      <c r="CL245" s="98" t="inlineStr">
        <is>
          <t/>
        </is>
      </c>
      <c r="CM245" s="99" t="inlineStr">
        <is>
          <t/>
        </is>
      </c>
      <c r="CN245" s="100" t="inlineStr">
        <is>
          <t/>
        </is>
      </c>
      <c r="CO245" s="101" t="inlineStr">
        <is>
          <t/>
        </is>
      </c>
      <c r="CP245" s="102" t="inlineStr">
        <is>
          <t/>
        </is>
      </c>
      <c r="CQ245" s="103" t="inlineStr">
        <is>
          <t/>
        </is>
      </c>
      <c r="CR245" s="104" t="inlineStr">
        <is>
          <t/>
        </is>
      </c>
      <c r="CS245" s="105" t="inlineStr">
        <is>
          <t/>
        </is>
      </c>
      <c r="CT245" s="106" t="inlineStr">
        <is>
          <t/>
        </is>
      </c>
      <c r="CU245" s="107" t="inlineStr">
        <is>
          <t/>
        </is>
      </c>
      <c r="CV245" s="108" t="inlineStr">
        <is>
          <t/>
        </is>
      </c>
      <c r="CW245" s="109" t="inlineStr">
        <is>
          <t/>
        </is>
      </c>
      <c r="CX245" s="110" t="inlineStr">
        <is>
          <t/>
        </is>
      </c>
      <c r="CY245" s="111" t="inlineStr">
        <is>
          <t/>
        </is>
      </c>
      <c r="CZ245" s="112" t="inlineStr">
        <is>
          <t/>
        </is>
      </c>
      <c r="DA245" s="113" t="inlineStr">
        <is>
          <t/>
        </is>
      </c>
      <c r="DB245" s="114" t="inlineStr">
        <is>
          <t/>
        </is>
      </c>
      <c r="DC245" s="115" t="inlineStr">
        <is>
          <t/>
        </is>
      </c>
      <c r="DD245" s="116" t="inlineStr">
        <is>
          <t/>
        </is>
      </c>
      <c r="DE245" s="117" t="inlineStr">
        <is>
          <t/>
        </is>
      </c>
      <c r="DF245" s="118" t="inlineStr">
        <is>
          <t/>
        </is>
      </c>
      <c r="DG245" s="119" t="inlineStr">
        <is>
          <t/>
        </is>
      </c>
      <c r="DH245" s="120" t="inlineStr">
        <is>
          <t/>
        </is>
      </c>
      <c r="DI245" s="121" t="inlineStr">
        <is>
          <t/>
        </is>
      </c>
      <c r="DJ245" s="122" t="inlineStr">
        <is>
          <t/>
        </is>
      </c>
      <c r="DK245" s="123" t="inlineStr">
        <is>
          <t/>
        </is>
      </c>
      <c r="DL245" s="124" t="inlineStr">
        <is>
          <t/>
        </is>
      </c>
      <c r="DM245" s="125" t="inlineStr">
        <is>
          <t/>
        </is>
      </c>
      <c r="DN245" s="126" t="inlineStr">
        <is>
          <t/>
        </is>
      </c>
      <c r="DO245" s="127" t="inlineStr">
        <is>
          <t/>
        </is>
      </c>
      <c r="DP245" s="128" t="inlineStr">
        <is>
          <t/>
        </is>
      </c>
      <c r="DQ245" s="129" t="inlineStr">
        <is>
          <t/>
        </is>
      </c>
      <c r="DR245" s="130" t="inlineStr">
        <is>
          <t/>
        </is>
      </c>
      <c r="DS245" s="131" t="inlineStr">
        <is>
          <t/>
        </is>
      </c>
      <c r="DT245" s="132" t="inlineStr">
        <is>
          <t/>
        </is>
      </c>
      <c r="DU245" s="133" t="inlineStr">
        <is>
          <t/>
        </is>
      </c>
      <c r="DV245" s="134" t="inlineStr">
        <is>
          <t/>
        </is>
      </c>
      <c r="DW245" s="135" t="inlineStr">
        <is>
          <t/>
        </is>
      </c>
      <c r="DX245" s="136" t="inlineStr">
        <is>
          <t/>
        </is>
      </c>
      <c r="DY245" s="137" t="inlineStr">
        <is>
          <t>PitchBook Research</t>
        </is>
      </c>
      <c r="DZ245" s="785">
        <f>HYPERLINK("https://my.pitchbook.com?c=185963-86", "View company online")</f>
      </c>
    </row>
    <row r="246">
      <c r="A246" s="139" t="inlineStr">
        <is>
          <t>57962-44</t>
        </is>
      </c>
      <c r="B246" s="140" t="inlineStr">
        <is>
          <t>Judo Payments</t>
        </is>
      </c>
      <c r="C246" s="141" t="inlineStr">
        <is>
          <t/>
        </is>
      </c>
      <c r="D246" s="142" t="inlineStr">
        <is>
          <t>JudoPay</t>
        </is>
      </c>
      <c r="E246" s="143" t="inlineStr">
        <is>
          <t>57962-44</t>
        </is>
      </c>
      <c r="F246" s="144" t="inlineStr">
        <is>
          <t>Provider of a payments platform for mobile commerce. The company’s platform enables merchants to design their own mobile-payment service for iOS and Android devices.</t>
        </is>
      </c>
      <c r="G246" s="145" t="inlineStr">
        <is>
          <t>Information Technology</t>
        </is>
      </c>
      <c r="H246" s="146" t="inlineStr">
        <is>
          <t>Software</t>
        </is>
      </c>
      <c r="I246" s="147" t="inlineStr">
        <is>
          <t>Application Software</t>
        </is>
      </c>
      <c r="J246" s="148" t="inlineStr">
        <is>
          <t>Application Software*; Financial Software</t>
        </is>
      </c>
      <c r="K246" s="149" t="inlineStr">
        <is>
          <t>FinTech, Mobile</t>
        </is>
      </c>
      <c r="L246" s="150" t="inlineStr">
        <is>
          <t>Venture Capital-Backed</t>
        </is>
      </c>
      <c r="M246" s="151" t="n">
        <v>17.66</v>
      </c>
      <c r="N246" s="152" t="inlineStr">
        <is>
          <t>Startup</t>
        </is>
      </c>
      <c r="O246" s="153" t="inlineStr">
        <is>
          <t>Privately Held (backing)</t>
        </is>
      </c>
      <c r="P246" s="154" t="inlineStr">
        <is>
          <t>Venture Capital</t>
        </is>
      </c>
      <c r="Q246" s="155" t="inlineStr">
        <is>
          <t>www.judopay.com</t>
        </is>
      </c>
      <c r="R246" s="156" t="n">
        <v>39.0</v>
      </c>
      <c r="S246" s="157" t="inlineStr">
        <is>
          <t/>
        </is>
      </c>
      <c r="T246" s="158" t="inlineStr">
        <is>
          <t/>
        </is>
      </c>
      <c r="U246" s="159" t="n">
        <v>2012.0</v>
      </c>
      <c r="V246" s="160" t="inlineStr">
        <is>
          <t/>
        </is>
      </c>
      <c r="W246" s="161" t="inlineStr">
        <is>
          <t/>
        </is>
      </c>
      <c r="X246" s="162" t="inlineStr">
        <is>
          <t/>
        </is>
      </c>
      <c r="Y246" s="163" t="inlineStr">
        <is>
          <t/>
        </is>
      </c>
      <c r="Z246" s="164" t="inlineStr">
        <is>
          <t/>
        </is>
      </c>
      <c r="AA246" s="165" t="inlineStr">
        <is>
          <t/>
        </is>
      </c>
      <c r="AB246" s="166" t="inlineStr">
        <is>
          <t/>
        </is>
      </c>
      <c r="AC246" s="167" t="inlineStr">
        <is>
          <t/>
        </is>
      </c>
      <c r="AD246" s="168" t="inlineStr">
        <is>
          <t/>
        </is>
      </c>
      <c r="AE246" s="169" t="inlineStr">
        <is>
          <t>51688-54P</t>
        </is>
      </c>
      <c r="AF246" s="170" t="inlineStr">
        <is>
          <t>Dennis Jones</t>
        </is>
      </c>
      <c r="AG246" s="171" t="inlineStr">
        <is>
          <t>Co-Founder, Board Member &amp; Chief Executive Officer</t>
        </is>
      </c>
      <c r="AH246" s="172" t="inlineStr">
        <is>
          <t>dennis@judopay.com</t>
        </is>
      </c>
      <c r="AI246" s="173" t="inlineStr">
        <is>
          <t/>
        </is>
      </c>
      <c r="AJ246" s="174" t="inlineStr">
        <is>
          <t>London, United Kingdom</t>
        </is>
      </c>
      <c r="AK246" s="175" t="inlineStr">
        <is>
          <t>46-52 Pentonville Road</t>
        </is>
      </c>
      <c r="AL246" s="176" t="inlineStr">
        <is>
          <t/>
        </is>
      </c>
      <c r="AM246" s="177" t="inlineStr">
        <is>
          <t>London</t>
        </is>
      </c>
      <c r="AN246" s="178" t="inlineStr">
        <is>
          <t>England</t>
        </is>
      </c>
      <c r="AO246" s="179" t="inlineStr">
        <is>
          <t>N1 9HF</t>
        </is>
      </c>
      <c r="AP246" s="180" t="inlineStr">
        <is>
          <t>United Kingdom</t>
        </is>
      </c>
      <c r="AQ246" s="181" t="inlineStr">
        <is>
          <t/>
        </is>
      </c>
      <c r="AR246" s="182" t="inlineStr">
        <is>
          <t/>
        </is>
      </c>
      <c r="AS246" s="183" t="inlineStr">
        <is>
          <t/>
        </is>
      </c>
      <c r="AT246" s="184" t="inlineStr">
        <is>
          <t>Europe</t>
        </is>
      </c>
      <c r="AU246" s="185" t="inlineStr">
        <is>
          <t>Western Europe</t>
        </is>
      </c>
      <c r="AV246" s="186" t="inlineStr">
        <is>
          <t>The company raised GBP 8.284 million of Series B venture funding led by Route 66 Ventures on January 22, 2015, putting the pre-mony valuation at GBP 21.75 million. The company intends to use the funding to increase the resources of the team as Judo looks to expand its existing business and products in Europe and enter into new geographic territories later this year.</t>
        </is>
      </c>
      <c r="AW246" s="187" t="inlineStr">
        <is>
          <t>Route 66 Ventures</t>
        </is>
      </c>
      <c r="AX246" s="188" t="n">
        <v>1.0</v>
      </c>
      <c r="AY246" s="189" t="inlineStr">
        <is>
          <t/>
        </is>
      </c>
      <c r="AZ246" s="190" t="inlineStr">
        <is>
          <t/>
        </is>
      </c>
      <c r="BA246" s="191" t="inlineStr">
        <is>
          <t/>
        </is>
      </c>
      <c r="BB246" s="192" t="inlineStr">
        <is>
          <t>Route 66 Ventures (www.route66ventures.com)</t>
        </is>
      </c>
      <c r="BC246" s="193" t="inlineStr">
        <is>
          <t/>
        </is>
      </c>
      <c r="BD246" s="194" t="inlineStr">
        <is>
          <t/>
        </is>
      </c>
      <c r="BE246" s="195" t="inlineStr">
        <is>
          <t>Howard Kennedy (Legal Advisor)</t>
        </is>
      </c>
      <c r="BF246" s="196" t="inlineStr">
        <is>
          <t/>
        </is>
      </c>
      <c r="BG246" s="197" t="n">
        <v>41470.0</v>
      </c>
      <c r="BH246" s="198" t="n">
        <v>6.88</v>
      </c>
      <c r="BI246" s="199" t="inlineStr">
        <is>
          <t>Actual</t>
        </is>
      </c>
      <c r="BJ246" s="200" t="n">
        <v>15.7</v>
      </c>
      <c r="BK246" s="201" t="inlineStr">
        <is>
          <t>Actual</t>
        </is>
      </c>
      <c r="BL246" s="202" t="inlineStr">
        <is>
          <t>Seed Round</t>
        </is>
      </c>
      <c r="BM246" s="203" t="inlineStr">
        <is>
          <t>Seed</t>
        </is>
      </c>
      <c r="BN246" s="204" t="inlineStr">
        <is>
          <t/>
        </is>
      </c>
      <c r="BO246" s="205" t="inlineStr">
        <is>
          <t>Venture Capital</t>
        </is>
      </c>
      <c r="BP246" s="206" t="inlineStr">
        <is>
          <t/>
        </is>
      </c>
      <c r="BQ246" s="207" t="inlineStr">
        <is>
          <t/>
        </is>
      </c>
      <c r="BR246" s="208" t="inlineStr">
        <is>
          <t/>
        </is>
      </c>
      <c r="BS246" s="209" t="inlineStr">
        <is>
          <t>Completed</t>
        </is>
      </c>
      <c r="BT246" s="210" t="n">
        <v>42026.0</v>
      </c>
      <c r="BU246" s="211" t="n">
        <v>10.78</v>
      </c>
      <c r="BV246" s="212" t="inlineStr">
        <is>
          <t>Actual</t>
        </is>
      </c>
      <c r="BW246" s="213" t="n">
        <v>39.1</v>
      </c>
      <c r="BX246" s="214" t="inlineStr">
        <is>
          <t>Actual</t>
        </is>
      </c>
      <c r="BY246" s="215" t="inlineStr">
        <is>
          <t>Early Stage VC</t>
        </is>
      </c>
      <c r="BZ246" s="216" t="inlineStr">
        <is>
          <t>Series B</t>
        </is>
      </c>
      <c r="CA246" s="217" t="inlineStr">
        <is>
          <t/>
        </is>
      </c>
      <c r="CB246" s="218" t="inlineStr">
        <is>
          <t>Venture Capital</t>
        </is>
      </c>
      <c r="CC246" s="219" t="inlineStr">
        <is>
          <t/>
        </is>
      </c>
      <c r="CD246" s="220" t="inlineStr">
        <is>
          <t/>
        </is>
      </c>
      <c r="CE246" s="221" t="inlineStr">
        <is>
          <t/>
        </is>
      </c>
      <c r="CF246" s="222" t="inlineStr">
        <is>
          <t>Completed</t>
        </is>
      </c>
      <c r="CG246" s="223" t="inlineStr">
        <is>
          <t>-3,34%</t>
        </is>
      </c>
      <c r="CH246" s="224" t="inlineStr">
        <is>
          <t>1</t>
        </is>
      </c>
      <c r="CI246" s="225" t="inlineStr">
        <is>
          <t>0,04%</t>
        </is>
      </c>
      <c r="CJ246" s="226" t="inlineStr">
        <is>
          <t>1,21%</t>
        </is>
      </c>
      <c r="CK246" s="227" t="inlineStr">
        <is>
          <t>-6,68%</t>
        </is>
      </c>
      <c r="CL246" s="228" t="inlineStr">
        <is>
          <t>1</t>
        </is>
      </c>
      <c r="CM246" s="229" t="inlineStr">
        <is>
          <t>0,00%</t>
        </is>
      </c>
      <c r="CN246" s="230" t="inlineStr">
        <is>
          <t>19</t>
        </is>
      </c>
      <c r="CO246" s="231" t="inlineStr">
        <is>
          <t>-13,14%</t>
        </is>
      </c>
      <c r="CP246" s="232" t="inlineStr">
        <is>
          <t>1</t>
        </is>
      </c>
      <c r="CQ246" s="233" t="inlineStr">
        <is>
          <t>-0,22%</t>
        </is>
      </c>
      <c r="CR246" s="234" t="inlineStr">
        <is>
          <t>10</t>
        </is>
      </c>
      <c r="CS246" s="235" t="inlineStr">
        <is>
          <t>0,00%</t>
        </is>
      </c>
      <c r="CT246" s="236" t="inlineStr">
        <is>
          <t>18</t>
        </is>
      </c>
      <c r="CU246" s="237" t="inlineStr">
        <is>
          <t/>
        </is>
      </c>
      <c r="CV246" s="238" t="inlineStr">
        <is>
          <t/>
        </is>
      </c>
      <c r="CW246" s="239" t="inlineStr">
        <is>
          <t>2,14x</t>
        </is>
      </c>
      <c r="CX246" s="240" t="inlineStr">
        <is>
          <t>65</t>
        </is>
      </c>
      <c r="CY246" s="241" t="inlineStr">
        <is>
          <t>0,05x</t>
        </is>
      </c>
      <c r="CZ246" s="242" t="inlineStr">
        <is>
          <t>2,57%</t>
        </is>
      </c>
      <c r="DA246" s="243" t="inlineStr">
        <is>
          <t>3,60x</t>
        </is>
      </c>
      <c r="DB246" s="244" t="inlineStr">
        <is>
          <t>76</t>
        </is>
      </c>
      <c r="DC246" s="245" t="inlineStr">
        <is>
          <t>0,68x</t>
        </is>
      </c>
      <c r="DD246" s="246" t="inlineStr">
        <is>
          <t>41</t>
        </is>
      </c>
      <c r="DE246" s="247" t="inlineStr">
        <is>
          <t>1,12x</t>
        </is>
      </c>
      <c r="DF246" s="248" t="inlineStr">
        <is>
          <t>53</t>
        </is>
      </c>
      <c r="DG246" s="249" t="inlineStr">
        <is>
          <t>6,08x</t>
        </is>
      </c>
      <c r="DH246" s="250" t="inlineStr">
        <is>
          <t>81</t>
        </is>
      </c>
      <c r="DI246" s="251" t="inlineStr">
        <is>
          <t>0,68x</t>
        </is>
      </c>
      <c r="DJ246" s="252" t="inlineStr">
        <is>
          <t>44</t>
        </is>
      </c>
      <c r="DK246" s="253" t="inlineStr">
        <is>
          <t/>
        </is>
      </c>
      <c r="DL246" s="254" t="inlineStr">
        <is>
          <t/>
        </is>
      </c>
      <c r="DM246" s="255" t="inlineStr">
        <is>
          <t>766</t>
        </is>
      </c>
      <c r="DN246" s="256" t="inlineStr">
        <is>
          <t>-228</t>
        </is>
      </c>
      <c r="DO246" s="257" t="inlineStr">
        <is>
          <t>-22,94%</t>
        </is>
      </c>
      <c r="DP246" s="258" t="inlineStr">
        <is>
          <t>548</t>
        </is>
      </c>
      <c r="DQ246" s="259" t="inlineStr">
        <is>
          <t>0</t>
        </is>
      </c>
      <c r="DR246" s="260" t="inlineStr">
        <is>
          <t>0,00%</t>
        </is>
      </c>
      <c r="DS246" s="261" t="inlineStr">
        <is>
          <t>218</t>
        </is>
      </c>
      <c r="DT246" s="262" t="inlineStr">
        <is>
          <t>-1</t>
        </is>
      </c>
      <c r="DU246" s="263" t="inlineStr">
        <is>
          <t>-0,46%</t>
        </is>
      </c>
      <c r="DV246" s="264" t="inlineStr">
        <is>
          <t/>
        </is>
      </c>
      <c r="DW246" s="265" t="inlineStr">
        <is>
          <t/>
        </is>
      </c>
      <c r="DX246" s="266" t="inlineStr">
        <is>
          <t/>
        </is>
      </c>
      <c r="DY246" s="267" t="inlineStr">
        <is>
          <t>PitchBook Research</t>
        </is>
      </c>
      <c r="DZ246" s="786">
        <f>HYPERLINK("https://my.pitchbook.com?c=57962-44", "View company online")</f>
      </c>
    </row>
    <row r="247">
      <c r="A247" s="9" t="inlineStr">
        <is>
          <t>65095-48</t>
        </is>
      </c>
      <c r="B247" s="10" t="inlineStr">
        <is>
          <t>Juniqe</t>
        </is>
      </c>
      <c r="C247" s="11" t="inlineStr">
        <is>
          <t/>
        </is>
      </c>
      <c r="D247" s="12" t="inlineStr">
        <is>
          <t/>
        </is>
      </c>
      <c r="E247" s="13" t="inlineStr">
        <is>
          <t>65095-48</t>
        </is>
      </c>
      <c r="F247" s="14" t="inlineStr">
        <is>
          <t>Provider of an online marketplace for art, apparel and home accessories. The company provides a retail marketplace to sells wall art, stationery, frames, prints, clothes, bags, watches, bed linens, cushions and phone cases through its online platform.</t>
        </is>
      </c>
      <c r="G247" s="15" t="inlineStr">
        <is>
          <t>Consumer Products and Services (B2C)</t>
        </is>
      </c>
      <c r="H247" s="16" t="inlineStr">
        <is>
          <t>Retail</t>
        </is>
      </c>
      <c r="I247" s="17" t="inlineStr">
        <is>
          <t>Internet Retail</t>
        </is>
      </c>
      <c r="J247" s="18" t="inlineStr">
        <is>
          <t>Internet Retail*; Specialty Retail; Social/Platform Software</t>
        </is>
      </c>
      <c r="K247" s="19" t="inlineStr">
        <is>
          <t>E-Commerce</t>
        </is>
      </c>
      <c r="L247" s="20" t="inlineStr">
        <is>
          <t>Venture Capital-Backed</t>
        </is>
      </c>
      <c r="M247" s="21" t="n">
        <v>20.8</v>
      </c>
      <c r="N247" s="22" t="inlineStr">
        <is>
          <t>Generating Revenue</t>
        </is>
      </c>
      <c r="O247" s="23" t="inlineStr">
        <is>
          <t>Privately Held (backing)</t>
        </is>
      </c>
      <c r="P247" s="24" t="inlineStr">
        <is>
          <t>Venture Capital</t>
        </is>
      </c>
      <c r="Q247" s="25" t="inlineStr">
        <is>
          <t>www.juniqe.com</t>
        </is>
      </c>
      <c r="R247" s="26" t="n">
        <v>64.0</v>
      </c>
      <c r="S247" s="27" t="inlineStr">
        <is>
          <t/>
        </is>
      </c>
      <c r="T247" s="28" t="inlineStr">
        <is>
          <t/>
        </is>
      </c>
      <c r="U247" s="29" t="n">
        <v>2013.0</v>
      </c>
      <c r="V247" s="30" t="inlineStr">
        <is>
          <t/>
        </is>
      </c>
      <c r="W247" s="31" t="inlineStr">
        <is>
          <t/>
        </is>
      </c>
      <c r="X247" s="32" t="inlineStr">
        <is>
          <t/>
        </is>
      </c>
      <c r="Y247" s="33" t="inlineStr">
        <is>
          <t/>
        </is>
      </c>
      <c r="Z247" s="34" t="inlineStr">
        <is>
          <t/>
        </is>
      </c>
      <c r="AA247" s="35" t="inlineStr">
        <is>
          <t/>
        </is>
      </c>
      <c r="AB247" s="36" t="inlineStr">
        <is>
          <t/>
        </is>
      </c>
      <c r="AC247" s="37" t="inlineStr">
        <is>
          <t/>
        </is>
      </c>
      <c r="AD247" s="38" t="inlineStr">
        <is>
          <t/>
        </is>
      </c>
      <c r="AE247" s="39" t="inlineStr">
        <is>
          <t>73178-65P</t>
        </is>
      </c>
      <c r="AF247" s="40" t="inlineStr">
        <is>
          <t>Marc Pohl</t>
        </is>
      </c>
      <c r="AG247" s="41" t="inlineStr">
        <is>
          <t>Managing Director &amp; Co-Founder</t>
        </is>
      </c>
      <c r="AH247" s="42" t="inlineStr">
        <is>
          <t>marc@juniqe.com</t>
        </is>
      </c>
      <c r="AI247" s="43" t="inlineStr">
        <is>
          <t>+49 (0)30 9203 3121</t>
        </is>
      </c>
      <c r="AJ247" s="44" t="inlineStr">
        <is>
          <t>Berlin, Germany</t>
        </is>
      </c>
      <c r="AK247" s="45" t="inlineStr">
        <is>
          <t>Köpenicker Straße 126</t>
        </is>
      </c>
      <c r="AL247" s="46" t="inlineStr">
        <is>
          <t/>
        </is>
      </c>
      <c r="AM247" s="47" t="inlineStr">
        <is>
          <t>Berlin</t>
        </is>
      </c>
      <c r="AN247" s="48" t="inlineStr">
        <is>
          <t/>
        </is>
      </c>
      <c r="AO247" s="49" t="inlineStr">
        <is>
          <t>10179</t>
        </is>
      </c>
      <c r="AP247" s="50" t="inlineStr">
        <is>
          <t>Germany</t>
        </is>
      </c>
      <c r="AQ247" s="51" t="inlineStr">
        <is>
          <t>+49 (0)30 9203 3121</t>
        </is>
      </c>
      <c r="AR247" s="52" t="inlineStr">
        <is>
          <t/>
        </is>
      </c>
      <c r="AS247" s="53" t="inlineStr">
        <is>
          <t>service@juniqe.com</t>
        </is>
      </c>
      <c r="AT247" s="54" t="inlineStr">
        <is>
          <t>Europe</t>
        </is>
      </c>
      <c r="AU247" s="55" t="inlineStr">
        <is>
          <t>Western Europe</t>
        </is>
      </c>
      <c r="AV247" s="56" t="inlineStr">
        <is>
          <t>The company raised an undisclosed amount of venture funding from German Startups Group on October 17, 2016. Previously, Angelfund.vc sold its stake in the company on an undisclosed date. Previously, the company raised EUR 14 million of Series B venture funding led by Highland Europe on June 21, 2016.</t>
        </is>
      </c>
      <c r="AW247" s="57" t="inlineStr">
        <is>
          <t>CEWE Stiftung &amp; Company, German Startups Group, Heiko Rauch, Highland Capital Partners Europe, High-Tech Gründerfonds, Redalpine Venture Partners, Vorwerk Ventures</t>
        </is>
      </c>
      <c r="AX247" s="58" t="n">
        <v>7.0</v>
      </c>
      <c r="AY247" s="59" t="inlineStr">
        <is>
          <t/>
        </is>
      </c>
      <c r="AZ247" s="60" t="inlineStr">
        <is>
          <t>angelfund.vc</t>
        </is>
      </c>
      <c r="BA247" s="61" t="inlineStr">
        <is>
          <t/>
        </is>
      </c>
      <c r="BB247" s="62" t="inlineStr">
        <is>
          <t>CEWE Stiftung &amp; Company (www.cewe.de), German Startups Group (www.german-startups.com), Highland Capital Partners Europe (www.highlandeurope.com), High-Tech Gründerfonds (www.high-tech-gruenderfonds.de), Redalpine Venture Partners (www.redalpine.com)</t>
        </is>
      </c>
      <c r="BC247" s="63" t="inlineStr">
        <is>
          <t>angelfund.vc (angelfund.vc)</t>
        </is>
      </c>
      <c r="BD247" s="64" t="inlineStr">
        <is>
          <t/>
        </is>
      </c>
      <c r="BE247" s="65" t="inlineStr">
        <is>
          <t/>
        </is>
      </c>
      <c r="BF247" s="66" t="inlineStr">
        <is>
          <t/>
        </is>
      </c>
      <c r="BG247" s="67" t="n">
        <v>41821.0</v>
      </c>
      <c r="BH247" s="68" t="n">
        <v>1.8</v>
      </c>
      <c r="BI247" s="69" t="inlineStr">
        <is>
          <t>Actual</t>
        </is>
      </c>
      <c r="BJ247" s="70" t="inlineStr">
        <is>
          <t/>
        </is>
      </c>
      <c r="BK247" s="71" t="inlineStr">
        <is>
          <t/>
        </is>
      </c>
      <c r="BL247" s="72" t="inlineStr">
        <is>
          <t>Early Stage VC</t>
        </is>
      </c>
      <c r="BM247" s="73" t="inlineStr">
        <is>
          <t>Series A</t>
        </is>
      </c>
      <c r="BN247" s="74" t="inlineStr">
        <is>
          <t/>
        </is>
      </c>
      <c r="BO247" s="75" t="inlineStr">
        <is>
          <t>Venture Capital</t>
        </is>
      </c>
      <c r="BP247" s="76" t="inlineStr">
        <is>
          <t/>
        </is>
      </c>
      <c r="BQ247" s="77" t="inlineStr">
        <is>
          <t/>
        </is>
      </c>
      <c r="BR247" s="78" t="inlineStr">
        <is>
          <t/>
        </is>
      </c>
      <c r="BS247" s="79" t="inlineStr">
        <is>
          <t>Completed</t>
        </is>
      </c>
      <c r="BT247" s="80" t="n">
        <v>42660.0</v>
      </c>
      <c r="BU247" s="81" t="inlineStr">
        <is>
          <t/>
        </is>
      </c>
      <c r="BV247" s="82" t="inlineStr">
        <is>
          <t/>
        </is>
      </c>
      <c r="BW247" s="83" t="inlineStr">
        <is>
          <t/>
        </is>
      </c>
      <c r="BX247" s="84" t="inlineStr">
        <is>
          <t/>
        </is>
      </c>
      <c r="BY247" s="85" t="inlineStr">
        <is>
          <t>Early Stage VC</t>
        </is>
      </c>
      <c r="BZ247" s="86" t="inlineStr">
        <is>
          <t/>
        </is>
      </c>
      <c r="CA247" s="87" t="inlineStr">
        <is>
          <t/>
        </is>
      </c>
      <c r="CB247" s="88" t="inlineStr">
        <is>
          <t>Venture Capital</t>
        </is>
      </c>
      <c r="CC247" s="89" t="inlineStr">
        <is>
          <t/>
        </is>
      </c>
      <c r="CD247" s="90" t="inlineStr">
        <is>
          <t/>
        </is>
      </c>
      <c r="CE247" s="91" t="inlineStr">
        <is>
          <t/>
        </is>
      </c>
      <c r="CF247" s="92" t="inlineStr">
        <is>
          <t>Completed</t>
        </is>
      </c>
      <c r="CG247" s="93" t="inlineStr">
        <is>
          <t>-0,09%</t>
        </is>
      </c>
      <c r="CH247" s="94" t="inlineStr">
        <is>
          <t>15</t>
        </is>
      </c>
      <c r="CI247" s="95" t="inlineStr">
        <is>
          <t>0,00%</t>
        </is>
      </c>
      <c r="CJ247" s="96" t="inlineStr">
        <is>
          <t>-3,39%</t>
        </is>
      </c>
      <c r="CK247" s="97" t="inlineStr">
        <is>
          <t>-0,39%</t>
        </is>
      </c>
      <c r="CL247" s="98" t="inlineStr">
        <is>
          <t>13</t>
        </is>
      </c>
      <c r="CM247" s="99" t="inlineStr">
        <is>
          <t>0,22%</t>
        </is>
      </c>
      <c r="CN247" s="100" t="inlineStr">
        <is>
          <t>75</t>
        </is>
      </c>
      <c r="CO247" s="101" t="inlineStr">
        <is>
          <t>-0,43%</t>
        </is>
      </c>
      <c r="CP247" s="102" t="inlineStr">
        <is>
          <t>23</t>
        </is>
      </c>
      <c r="CQ247" s="103" t="inlineStr">
        <is>
          <t>-0,35%</t>
        </is>
      </c>
      <c r="CR247" s="104" t="inlineStr">
        <is>
          <t>9</t>
        </is>
      </c>
      <c r="CS247" s="105" t="inlineStr">
        <is>
          <t>0,24%</t>
        </is>
      </c>
      <c r="CT247" s="106" t="inlineStr">
        <is>
          <t>74</t>
        </is>
      </c>
      <c r="CU247" s="107" t="inlineStr">
        <is>
          <t>0,19%</t>
        </is>
      </c>
      <c r="CV247" s="108" t="inlineStr">
        <is>
          <t>77</t>
        </is>
      </c>
      <c r="CW247" s="109" t="inlineStr">
        <is>
          <t>214,17x</t>
        </is>
      </c>
      <c r="CX247" s="110" t="inlineStr">
        <is>
          <t>99</t>
        </is>
      </c>
      <c r="CY247" s="111" t="inlineStr">
        <is>
          <t>4,99x</t>
        </is>
      </c>
      <c r="CZ247" s="112" t="inlineStr">
        <is>
          <t>2,38%</t>
        </is>
      </c>
      <c r="DA247" s="113" t="inlineStr">
        <is>
          <t>26,73x</t>
        </is>
      </c>
      <c r="DB247" s="114" t="inlineStr">
        <is>
          <t>94</t>
        </is>
      </c>
      <c r="DC247" s="115" t="inlineStr">
        <is>
          <t>401,60x</t>
        </is>
      </c>
      <c r="DD247" s="116" t="inlineStr">
        <is>
          <t>99</t>
        </is>
      </c>
      <c r="DE247" s="117" t="inlineStr">
        <is>
          <t>29,38x</t>
        </is>
      </c>
      <c r="DF247" s="118" t="inlineStr">
        <is>
          <t>91</t>
        </is>
      </c>
      <c r="DG247" s="119" t="inlineStr">
        <is>
          <t>24,08x</t>
        </is>
      </c>
      <c r="DH247" s="120" t="inlineStr">
        <is>
          <t>94</t>
        </is>
      </c>
      <c r="DI247" s="121" t="inlineStr">
        <is>
          <t>797,13x</t>
        </is>
      </c>
      <c r="DJ247" s="122" t="inlineStr">
        <is>
          <t>99</t>
        </is>
      </c>
      <c r="DK247" s="123" t="inlineStr">
        <is>
          <t>6,07x</t>
        </is>
      </c>
      <c r="DL247" s="124" t="inlineStr">
        <is>
          <t>81</t>
        </is>
      </c>
      <c r="DM247" s="125" t="inlineStr">
        <is>
          <t>18.169</t>
        </is>
      </c>
      <c r="DN247" s="126" t="inlineStr">
        <is>
          <t>-301</t>
        </is>
      </c>
      <c r="DO247" s="127" t="inlineStr">
        <is>
          <t>-1,63%</t>
        </is>
      </c>
      <c r="DP247" s="128" t="inlineStr">
        <is>
          <t>635.903</t>
        </is>
      </c>
      <c r="DQ247" s="129" t="inlineStr">
        <is>
          <t>1.749</t>
        </is>
      </c>
      <c r="DR247" s="130" t="inlineStr">
        <is>
          <t>0,28%</t>
        </is>
      </c>
      <c r="DS247" s="131" t="inlineStr">
        <is>
          <t>869</t>
        </is>
      </c>
      <c r="DT247" s="132" t="inlineStr">
        <is>
          <t>-8</t>
        </is>
      </c>
      <c r="DU247" s="133" t="inlineStr">
        <is>
          <t>-0,91%</t>
        </is>
      </c>
      <c r="DV247" s="134" t="inlineStr">
        <is>
          <t>2.077</t>
        </is>
      </c>
      <c r="DW247" s="135" t="inlineStr">
        <is>
          <t>6</t>
        </is>
      </c>
      <c r="DX247" s="136" t="inlineStr">
        <is>
          <t>0,29%</t>
        </is>
      </c>
      <c r="DY247" s="137" t="inlineStr">
        <is>
          <t>PitchBook Research</t>
        </is>
      </c>
      <c r="DZ247" s="785">
        <f>HYPERLINK("https://my.pitchbook.com?c=65095-48", "View company online")</f>
      </c>
    </row>
    <row r="248">
      <c r="A248" s="139" t="inlineStr">
        <is>
          <t>112159-45</t>
        </is>
      </c>
      <c r="B248" s="140" t="inlineStr">
        <is>
          <t>Kahoot</t>
        </is>
      </c>
      <c r="C248" s="141" t="inlineStr">
        <is>
          <t>Lecture Quiz</t>
        </is>
      </c>
      <c r="D248" s="142" t="inlineStr">
        <is>
          <t/>
        </is>
      </c>
      <c r="E248" s="143" t="inlineStr">
        <is>
          <t>112159-45</t>
        </is>
      </c>
      <c r="F248" s="144" t="inlineStr">
        <is>
          <t>Provider of a game-based learning platform designed to help teachers create tailored quizzes and exams. The company's learning platform helps teachers create a fun, social and game-like environment in the classroom by sharing interactive educational games for any subject or discussion topic in any language, enabling teachers to engage their student in a new and enjoyable way.</t>
        </is>
      </c>
      <c r="G248" s="145" t="inlineStr">
        <is>
          <t>Information Technology</t>
        </is>
      </c>
      <c r="H248" s="146" t="inlineStr">
        <is>
          <t>Software</t>
        </is>
      </c>
      <c r="I248" s="147" t="inlineStr">
        <is>
          <t>Educational Software</t>
        </is>
      </c>
      <c r="J248" s="148" t="inlineStr">
        <is>
          <t>Educational Software*; Entertainment Software; Social/Platform Software</t>
        </is>
      </c>
      <c r="K248" s="149" t="inlineStr">
        <is>
          <t>EdTech, Mobile, SaaS</t>
        </is>
      </c>
      <c r="L248" s="150" t="inlineStr">
        <is>
          <t>Venture Capital-Backed</t>
        </is>
      </c>
      <c r="M248" s="151" t="n">
        <v>23.17</v>
      </c>
      <c r="N248" s="152" t="inlineStr">
        <is>
          <t>Generating Revenue/Not Profitable</t>
        </is>
      </c>
      <c r="O248" s="153" t="inlineStr">
        <is>
          <t>Privately Held (backing)</t>
        </is>
      </c>
      <c r="P248" s="154" t="inlineStr">
        <is>
          <t>Venture Capital</t>
        </is>
      </c>
      <c r="Q248" s="155" t="inlineStr">
        <is>
          <t>www.kahoot.com</t>
        </is>
      </c>
      <c r="R248" s="156" t="n">
        <v>55.0</v>
      </c>
      <c r="S248" s="157" t="inlineStr">
        <is>
          <t/>
        </is>
      </c>
      <c r="T248" s="158" t="inlineStr">
        <is>
          <t/>
        </is>
      </c>
      <c r="U248" s="159" t="n">
        <v>2012.0</v>
      </c>
      <c r="V248" s="160" t="inlineStr">
        <is>
          <t/>
        </is>
      </c>
      <c r="W248" s="161" t="inlineStr">
        <is>
          <t/>
        </is>
      </c>
      <c r="X248" s="162" t="inlineStr">
        <is>
          <t/>
        </is>
      </c>
      <c r="Y248" s="163" t="n">
        <v>0.3583</v>
      </c>
      <c r="Z248" s="164" t="inlineStr">
        <is>
          <t/>
        </is>
      </c>
      <c r="AA248" s="165" t="n">
        <v>-0.6523</v>
      </c>
      <c r="AB248" s="166" t="inlineStr">
        <is>
          <t/>
        </is>
      </c>
      <c r="AC248" s="167" t="n">
        <v>-0.87279</v>
      </c>
      <c r="AD248" s="168" t="inlineStr">
        <is>
          <t>FY 2015</t>
        </is>
      </c>
      <c r="AE248" s="169" t="inlineStr">
        <is>
          <t>146068-75P</t>
        </is>
      </c>
      <c r="AF248" s="170" t="inlineStr">
        <is>
          <t>Martin Kværnstuen</t>
        </is>
      </c>
      <c r="AG248" s="171" t="inlineStr">
        <is>
          <t>Chief Financial Officer</t>
        </is>
      </c>
      <c r="AH248" s="172" t="inlineStr">
        <is>
          <t>martin@getkahoot.com</t>
        </is>
      </c>
      <c r="AI248" s="173" t="inlineStr">
        <is>
          <t/>
        </is>
      </c>
      <c r="AJ248" s="174" t="inlineStr">
        <is>
          <t>Oslo, Norway</t>
        </is>
      </c>
      <c r="AK248" s="175" t="inlineStr">
        <is>
          <t>Tordenskiolds gate 6</t>
        </is>
      </c>
      <c r="AL248" s="176" t="inlineStr">
        <is>
          <t/>
        </is>
      </c>
      <c r="AM248" s="177" t="inlineStr">
        <is>
          <t>Oslo</t>
        </is>
      </c>
      <c r="AN248" s="178" t="inlineStr">
        <is>
          <t/>
        </is>
      </c>
      <c r="AO248" s="179" t="inlineStr">
        <is>
          <t>0160</t>
        </is>
      </c>
      <c r="AP248" s="180" t="inlineStr">
        <is>
          <t>Norway</t>
        </is>
      </c>
      <c r="AQ248" s="181" t="inlineStr">
        <is>
          <t/>
        </is>
      </c>
      <c r="AR248" s="182" t="inlineStr">
        <is>
          <t/>
        </is>
      </c>
      <c r="AS248" s="183" t="inlineStr">
        <is>
          <t>hello@getkahoot.com</t>
        </is>
      </c>
      <c r="AT248" s="184" t="inlineStr">
        <is>
          <t>Europe</t>
        </is>
      </c>
      <c r="AU248" s="185" t="inlineStr">
        <is>
          <t>Northern Europe</t>
        </is>
      </c>
      <c r="AV248" s="186" t="inlineStr">
        <is>
          <t>The company raised $20 million of Series A venture funding in a deal led by Creandum on July 19, 2017. Northzone Ventures, Microsoft Ventures and other new investors also participated in this round. The funding will be used by the company to develop additional game formats, strengthen the global team, product development, expansion of its commercial activities and launch new applications for brands, publishers and audiences in its game space.</t>
        </is>
      </c>
      <c r="AW248" s="187" t="inlineStr">
        <is>
          <t>Capital Factory, Creandum, Disney Accelerator, Microsoft Ventures, Northzone Ventures, Norwegian University of Science and Technology</t>
        </is>
      </c>
      <c r="AX248" s="188" t="n">
        <v>6.0</v>
      </c>
      <c r="AY248" s="189" t="inlineStr">
        <is>
          <t/>
        </is>
      </c>
      <c r="AZ248" s="190" t="inlineStr">
        <is>
          <t/>
        </is>
      </c>
      <c r="BA248" s="191" t="inlineStr">
        <is>
          <t/>
        </is>
      </c>
      <c r="BB248" s="192" t="inlineStr">
        <is>
          <t>Capital Factory (www.capitalfactory.com), Creandum (www.creandum.com), Disney Accelerator (disneyaccelerator.com), Microsoft Ventures (www.microsoftventures.com), Northzone Ventures (www.northzone.com), Norwegian University of Science and Technology (www.ntnu.no)</t>
        </is>
      </c>
      <c r="BC248" s="193" t="inlineStr">
        <is>
          <t/>
        </is>
      </c>
      <c r="BD248" s="194" t="inlineStr">
        <is>
          <t/>
        </is>
      </c>
      <c r="BE248" s="195" t="inlineStr">
        <is>
          <t>Deloitte (Auditor)</t>
        </is>
      </c>
      <c r="BF248" s="196" t="inlineStr">
        <is>
          <t/>
        </is>
      </c>
      <c r="BG248" s="197" t="n">
        <v>41229.0</v>
      </c>
      <c r="BH248" s="198" t="n">
        <v>0.11</v>
      </c>
      <c r="BI248" s="199" t="inlineStr">
        <is>
          <t>Actual</t>
        </is>
      </c>
      <c r="BJ248" s="200" t="inlineStr">
        <is>
          <t/>
        </is>
      </c>
      <c r="BK248" s="201" t="inlineStr">
        <is>
          <t/>
        </is>
      </c>
      <c r="BL248" s="202" t="inlineStr">
        <is>
          <t>Grant</t>
        </is>
      </c>
      <c r="BM248" s="203" t="inlineStr">
        <is>
          <t/>
        </is>
      </c>
      <c r="BN248" s="204" t="inlineStr">
        <is>
          <t/>
        </is>
      </c>
      <c r="BO248" s="205" t="inlineStr">
        <is>
          <t>Other</t>
        </is>
      </c>
      <c r="BP248" s="206" t="inlineStr">
        <is>
          <t/>
        </is>
      </c>
      <c r="BQ248" s="207" t="inlineStr">
        <is>
          <t/>
        </is>
      </c>
      <c r="BR248" s="208" t="inlineStr">
        <is>
          <t/>
        </is>
      </c>
      <c r="BS248" s="209" t="inlineStr">
        <is>
          <t>Completed</t>
        </is>
      </c>
      <c r="BT248" s="210" t="n">
        <v>42935.0</v>
      </c>
      <c r="BU248" s="211" t="n">
        <v>17.37</v>
      </c>
      <c r="BV248" s="212" t="inlineStr">
        <is>
          <t>Actual</t>
        </is>
      </c>
      <c r="BW248" s="213" t="inlineStr">
        <is>
          <t/>
        </is>
      </c>
      <c r="BX248" s="214" t="inlineStr">
        <is>
          <t/>
        </is>
      </c>
      <c r="BY248" s="215" t="inlineStr">
        <is>
          <t>Early Stage VC</t>
        </is>
      </c>
      <c r="BZ248" s="216" t="inlineStr">
        <is>
          <t>Series A</t>
        </is>
      </c>
      <c r="CA248" s="217" t="inlineStr">
        <is>
          <t/>
        </is>
      </c>
      <c r="CB248" s="218" t="inlineStr">
        <is>
          <t>Venture Capital</t>
        </is>
      </c>
      <c r="CC248" s="219" t="inlineStr">
        <is>
          <t/>
        </is>
      </c>
      <c r="CD248" s="220" t="inlineStr">
        <is>
          <t/>
        </is>
      </c>
      <c r="CE248" s="221" t="inlineStr">
        <is>
          <t/>
        </is>
      </c>
      <c r="CF248" s="222" t="inlineStr">
        <is>
          <t>Completed</t>
        </is>
      </c>
      <c r="CG248" s="223" t="inlineStr">
        <is>
          <t>2,56%</t>
        </is>
      </c>
      <c r="CH248" s="224" t="inlineStr">
        <is>
          <t>95</t>
        </is>
      </c>
      <c r="CI248" s="225" t="inlineStr">
        <is>
          <t>0,01%</t>
        </is>
      </c>
      <c r="CJ248" s="226" t="inlineStr">
        <is>
          <t>0,54%</t>
        </is>
      </c>
      <c r="CK248" s="227" t="inlineStr">
        <is>
          <t>4,29%</t>
        </is>
      </c>
      <c r="CL248" s="228" t="inlineStr">
        <is>
          <t>95</t>
        </is>
      </c>
      <c r="CM248" s="229" t="inlineStr">
        <is>
          <t>0,83%</t>
        </is>
      </c>
      <c r="CN248" s="230" t="inlineStr">
        <is>
          <t>95</t>
        </is>
      </c>
      <c r="CO248" s="231" t="inlineStr">
        <is>
          <t>4,29%</t>
        </is>
      </c>
      <c r="CP248" s="232" t="inlineStr">
        <is>
          <t>95</t>
        </is>
      </c>
      <c r="CQ248" s="233" t="inlineStr">
        <is>
          <t/>
        </is>
      </c>
      <c r="CR248" s="234" t="inlineStr">
        <is>
          <t/>
        </is>
      </c>
      <c r="CS248" s="235" t="inlineStr">
        <is>
          <t>0,96%</t>
        </is>
      </c>
      <c r="CT248" s="236" t="inlineStr">
        <is>
          <t>94</t>
        </is>
      </c>
      <c r="CU248" s="237" t="inlineStr">
        <is>
          <t>0,70%</t>
        </is>
      </c>
      <c r="CV248" s="238" t="inlineStr">
        <is>
          <t>95</t>
        </is>
      </c>
      <c r="CW248" s="239" t="inlineStr">
        <is>
          <t>714,44x</t>
        </is>
      </c>
      <c r="CX248" s="240" t="inlineStr">
        <is>
          <t>100</t>
        </is>
      </c>
      <c r="CY248" s="241" t="inlineStr">
        <is>
          <t>1,65x</t>
        </is>
      </c>
      <c r="CZ248" s="242" t="inlineStr">
        <is>
          <t>0,23%</t>
        </is>
      </c>
      <c r="DA248" s="243" t="inlineStr">
        <is>
          <t>1.310,82x</t>
        </is>
      </c>
      <c r="DB248" s="244" t="inlineStr">
        <is>
          <t>100</t>
        </is>
      </c>
      <c r="DC248" s="245" t="inlineStr">
        <is>
          <t>118,06x</t>
        </is>
      </c>
      <c r="DD248" s="246" t="inlineStr">
        <is>
          <t>97</t>
        </is>
      </c>
      <c r="DE248" s="247" t="inlineStr">
        <is>
          <t>1.310,82x</t>
        </is>
      </c>
      <c r="DF248" s="248" t="inlineStr">
        <is>
          <t>100</t>
        </is>
      </c>
      <c r="DG248" s="249" t="inlineStr">
        <is>
          <t/>
        </is>
      </c>
      <c r="DH248" s="250" t="inlineStr">
        <is>
          <t/>
        </is>
      </c>
      <c r="DI248" s="251" t="inlineStr">
        <is>
          <t>28,93x</t>
        </is>
      </c>
      <c r="DJ248" s="252" t="inlineStr">
        <is>
          <t>90</t>
        </is>
      </c>
      <c r="DK248" s="253" t="inlineStr">
        <is>
          <t>207,18x</t>
        </is>
      </c>
      <c r="DL248" s="254" t="inlineStr">
        <is>
          <t>99</t>
        </is>
      </c>
      <c r="DM248" s="255" t="inlineStr">
        <is>
          <t>794.225</t>
        </is>
      </c>
      <c r="DN248" s="256" t="inlineStr">
        <is>
          <t>35.784</t>
        </is>
      </c>
      <c r="DO248" s="257" t="inlineStr">
        <is>
          <t>4,72%</t>
        </is>
      </c>
      <c r="DP248" s="258" t="inlineStr">
        <is>
          <t>23.036</t>
        </is>
      </c>
      <c r="DQ248" s="259" t="inlineStr">
        <is>
          <t>231</t>
        </is>
      </c>
      <c r="DR248" s="260" t="inlineStr">
        <is>
          <t>1,01%</t>
        </is>
      </c>
      <c r="DS248" s="261" t="inlineStr">
        <is>
          <t/>
        </is>
      </c>
      <c r="DT248" s="262" t="inlineStr">
        <is>
          <t/>
        </is>
      </c>
      <c r="DU248" s="263" t="inlineStr">
        <is>
          <t/>
        </is>
      </c>
      <c r="DV248" s="264" t="inlineStr">
        <is>
          <t>70.796</t>
        </is>
      </c>
      <c r="DW248" s="265" t="inlineStr">
        <is>
          <t>549</t>
        </is>
      </c>
      <c r="DX248" s="266" t="inlineStr">
        <is>
          <t>0,78%</t>
        </is>
      </c>
      <c r="DY248" s="267" t="inlineStr">
        <is>
          <t>PitchBook Research</t>
        </is>
      </c>
      <c r="DZ248" s="786">
        <f>HYPERLINK("https://my.pitchbook.com?c=112159-45", "View company online")</f>
      </c>
    </row>
    <row r="249">
      <c r="A249" s="9" t="inlineStr">
        <is>
          <t>60807-52</t>
        </is>
      </c>
      <c r="B249" s="10" t="inlineStr">
        <is>
          <t>Kano</t>
        </is>
      </c>
      <c r="C249" s="11" t="inlineStr">
        <is>
          <t/>
        </is>
      </c>
      <c r="D249" s="12" t="inlineStr">
        <is>
          <t/>
        </is>
      </c>
      <c r="E249" s="13" t="inlineStr">
        <is>
          <t>60807-52</t>
        </is>
      </c>
      <c r="F249" s="14" t="inlineStr">
        <is>
          <t>Provider of computer and coding kits designed to to give young people a simple and fun way to make and play with technology. The company's computer and coding kits comes with a keyboard, memory card, casing, case modules, an operating system, multi-level games, a speaker and project books, enabling children to create and customize a small computer for coding projects and playing games.</t>
        </is>
      </c>
      <c r="G249" s="15" t="inlineStr">
        <is>
          <t>Consumer Products and Services (B2C)</t>
        </is>
      </c>
      <c r="H249" s="16" t="inlineStr">
        <is>
          <t>Consumer Durables</t>
        </is>
      </c>
      <c r="I249" s="17" t="inlineStr">
        <is>
          <t>Electronics (B2C)</t>
        </is>
      </c>
      <c r="J249" s="18" t="inlineStr">
        <is>
          <t>Electronics (B2C)*; Computers, Parts and Peripherals</t>
        </is>
      </c>
      <c r="K249" s="19" t="inlineStr">
        <is>
          <t/>
        </is>
      </c>
      <c r="L249" s="20" t="inlineStr">
        <is>
          <t>Venture Capital-Backed</t>
        </is>
      </c>
      <c r="M249" s="21" t="n">
        <v>14.09</v>
      </c>
      <c r="N249" s="22" t="inlineStr">
        <is>
          <t>Generating Revenue</t>
        </is>
      </c>
      <c r="O249" s="23" t="inlineStr">
        <is>
          <t>Privately Held (backing)</t>
        </is>
      </c>
      <c r="P249" s="24" t="inlineStr">
        <is>
          <t>Venture Capital</t>
        </is>
      </c>
      <c r="Q249" s="25" t="inlineStr">
        <is>
          <t>www.kano.me</t>
        </is>
      </c>
      <c r="R249" s="26" t="n">
        <v>46.0</v>
      </c>
      <c r="S249" s="27" t="inlineStr">
        <is>
          <t/>
        </is>
      </c>
      <c r="T249" s="28" t="inlineStr">
        <is>
          <t/>
        </is>
      </c>
      <c r="U249" s="29" t="n">
        <v>2013.0</v>
      </c>
      <c r="V249" s="30" t="inlineStr">
        <is>
          <t/>
        </is>
      </c>
      <c r="W249" s="31" t="inlineStr">
        <is>
          <t/>
        </is>
      </c>
      <c r="X249" s="32" t="inlineStr">
        <is>
          <t/>
        </is>
      </c>
      <c r="Y249" s="33" t="inlineStr">
        <is>
          <t/>
        </is>
      </c>
      <c r="Z249" s="34" t="inlineStr">
        <is>
          <t/>
        </is>
      </c>
      <c r="AA249" s="35" t="inlineStr">
        <is>
          <t/>
        </is>
      </c>
      <c r="AB249" s="36" t="inlineStr">
        <is>
          <t/>
        </is>
      </c>
      <c r="AC249" s="37" t="inlineStr">
        <is>
          <t/>
        </is>
      </c>
      <c r="AD249" s="38" t="inlineStr">
        <is>
          <t>FY 2014</t>
        </is>
      </c>
      <c r="AE249" s="39" t="inlineStr">
        <is>
          <t>69383-17P</t>
        </is>
      </c>
      <c r="AF249" s="40" t="inlineStr">
        <is>
          <t>Rebecca Sweetman</t>
        </is>
      </c>
      <c r="AG249" s="41" t="inlineStr">
        <is>
          <t>Vice President, Operations</t>
        </is>
      </c>
      <c r="AH249" s="42" t="inlineStr">
        <is>
          <t/>
        </is>
      </c>
      <c r="AI249" s="43" t="inlineStr">
        <is>
          <t/>
        </is>
      </c>
      <c r="AJ249" s="44" t="inlineStr">
        <is>
          <t>London, United Kingdom</t>
        </is>
      </c>
      <c r="AK249" s="45" t="inlineStr">
        <is>
          <t>69-79 Mile End Road</t>
        </is>
      </c>
      <c r="AL249" s="46" t="inlineStr">
        <is>
          <t/>
        </is>
      </c>
      <c r="AM249" s="47" t="inlineStr">
        <is>
          <t>London</t>
        </is>
      </c>
      <c r="AN249" s="48" t="inlineStr">
        <is>
          <t>England</t>
        </is>
      </c>
      <c r="AO249" s="49" t="inlineStr">
        <is>
          <t>E1 4TT</t>
        </is>
      </c>
      <c r="AP249" s="50" t="inlineStr">
        <is>
          <t>United Kingdom</t>
        </is>
      </c>
      <c r="AQ249" s="51" t="inlineStr">
        <is>
          <t/>
        </is>
      </c>
      <c r="AR249" s="52" t="inlineStr">
        <is>
          <t/>
        </is>
      </c>
      <c r="AS249" s="53" t="inlineStr">
        <is>
          <t>hello@kano.me</t>
        </is>
      </c>
      <c r="AT249" s="54" t="inlineStr">
        <is>
          <t>Europe</t>
        </is>
      </c>
      <c r="AU249" s="55" t="inlineStr">
        <is>
          <t>Western Europe</t>
        </is>
      </c>
      <c r="AV249" s="56" t="inlineStr">
        <is>
          <t>The company raised $643,030 of product crowdfunding via Kickstarter on October 27, 2016.</t>
        </is>
      </c>
      <c r="AW249" s="57" t="inlineStr">
        <is>
          <t>Breyer Capital, Collaborative Fund, Index Ventures (UK), James Bilefield, JamJar Investments, Jim O'Neill, LocalGlobe, Marc Benioff, Martin Sorrell, Robin Klein, Shana Fisher, Troy Carter</t>
        </is>
      </c>
      <c r="AX249" s="58" t="n">
        <v>12.0</v>
      </c>
      <c r="AY249" s="59" t="inlineStr">
        <is>
          <t/>
        </is>
      </c>
      <c r="AZ249" s="60" t="inlineStr">
        <is>
          <t/>
        </is>
      </c>
      <c r="BA249" s="61" t="inlineStr">
        <is>
          <t/>
        </is>
      </c>
      <c r="BB249" s="62" t="inlineStr">
        <is>
          <t>Breyer Capital (www.breyercapital.com), Collaborative Fund (www.collaborativefund.com), Index Ventures (UK) (www.indexventures.com), JamJar Investments (www.jamjarinvestments.com), LocalGlobe (www.localglobe.vc), Robin Klein (www.the-accelerator.blogspot.com), Troy Carter (atomfactory.com)</t>
        </is>
      </c>
      <c r="BC249" s="63" t="inlineStr">
        <is>
          <t/>
        </is>
      </c>
      <c r="BD249" s="64" t="inlineStr">
        <is>
          <t/>
        </is>
      </c>
      <c r="BE249" s="65" t="inlineStr">
        <is>
          <t>JAG Shaw Baker (Legal Advisor), Future Fifty (Consulting), Upscale UK (Consulting)</t>
        </is>
      </c>
      <c r="BF249" s="66" t="inlineStr">
        <is>
          <t>Kickstarter (Lead Manager or Arranger)</t>
        </is>
      </c>
      <c r="BG249" s="67" t="n">
        <v>41297.0</v>
      </c>
      <c r="BH249" s="68" t="n">
        <v>0.66</v>
      </c>
      <c r="BI249" s="69" t="inlineStr">
        <is>
          <t>Actual</t>
        </is>
      </c>
      <c r="BJ249" s="70" t="inlineStr">
        <is>
          <t/>
        </is>
      </c>
      <c r="BK249" s="71" t="inlineStr">
        <is>
          <t/>
        </is>
      </c>
      <c r="BL249" s="72" t="inlineStr">
        <is>
          <t>Seed Round</t>
        </is>
      </c>
      <c r="BM249" s="73" t="inlineStr">
        <is>
          <t>Seed</t>
        </is>
      </c>
      <c r="BN249" s="74" t="inlineStr">
        <is>
          <t/>
        </is>
      </c>
      <c r="BO249" s="75" t="inlineStr">
        <is>
          <t>Venture Capital</t>
        </is>
      </c>
      <c r="BP249" s="76" t="inlineStr">
        <is>
          <t/>
        </is>
      </c>
      <c r="BQ249" s="77" t="inlineStr">
        <is>
          <t/>
        </is>
      </c>
      <c r="BR249" s="78" t="inlineStr">
        <is>
          <t/>
        </is>
      </c>
      <c r="BS249" s="79" t="inlineStr">
        <is>
          <t>Completed</t>
        </is>
      </c>
      <c r="BT249" s="80" t="n">
        <v>42670.0</v>
      </c>
      <c r="BU249" s="81" t="n">
        <v>0.58</v>
      </c>
      <c r="BV249" s="82" t="inlineStr">
        <is>
          <t>Actual</t>
        </is>
      </c>
      <c r="BW249" s="83" t="inlineStr">
        <is>
          <t/>
        </is>
      </c>
      <c r="BX249" s="84" t="inlineStr">
        <is>
          <t/>
        </is>
      </c>
      <c r="BY249" s="85" t="inlineStr">
        <is>
          <t>Product Crowdfunding</t>
        </is>
      </c>
      <c r="BZ249" s="86" t="inlineStr">
        <is>
          <t/>
        </is>
      </c>
      <c r="CA249" s="87" t="inlineStr">
        <is>
          <t/>
        </is>
      </c>
      <c r="CB249" s="88" t="inlineStr">
        <is>
          <t>Individual</t>
        </is>
      </c>
      <c r="CC249" s="89" t="inlineStr">
        <is>
          <t/>
        </is>
      </c>
      <c r="CD249" s="90" t="inlineStr">
        <is>
          <t/>
        </is>
      </c>
      <c r="CE249" s="91" t="inlineStr">
        <is>
          <t/>
        </is>
      </c>
      <c r="CF249" s="92" t="inlineStr">
        <is>
          <t>Completed</t>
        </is>
      </c>
      <c r="CG249" s="93" t="inlineStr">
        <is>
          <t>1,57%</t>
        </is>
      </c>
      <c r="CH249" s="94" t="inlineStr">
        <is>
          <t>92</t>
        </is>
      </c>
      <c r="CI249" s="95" t="inlineStr">
        <is>
          <t>-0,06%</t>
        </is>
      </c>
      <c r="CJ249" s="96" t="inlineStr">
        <is>
          <t>-3,91%</t>
        </is>
      </c>
      <c r="CK249" s="97" t="inlineStr">
        <is>
          <t>2,33%</t>
        </is>
      </c>
      <c r="CL249" s="98" t="inlineStr">
        <is>
          <t>92</t>
        </is>
      </c>
      <c r="CM249" s="99" t="inlineStr">
        <is>
          <t>0,82%</t>
        </is>
      </c>
      <c r="CN249" s="100" t="inlineStr">
        <is>
          <t>95</t>
        </is>
      </c>
      <c r="CO249" s="101" t="inlineStr">
        <is>
          <t>2,33%</t>
        </is>
      </c>
      <c r="CP249" s="102" t="inlineStr">
        <is>
          <t>90</t>
        </is>
      </c>
      <c r="CQ249" s="103" t="inlineStr">
        <is>
          <t/>
        </is>
      </c>
      <c r="CR249" s="104" t="inlineStr">
        <is>
          <t/>
        </is>
      </c>
      <c r="CS249" s="105" t="inlineStr">
        <is>
          <t>0,28%</t>
        </is>
      </c>
      <c r="CT249" s="106" t="inlineStr">
        <is>
          <t>77</t>
        </is>
      </c>
      <c r="CU249" s="107" t="inlineStr">
        <is>
          <t>1,36%</t>
        </is>
      </c>
      <c r="CV249" s="108" t="inlineStr">
        <is>
          <t>98</t>
        </is>
      </c>
      <c r="CW249" s="109" t="inlineStr">
        <is>
          <t>74,42x</t>
        </is>
      </c>
      <c r="CX249" s="110" t="inlineStr">
        <is>
          <t>97</t>
        </is>
      </c>
      <c r="CY249" s="111" t="inlineStr">
        <is>
          <t>0,76x</t>
        </is>
      </c>
      <c r="CZ249" s="112" t="inlineStr">
        <is>
          <t>1,04%</t>
        </is>
      </c>
      <c r="DA249" s="113" t="inlineStr">
        <is>
          <t>75,04x</t>
        </is>
      </c>
      <c r="DB249" s="114" t="inlineStr">
        <is>
          <t>97</t>
        </is>
      </c>
      <c r="DC249" s="115" t="inlineStr">
        <is>
          <t>73,80x</t>
        </is>
      </c>
      <c r="DD249" s="116" t="inlineStr">
        <is>
          <t>96</t>
        </is>
      </c>
      <c r="DE249" s="117" t="inlineStr">
        <is>
          <t>75,04x</t>
        </is>
      </c>
      <c r="DF249" s="118" t="inlineStr">
        <is>
          <t>95</t>
        </is>
      </c>
      <c r="DG249" s="119" t="inlineStr">
        <is>
          <t/>
        </is>
      </c>
      <c r="DH249" s="120" t="inlineStr">
        <is>
          <t/>
        </is>
      </c>
      <c r="DI249" s="121" t="inlineStr">
        <is>
          <t>72,76x</t>
        </is>
      </c>
      <c r="DJ249" s="122" t="inlineStr">
        <is>
          <t>94</t>
        </is>
      </c>
      <c r="DK249" s="123" t="inlineStr">
        <is>
          <t>74,84x</t>
        </is>
      </c>
      <c r="DL249" s="124" t="inlineStr">
        <is>
          <t>97</t>
        </is>
      </c>
      <c r="DM249" s="125" t="inlineStr">
        <is>
          <t>49.105</t>
        </is>
      </c>
      <c r="DN249" s="126" t="inlineStr">
        <is>
          <t>-8.860</t>
        </is>
      </c>
      <c r="DO249" s="127" t="inlineStr">
        <is>
          <t>-15,29%</t>
        </is>
      </c>
      <c r="DP249" s="128" t="inlineStr">
        <is>
          <t>58.086</t>
        </is>
      </c>
      <c r="DQ249" s="129" t="inlineStr">
        <is>
          <t>45</t>
        </is>
      </c>
      <c r="DR249" s="130" t="inlineStr">
        <is>
          <t>0,08%</t>
        </is>
      </c>
      <c r="DS249" s="131" t="inlineStr">
        <is>
          <t/>
        </is>
      </c>
      <c r="DT249" s="132" t="inlineStr">
        <is>
          <t/>
        </is>
      </c>
      <c r="DU249" s="133" t="inlineStr">
        <is>
          <t/>
        </is>
      </c>
      <c r="DV249" s="134" t="inlineStr">
        <is>
          <t>25.674</t>
        </is>
      </c>
      <c r="DW249" s="135" t="inlineStr">
        <is>
          <t>-30</t>
        </is>
      </c>
      <c r="DX249" s="136" t="inlineStr">
        <is>
          <t>-0,12%</t>
        </is>
      </c>
      <c r="DY249" s="137" t="inlineStr">
        <is>
          <t>PitchBook Research</t>
        </is>
      </c>
      <c r="DZ249" s="785">
        <f>HYPERLINK("https://my.pitchbook.com?c=60807-52", "View company online")</f>
      </c>
    </row>
    <row r="250">
      <c r="A250" s="139" t="inlineStr">
        <is>
          <t>163722-61</t>
        </is>
      </c>
      <c r="B250" s="140" t="inlineStr">
        <is>
          <t>kapilendo</t>
        </is>
      </c>
      <c r="C250" s="141" t="inlineStr">
        <is>
          <t/>
        </is>
      </c>
      <c r="D250" s="142" t="inlineStr">
        <is>
          <t/>
        </is>
      </c>
      <c r="E250" s="143" t="inlineStr">
        <is>
          <t>163722-61</t>
        </is>
      </c>
      <c r="F250" s="144" t="inlineStr">
        <is>
          <t>Operator of an online loan marketplace that allows small and medium-sized enterprises to access financing services. The company offers combine crowd-lending with crowd-investing (or equity crowdfunding) services. It provides loans as well as investments in startup companies.</t>
        </is>
      </c>
      <c r="G250" s="145" t="inlineStr">
        <is>
          <t>Financial Services</t>
        </is>
      </c>
      <c r="H250" s="146" t="inlineStr">
        <is>
          <t>Other Financial Services</t>
        </is>
      </c>
      <c r="I250" s="147" t="inlineStr">
        <is>
          <t>Specialized Finance</t>
        </is>
      </c>
      <c r="J250" s="148" t="inlineStr">
        <is>
          <t>Specialized Finance*; Social/Platform Software</t>
        </is>
      </c>
      <c r="K250" s="149" t="inlineStr">
        <is>
          <t>FinTech</t>
        </is>
      </c>
      <c r="L250" s="150" t="inlineStr">
        <is>
          <t>Venture Capital-Backed</t>
        </is>
      </c>
      <c r="M250" s="151" t="n">
        <v>7.0</v>
      </c>
      <c r="N250" s="152" t="inlineStr">
        <is>
          <t>Generating Revenue</t>
        </is>
      </c>
      <c r="O250" s="153" t="inlineStr">
        <is>
          <t>Privately Held (backing)</t>
        </is>
      </c>
      <c r="P250" s="154" t="inlineStr">
        <is>
          <t>Venture Capital</t>
        </is>
      </c>
      <c r="Q250" s="155" t="inlineStr">
        <is>
          <t>www.kapilendo.de</t>
        </is>
      </c>
      <c r="R250" s="156" t="n">
        <v>20.0</v>
      </c>
      <c r="S250" s="157" t="inlineStr">
        <is>
          <t/>
        </is>
      </c>
      <c r="T250" s="158" t="inlineStr">
        <is>
          <t/>
        </is>
      </c>
      <c r="U250" s="159" t="n">
        <v>2015.0</v>
      </c>
      <c r="V250" s="160" t="inlineStr">
        <is>
          <t/>
        </is>
      </c>
      <c r="W250" s="161" t="inlineStr">
        <is>
          <t/>
        </is>
      </c>
      <c r="X250" s="162" t="inlineStr">
        <is>
          <t/>
        </is>
      </c>
      <c r="Y250" s="163" t="inlineStr">
        <is>
          <t/>
        </is>
      </c>
      <c r="Z250" s="164" t="inlineStr">
        <is>
          <t/>
        </is>
      </c>
      <c r="AA250" s="165" t="inlineStr">
        <is>
          <t/>
        </is>
      </c>
      <c r="AB250" s="166" t="inlineStr">
        <is>
          <t/>
        </is>
      </c>
      <c r="AC250" s="167" t="inlineStr">
        <is>
          <t/>
        </is>
      </c>
      <c r="AD250" s="168" t="inlineStr">
        <is>
          <t/>
        </is>
      </c>
      <c r="AE250" s="169" t="inlineStr">
        <is>
          <t>153493-12P</t>
        </is>
      </c>
      <c r="AF250" s="170" t="inlineStr">
        <is>
          <t>Ralph Pieper</t>
        </is>
      </c>
      <c r="AG250" s="171" t="inlineStr">
        <is>
          <t>Chief Financial Officer</t>
        </is>
      </c>
      <c r="AH250" s="172" t="inlineStr">
        <is>
          <t>ralph@kapilendo.de</t>
        </is>
      </c>
      <c r="AI250" s="173" t="inlineStr">
        <is>
          <t>+49 (0)30 3642 8570</t>
        </is>
      </c>
      <c r="AJ250" s="174" t="inlineStr">
        <is>
          <t>Berlin, Germany</t>
        </is>
      </c>
      <c r="AK250" s="175" t="inlineStr">
        <is>
          <t>Joachimsthaler Strasse 10</t>
        </is>
      </c>
      <c r="AL250" s="176" t="inlineStr">
        <is>
          <t/>
        </is>
      </c>
      <c r="AM250" s="177" t="inlineStr">
        <is>
          <t>Berlin</t>
        </is>
      </c>
      <c r="AN250" s="178" t="inlineStr">
        <is>
          <t/>
        </is>
      </c>
      <c r="AO250" s="179" t="inlineStr">
        <is>
          <t>10719</t>
        </is>
      </c>
      <c r="AP250" s="180" t="inlineStr">
        <is>
          <t>Germany</t>
        </is>
      </c>
      <c r="AQ250" s="181" t="inlineStr">
        <is>
          <t>+49 (0)30 3642 8570</t>
        </is>
      </c>
      <c r="AR250" s="182" t="inlineStr">
        <is>
          <t>+49 (0)30 3642 8579 8</t>
        </is>
      </c>
      <c r="AS250" s="183" t="inlineStr">
        <is>
          <t>info@kapilendo.de</t>
        </is>
      </c>
      <c r="AT250" s="184" t="inlineStr">
        <is>
          <t>Europe</t>
        </is>
      </c>
      <c r="AU250" s="185" t="inlineStr">
        <is>
          <t>Western Europe</t>
        </is>
      </c>
      <c r="AV250" s="186" t="inlineStr">
        <is>
          <t>The company raised EUR 7 million of Series B venture funding led by Versorgungswerk der Zahnarztekammer Berlin (VZ Berlin) with participation from FinLab AG and Comvest Partners.</t>
        </is>
      </c>
      <c r="AW250" s="187" t="inlineStr">
        <is>
          <t>Comvest Holding, Finlab, Versorgungswerk der Zahnärztekammer Berlin</t>
        </is>
      </c>
      <c r="AX250" s="188" t="n">
        <v>3.0</v>
      </c>
      <c r="AY250" s="189" t="inlineStr">
        <is>
          <t/>
        </is>
      </c>
      <c r="AZ250" s="190" t="inlineStr">
        <is>
          <t/>
        </is>
      </c>
      <c r="BA250" s="191" t="inlineStr">
        <is>
          <t/>
        </is>
      </c>
      <c r="BB250" s="192" t="inlineStr">
        <is>
          <t>Comvest Holding (www.comvest-holding.de), Finlab (www.finlab.de), Versorgungswerk der Zahnärztekammer Berlin (www.vzberlin.org)</t>
        </is>
      </c>
      <c r="BC250" s="193" t="inlineStr">
        <is>
          <t/>
        </is>
      </c>
      <c r="BD250" s="194" t="inlineStr">
        <is>
          <t/>
        </is>
      </c>
      <c r="BE250" s="195" t="inlineStr">
        <is>
          <t/>
        </is>
      </c>
      <c r="BF250" s="196" t="inlineStr">
        <is>
          <t/>
        </is>
      </c>
      <c r="BG250" s="197" t="n">
        <v>42726.0</v>
      </c>
      <c r="BH250" s="198" t="n">
        <v>7.0</v>
      </c>
      <c r="BI250" s="199" t="inlineStr">
        <is>
          <t>Actual</t>
        </is>
      </c>
      <c r="BJ250" s="200" t="inlineStr">
        <is>
          <t/>
        </is>
      </c>
      <c r="BK250" s="201" t="inlineStr">
        <is>
          <t/>
        </is>
      </c>
      <c r="BL250" s="202" t="inlineStr">
        <is>
          <t>Early Stage VC</t>
        </is>
      </c>
      <c r="BM250" s="203" t="inlineStr">
        <is>
          <t>Series B</t>
        </is>
      </c>
      <c r="BN250" s="204" t="inlineStr">
        <is>
          <t/>
        </is>
      </c>
      <c r="BO250" s="205" t="inlineStr">
        <is>
          <t>Venture Capital</t>
        </is>
      </c>
      <c r="BP250" s="206" t="inlineStr">
        <is>
          <t/>
        </is>
      </c>
      <c r="BQ250" s="207" t="inlineStr">
        <is>
          <t/>
        </is>
      </c>
      <c r="BR250" s="208" t="inlineStr">
        <is>
          <t/>
        </is>
      </c>
      <c r="BS250" s="209" t="inlineStr">
        <is>
          <t>Completed</t>
        </is>
      </c>
      <c r="BT250" s="210" t="n">
        <v>42726.0</v>
      </c>
      <c r="BU250" s="211" t="n">
        <v>7.0</v>
      </c>
      <c r="BV250" s="212" t="inlineStr">
        <is>
          <t>Actual</t>
        </is>
      </c>
      <c r="BW250" s="213" t="inlineStr">
        <is>
          <t/>
        </is>
      </c>
      <c r="BX250" s="214" t="inlineStr">
        <is>
          <t/>
        </is>
      </c>
      <c r="BY250" s="215" t="inlineStr">
        <is>
          <t>Early Stage VC</t>
        </is>
      </c>
      <c r="BZ250" s="216" t="inlineStr">
        <is>
          <t>Series B</t>
        </is>
      </c>
      <c r="CA250" s="217" t="inlineStr">
        <is>
          <t/>
        </is>
      </c>
      <c r="CB250" s="218" t="inlineStr">
        <is>
          <t>Venture Capital</t>
        </is>
      </c>
      <c r="CC250" s="219" t="inlineStr">
        <is>
          <t/>
        </is>
      </c>
      <c r="CD250" s="220" t="inlineStr">
        <is>
          <t/>
        </is>
      </c>
      <c r="CE250" s="221" t="inlineStr">
        <is>
          <t/>
        </is>
      </c>
      <c r="CF250" s="222" t="inlineStr">
        <is>
          <t>Completed</t>
        </is>
      </c>
      <c r="CG250" s="223" t="inlineStr">
        <is>
          <t>0,08%</t>
        </is>
      </c>
      <c r="CH250" s="224" t="inlineStr">
        <is>
          <t>72</t>
        </is>
      </c>
      <c r="CI250" s="225" t="inlineStr">
        <is>
          <t>-0,08%</t>
        </is>
      </c>
      <c r="CJ250" s="226" t="inlineStr">
        <is>
          <t>-50,85%</t>
        </is>
      </c>
      <c r="CK250" s="227" t="inlineStr">
        <is>
          <t>0,09%</t>
        </is>
      </c>
      <c r="CL250" s="228" t="inlineStr">
        <is>
          <t>80</t>
        </is>
      </c>
      <c r="CM250" s="229" t="inlineStr">
        <is>
          <t>0,06%</t>
        </is>
      </c>
      <c r="CN250" s="230" t="inlineStr">
        <is>
          <t>54</t>
        </is>
      </c>
      <c r="CO250" s="231" t="inlineStr">
        <is>
          <t>-0,30%</t>
        </is>
      </c>
      <c r="CP250" s="232" t="inlineStr">
        <is>
          <t>24</t>
        </is>
      </c>
      <c r="CQ250" s="233" t="inlineStr">
        <is>
          <t>0,49%</t>
        </is>
      </c>
      <c r="CR250" s="234" t="inlineStr">
        <is>
          <t>86</t>
        </is>
      </c>
      <c r="CS250" s="235" t="inlineStr">
        <is>
          <t>0,12%</t>
        </is>
      </c>
      <c r="CT250" s="236" t="inlineStr">
        <is>
          <t>61</t>
        </is>
      </c>
      <c r="CU250" s="237" t="inlineStr">
        <is>
          <t>0,00%</t>
        </is>
      </c>
      <c r="CV250" s="238" t="inlineStr">
        <is>
          <t>20</t>
        </is>
      </c>
      <c r="CW250" s="239" t="inlineStr">
        <is>
          <t>12,41x</t>
        </is>
      </c>
      <c r="CX250" s="240" t="inlineStr">
        <is>
          <t>88</t>
        </is>
      </c>
      <c r="CY250" s="241" t="inlineStr">
        <is>
          <t>0,19x</t>
        </is>
      </c>
      <c r="CZ250" s="242" t="inlineStr">
        <is>
          <t>1,53%</t>
        </is>
      </c>
      <c r="DA250" s="243" t="inlineStr">
        <is>
          <t>10,62x</t>
        </is>
      </c>
      <c r="DB250" s="244" t="inlineStr">
        <is>
          <t>88</t>
        </is>
      </c>
      <c r="DC250" s="245" t="inlineStr">
        <is>
          <t>14,21x</t>
        </is>
      </c>
      <c r="DD250" s="246" t="inlineStr">
        <is>
          <t>87</t>
        </is>
      </c>
      <c r="DE250" s="247" t="inlineStr">
        <is>
          <t>15,38x</t>
        </is>
      </c>
      <c r="DF250" s="248" t="inlineStr">
        <is>
          <t>87</t>
        </is>
      </c>
      <c r="DG250" s="249" t="inlineStr">
        <is>
          <t>5,86x</t>
        </is>
      </c>
      <c r="DH250" s="250" t="inlineStr">
        <is>
          <t>80</t>
        </is>
      </c>
      <c r="DI250" s="251" t="inlineStr">
        <is>
          <t>28,40x</t>
        </is>
      </c>
      <c r="DJ250" s="252" t="inlineStr">
        <is>
          <t>90</t>
        </is>
      </c>
      <c r="DK250" s="253" t="inlineStr">
        <is>
          <t>0,01x</t>
        </is>
      </c>
      <c r="DL250" s="254" t="inlineStr">
        <is>
          <t>2</t>
        </is>
      </c>
      <c r="DM250" s="255" t="inlineStr">
        <is>
          <t>10.313</t>
        </is>
      </c>
      <c r="DN250" s="256" t="inlineStr">
        <is>
          <t>-2.570</t>
        </is>
      </c>
      <c r="DO250" s="257" t="inlineStr">
        <is>
          <t>-19,95%</t>
        </is>
      </c>
      <c r="DP250" s="258" t="inlineStr">
        <is>
          <t>22.680</t>
        </is>
      </c>
      <c r="DQ250" s="259" t="inlineStr">
        <is>
          <t>15</t>
        </is>
      </c>
      <c r="DR250" s="260" t="inlineStr">
        <is>
          <t>0,07%</t>
        </is>
      </c>
      <c r="DS250" s="261" t="inlineStr">
        <is>
          <t>211</t>
        </is>
      </c>
      <c r="DT250" s="262" t="inlineStr">
        <is>
          <t>-1</t>
        </is>
      </c>
      <c r="DU250" s="263" t="inlineStr">
        <is>
          <t>-0,47%</t>
        </is>
      </c>
      <c r="DV250" s="264" t="inlineStr">
        <is>
          <t>5</t>
        </is>
      </c>
      <c r="DW250" s="265" t="inlineStr">
        <is>
          <t>0</t>
        </is>
      </c>
      <c r="DX250" s="266" t="inlineStr">
        <is>
          <t>0,00%</t>
        </is>
      </c>
      <c r="DY250" s="267" t="inlineStr">
        <is>
          <t>PitchBook Research</t>
        </is>
      </c>
      <c r="DZ250" s="786">
        <f>HYPERLINK("https://my.pitchbook.com?c=163722-61", "View company online")</f>
      </c>
    </row>
    <row r="251">
      <c r="A251" s="9" t="inlineStr">
        <is>
          <t>169687-90</t>
        </is>
      </c>
      <c r="B251" s="10" t="inlineStr">
        <is>
          <t>Kayrros</t>
        </is>
      </c>
      <c r="C251" s="11" t="inlineStr">
        <is>
          <t/>
        </is>
      </c>
      <c r="D251" s="12" t="inlineStr">
        <is>
          <t/>
        </is>
      </c>
      <c r="E251" s="13" t="inlineStr">
        <is>
          <t>169687-90</t>
        </is>
      </c>
      <c r="F251" s="14" t="inlineStr">
        <is>
          <t>Provider of predictive analytics created to increase efficiency for energy markets. The company's predictive analytics is integrating unstructured data such as satellite imagery and social news with large scale financial and technical data and then combines data science, machine learning and advanced mathematical models with deep industry knowledge enabling energy market players to take faster and better informed decisions.</t>
        </is>
      </c>
      <c r="G251" s="15" t="inlineStr">
        <is>
          <t>Information Technology</t>
        </is>
      </c>
      <c r="H251" s="16" t="inlineStr">
        <is>
          <t>Software</t>
        </is>
      </c>
      <c r="I251" s="17" t="inlineStr">
        <is>
          <t>Business/Productivity Software</t>
        </is>
      </c>
      <c r="J251" s="18" t="inlineStr">
        <is>
          <t>Business/Productivity Software*</t>
        </is>
      </c>
      <c r="K251" s="19" t="inlineStr">
        <is>
          <t>Artificial Intelligence &amp; Machine Learning, Big Data, FinTech</t>
        </is>
      </c>
      <c r="L251" s="20" t="inlineStr">
        <is>
          <t>Venture Capital-Backed</t>
        </is>
      </c>
      <c r="M251" s="21" t="n">
        <v>9.0</v>
      </c>
      <c r="N251" s="22" t="inlineStr">
        <is>
          <t>Product Development</t>
        </is>
      </c>
      <c r="O251" s="23" t="inlineStr">
        <is>
          <t>Privately Held (backing)</t>
        </is>
      </c>
      <c r="P251" s="24" t="inlineStr">
        <is>
          <t>Venture Capital</t>
        </is>
      </c>
      <c r="Q251" s="25" t="inlineStr">
        <is>
          <t>www.kayrros.com</t>
        </is>
      </c>
      <c r="R251" s="26" t="inlineStr">
        <is>
          <t/>
        </is>
      </c>
      <c r="S251" s="27" t="inlineStr">
        <is>
          <t/>
        </is>
      </c>
      <c r="T251" s="28" t="inlineStr">
        <is>
          <t/>
        </is>
      </c>
      <c r="U251" s="29" t="n">
        <v>2016.0</v>
      </c>
      <c r="V251" s="30" t="inlineStr">
        <is>
          <t/>
        </is>
      </c>
      <c r="W251" s="31" t="inlineStr">
        <is>
          <t/>
        </is>
      </c>
      <c r="X251" s="32" t="inlineStr">
        <is>
          <t/>
        </is>
      </c>
      <c r="Y251" s="33" t="inlineStr">
        <is>
          <t/>
        </is>
      </c>
      <c r="Z251" s="34" t="inlineStr">
        <is>
          <t/>
        </is>
      </c>
      <c r="AA251" s="35" t="inlineStr">
        <is>
          <t/>
        </is>
      </c>
      <c r="AB251" s="36" t="inlineStr">
        <is>
          <t/>
        </is>
      </c>
      <c r="AC251" s="37" t="inlineStr">
        <is>
          <t/>
        </is>
      </c>
      <c r="AD251" s="38" t="inlineStr">
        <is>
          <t/>
        </is>
      </c>
      <c r="AE251" s="39" t="inlineStr">
        <is>
          <t>154539-46P</t>
        </is>
      </c>
      <c r="AF251" s="40" t="inlineStr">
        <is>
          <t>Simone Pugliese</t>
        </is>
      </c>
      <c r="AG251" s="41" t="inlineStr">
        <is>
          <t>Chief Operating Officer</t>
        </is>
      </c>
      <c r="AH251" s="42" t="inlineStr">
        <is>
          <t>s.pugliese@kayrros.com</t>
        </is>
      </c>
      <c r="AI251" s="43" t="inlineStr">
        <is>
          <t/>
        </is>
      </c>
      <c r="AJ251" s="44" t="inlineStr">
        <is>
          <t>Paris, France</t>
        </is>
      </c>
      <c r="AK251" s="45" t="inlineStr">
        <is>
          <t>75 rue de Richelieu</t>
        </is>
      </c>
      <c r="AL251" s="46" t="inlineStr">
        <is>
          <t/>
        </is>
      </c>
      <c r="AM251" s="47" t="inlineStr">
        <is>
          <t>Paris</t>
        </is>
      </c>
      <c r="AN251" s="48" t="inlineStr">
        <is>
          <t/>
        </is>
      </c>
      <c r="AO251" s="49" t="inlineStr">
        <is>
          <t>75002</t>
        </is>
      </c>
      <c r="AP251" s="50" t="inlineStr">
        <is>
          <t>France</t>
        </is>
      </c>
      <c r="AQ251" s="51" t="inlineStr">
        <is>
          <t/>
        </is>
      </c>
      <c r="AR251" s="52" t="inlineStr">
        <is>
          <t/>
        </is>
      </c>
      <c r="AS251" s="53" t="inlineStr">
        <is>
          <t>contact@kayrros.com</t>
        </is>
      </c>
      <c r="AT251" s="54" t="inlineStr">
        <is>
          <t>Europe</t>
        </is>
      </c>
      <c r="AU251" s="55" t="inlineStr">
        <is>
          <t>Western Europe</t>
        </is>
      </c>
      <c r="AV251" s="56" t="inlineStr">
        <is>
          <t>The company raised EUR 9 million of Series A venture funding led by Index Ventures on January 11, 2017. Lord Browne and Marcel van Poecke also invested along with other undisclosed investors in this round. The company will use the funds to to accelerate the development and commercialization of its information products and recruit 40 new employees to its sales operations and add to its development teams in Paris, New York and the Bay Area.</t>
        </is>
      </c>
      <c r="AW251" s="57" t="inlineStr">
        <is>
          <t>Index Ventures (UK), Lord Browne, Marcel van Poecke</t>
        </is>
      </c>
      <c r="AX251" s="58" t="n">
        <v>3.0</v>
      </c>
      <c r="AY251" s="59" t="inlineStr">
        <is>
          <t/>
        </is>
      </c>
      <c r="AZ251" s="60" t="inlineStr">
        <is>
          <t/>
        </is>
      </c>
      <c r="BA251" s="61" t="inlineStr">
        <is>
          <t/>
        </is>
      </c>
      <c r="BB251" s="62" t="inlineStr">
        <is>
          <t>Index Ventures (UK) (www.indexventures.com)</t>
        </is>
      </c>
      <c r="BC251" s="63" t="inlineStr">
        <is>
          <t/>
        </is>
      </c>
      <c r="BD251" s="64" t="inlineStr">
        <is>
          <t/>
        </is>
      </c>
      <c r="BE251" s="65" t="inlineStr">
        <is>
          <t/>
        </is>
      </c>
      <c r="BF251" s="66" t="inlineStr">
        <is>
          <t/>
        </is>
      </c>
      <c r="BG251" s="67" t="n">
        <v>42746.0</v>
      </c>
      <c r="BH251" s="68" t="n">
        <v>9.0</v>
      </c>
      <c r="BI251" s="69" t="inlineStr">
        <is>
          <t>Actual</t>
        </is>
      </c>
      <c r="BJ251" s="70" t="inlineStr">
        <is>
          <t/>
        </is>
      </c>
      <c r="BK251" s="71" t="inlineStr">
        <is>
          <t/>
        </is>
      </c>
      <c r="BL251" s="72" t="inlineStr">
        <is>
          <t>Early Stage VC</t>
        </is>
      </c>
      <c r="BM251" s="73" t="inlineStr">
        <is>
          <t>Series A</t>
        </is>
      </c>
      <c r="BN251" s="74" t="inlineStr">
        <is>
          <t/>
        </is>
      </c>
      <c r="BO251" s="75" t="inlineStr">
        <is>
          <t>Venture Capital</t>
        </is>
      </c>
      <c r="BP251" s="76" t="inlineStr">
        <is>
          <t/>
        </is>
      </c>
      <c r="BQ251" s="77" t="inlineStr">
        <is>
          <t/>
        </is>
      </c>
      <c r="BR251" s="78" t="inlineStr">
        <is>
          <t/>
        </is>
      </c>
      <c r="BS251" s="79" t="inlineStr">
        <is>
          <t>Completed</t>
        </is>
      </c>
      <c r="BT251" s="80" t="n">
        <v>42746.0</v>
      </c>
      <c r="BU251" s="81" t="n">
        <v>9.0</v>
      </c>
      <c r="BV251" s="82" t="inlineStr">
        <is>
          <t>Actual</t>
        </is>
      </c>
      <c r="BW251" s="83" t="inlineStr">
        <is>
          <t/>
        </is>
      </c>
      <c r="BX251" s="84" t="inlineStr">
        <is>
          <t/>
        </is>
      </c>
      <c r="BY251" s="85" t="inlineStr">
        <is>
          <t>Early Stage VC</t>
        </is>
      </c>
      <c r="BZ251" s="86" t="inlineStr">
        <is>
          <t>Series A</t>
        </is>
      </c>
      <c r="CA251" s="87" t="inlineStr">
        <is>
          <t/>
        </is>
      </c>
      <c r="CB251" s="88" t="inlineStr">
        <is>
          <t>Venture Capital</t>
        </is>
      </c>
      <c r="CC251" s="89" t="inlineStr">
        <is>
          <t/>
        </is>
      </c>
      <c r="CD251" s="90" t="inlineStr">
        <is>
          <t/>
        </is>
      </c>
      <c r="CE251" s="91" t="inlineStr">
        <is>
          <t/>
        </is>
      </c>
      <c r="CF251" s="92" t="inlineStr">
        <is>
          <t>Completed</t>
        </is>
      </c>
      <c r="CG251" s="93" t="inlineStr">
        <is>
          <t>1,29%</t>
        </is>
      </c>
      <c r="CH251" s="94" t="inlineStr">
        <is>
          <t>90</t>
        </is>
      </c>
      <c r="CI251" s="95" t="inlineStr">
        <is>
          <t>0,05%</t>
        </is>
      </c>
      <c r="CJ251" s="96" t="inlineStr">
        <is>
          <t>4,18%</t>
        </is>
      </c>
      <c r="CK251" s="97" t="inlineStr">
        <is>
          <t>0,00%</t>
        </is>
      </c>
      <c r="CL251" s="98" t="inlineStr">
        <is>
          <t>18</t>
        </is>
      </c>
      <c r="CM251" s="99" t="inlineStr">
        <is>
          <t>2,58%</t>
        </is>
      </c>
      <c r="CN251" s="100" t="inlineStr">
        <is>
          <t>99</t>
        </is>
      </c>
      <c r="CO251" s="101" t="inlineStr">
        <is>
          <t>0,00%</t>
        </is>
      </c>
      <c r="CP251" s="102" t="inlineStr">
        <is>
          <t>26</t>
        </is>
      </c>
      <c r="CQ251" s="103" t="inlineStr">
        <is>
          <t>0,00%</t>
        </is>
      </c>
      <c r="CR251" s="104" t="inlineStr">
        <is>
          <t>13</t>
        </is>
      </c>
      <c r="CS251" s="105" t="inlineStr">
        <is>
          <t/>
        </is>
      </c>
      <c r="CT251" s="106" t="inlineStr">
        <is>
          <t/>
        </is>
      </c>
      <c r="CU251" s="107" t="inlineStr">
        <is>
          <t>2,58%</t>
        </is>
      </c>
      <c r="CV251" s="108" t="inlineStr">
        <is>
          <t>100</t>
        </is>
      </c>
      <c r="CW251" s="109" t="inlineStr">
        <is>
          <t>0,80x</t>
        </is>
      </c>
      <c r="CX251" s="110" t="inlineStr">
        <is>
          <t>44</t>
        </is>
      </c>
      <c r="CY251" s="111" t="inlineStr">
        <is>
          <t>0,02x</t>
        </is>
      </c>
      <c r="CZ251" s="112" t="inlineStr">
        <is>
          <t>2,73%</t>
        </is>
      </c>
      <c r="DA251" s="113" t="inlineStr">
        <is>
          <t>1,24x</t>
        </is>
      </c>
      <c r="DB251" s="114" t="inlineStr">
        <is>
          <t>57</t>
        </is>
      </c>
      <c r="DC251" s="115" t="inlineStr">
        <is>
          <t>0,36x</t>
        </is>
      </c>
      <c r="DD251" s="116" t="inlineStr">
        <is>
          <t>30</t>
        </is>
      </c>
      <c r="DE251" s="117" t="inlineStr">
        <is>
          <t>0,87x</t>
        </is>
      </c>
      <c r="DF251" s="118" t="inlineStr">
        <is>
          <t>48</t>
        </is>
      </c>
      <c r="DG251" s="119" t="inlineStr">
        <is>
          <t>1,61x</t>
        </is>
      </c>
      <c r="DH251" s="120" t="inlineStr">
        <is>
          <t>60</t>
        </is>
      </c>
      <c r="DI251" s="121" t="inlineStr">
        <is>
          <t/>
        </is>
      </c>
      <c r="DJ251" s="122" t="inlineStr">
        <is>
          <t/>
        </is>
      </c>
      <c r="DK251" s="123" t="inlineStr">
        <is>
          <t>0,36x</t>
        </is>
      </c>
      <c r="DL251" s="124" t="inlineStr">
        <is>
          <t>33</t>
        </is>
      </c>
      <c r="DM251" s="125" t="inlineStr">
        <is>
          <t>528</t>
        </is>
      </c>
      <c r="DN251" s="126" t="inlineStr">
        <is>
          <t>12</t>
        </is>
      </c>
      <c r="DO251" s="127" t="inlineStr">
        <is>
          <t>2,33%</t>
        </is>
      </c>
      <c r="DP251" s="128" t="inlineStr">
        <is>
          <t/>
        </is>
      </c>
      <c r="DQ251" s="129" t="inlineStr">
        <is>
          <t/>
        </is>
      </c>
      <c r="DR251" s="130" t="inlineStr">
        <is>
          <t/>
        </is>
      </c>
      <c r="DS251" s="131" t="inlineStr">
        <is>
          <t>57</t>
        </is>
      </c>
      <c r="DT251" s="132" t="inlineStr">
        <is>
          <t>0</t>
        </is>
      </c>
      <c r="DU251" s="133" t="inlineStr">
        <is>
          <t>0,00%</t>
        </is>
      </c>
      <c r="DV251" s="134" t="inlineStr">
        <is>
          <t>122</t>
        </is>
      </c>
      <c r="DW251" s="135" t="inlineStr">
        <is>
          <t>1</t>
        </is>
      </c>
      <c r="DX251" s="136" t="inlineStr">
        <is>
          <t>0,83%</t>
        </is>
      </c>
      <c r="DY251" s="137" t="inlineStr">
        <is>
          <t>PitchBook Research</t>
        </is>
      </c>
      <c r="DZ251" s="785">
        <f>HYPERLINK("https://my.pitchbook.com?c=169687-90", "View company online")</f>
      </c>
    </row>
    <row r="252">
      <c r="A252" s="139" t="inlineStr">
        <is>
          <t>60148-72</t>
        </is>
      </c>
      <c r="B252" s="140" t="inlineStr">
        <is>
          <t>Kesios</t>
        </is>
      </c>
      <c r="C252" s="141" t="inlineStr">
        <is>
          <t/>
        </is>
      </c>
      <c r="D252" s="142" t="inlineStr">
        <is>
          <t>Kesios Therapeutics</t>
        </is>
      </c>
      <c r="E252" s="143" t="inlineStr">
        <is>
          <t>60148-72</t>
        </is>
      </c>
      <c r="F252" s="144" t="inlineStr">
        <is>
          <t>Developer of novel therapeutics designed to offer treatment of multiple myeloma and other cancers where there are significant unmet medical needs. The company's novel therapeutics focuses on the discovery and development of novel drug candidates that disrupt target and demonstrate the potential to specifically and selectively kill cancer cells, enabling patients to avail the treatment of cancer cells preventing toxicity to normal cells.</t>
        </is>
      </c>
      <c r="G252" s="145" t="inlineStr">
        <is>
          <t>Healthcare</t>
        </is>
      </c>
      <c r="H252" s="146" t="inlineStr">
        <is>
          <t>Pharmaceuticals and Biotechnology</t>
        </is>
      </c>
      <c r="I252" s="147" t="inlineStr">
        <is>
          <t>Biotechnology</t>
        </is>
      </c>
      <c r="J252" s="148" t="inlineStr">
        <is>
          <t>Biotechnology*; Drug Discovery</t>
        </is>
      </c>
      <c r="K252" s="149" t="inlineStr">
        <is>
          <t>Life Sciences, Oncology</t>
        </is>
      </c>
      <c r="L252" s="150" t="inlineStr">
        <is>
          <t>Venture Capital-Backed</t>
        </is>
      </c>
      <c r="M252" s="151" t="n">
        <v>29.53</v>
      </c>
      <c r="N252" s="152" t="inlineStr">
        <is>
          <t>Startup</t>
        </is>
      </c>
      <c r="O252" s="153" t="inlineStr">
        <is>
          <t>Privately Held (backing)</t>
        </is>
      </c>
      <c r="P252" s="154" t="inlineStr">
        <is>
          <t>Venture Capital</t>
        </is>
      </c>
      <c r="Q252" s="155" t="inlineStr">
        <is>
          <t>www.kesios.com</t>
        </is>
      </c>
      <c r="R252" s="156" t="n">
        <v>10.0</v>
      </c>
      <c r="S252" s="157" t="inlineStr">
        <is>
          <t/>
        </is>
      </c>
      <c r="T252" s="158" t="inlineStr">
        <is>
          <t/>
        </is>
      </c>
      <c r="U252" s="159" t="n">
        <v>2012.0</v>
      </c>
      <c r="V252" s="160" t="inlineStr">
        <is>
          <t/>
        </is>
      </c>
      <c r="W252" s="161" t="inlineStr">
        <is>
          <t/>
        </is>
      </c>
      <c r="X252" s="162" t="inlineStr">
        <is>
          <t/>
        </is>
      </c>
      <c r="Y252" s="163" t="inlineStr">
        <is>
          <t/>
        </is>
      </c>
      <c r="Z252" s="164" t="inlineStr">
        <is>
          <t/>
        </is>
      </c>
      <c r="AA252" s="165" t="n">
        <v>-4.36528</v>
      </c>
      <c r="AB252" s="166" t="inlineStr">
        <is>
          <t/>
        </is>
      </c>
      <c r="AC252" s="167" t="n">
        <v>-5.21484</v>
      </c>
      <c r="AD252" s="168" t="inlineStr">
        <is>
          <t>FY 2016</t>
        </is>
      </c>
      <c r="AE252" s="169" t="inlineStr">
        <is>
          <t>101858-59P</t>
        </is>
      </c>
      <c r="AF252" s="170" t="inlineStr">
        <is>
          <t>Paolo Paoletti</t>
        </is>
      </c>
      <c r="AG252" s="171" t="inlineStr">
        <is>
          <t>Chief Executive Officer &amp; Chairman of the Board</t>
        </is>
      </c>
      <c r="AH252" s="172" t="inlineStr">
        <is>
          <t>paolo.paoletti@gammadeltatx.com</t>
        </is>
      </c>
      <c r="AI252" s="173" t="inlineStr">
        <is>
          <t>+44 (0)20 7691 1122</t>
        </is>
      </c>
      <c r="AJ252" s="174" t="inlineStr">
        <is>
          <t>Cambridge, United Kingdom</t>
        </is>
      </c>
      <c r="AK252" s="175" t="inlineStr">
        <is>
          <t>30 Broad Street</t>
        </is>
      </c>
      <c r="AL252" s="176" t="inlineStr">
        <is>
          <t>Great Cambourne, Cambridgeshire</t>
        </is>
      </c>
      <c r="AM252" s="177" t="inlineStr">
        <is>
          <t>Cambridge</t>
        </is>
      </c>
      <c r="AN252" s="178" t="inlineStr">
        <is>
          <t>England</t>
        </is>
      </c>
      <c r="AO252" s="179" t="inlineStr">
        <is>
          <t>CB23 6HJ</t>
        </is>
      </c>
      <c r="AP252" s="180" t="inlineStr">
        <is>
          <t>United Kingdom</t>
        </is>
      </c>
      <c r="AQ252" s="181" t="inlineStr">
        <is>
          <t>+44 (0)20 3818 9280</t>
        </is>
      </c>
      <c r="AR252" s="182" t="inlineStr">
        <is>
          <t/>
        </is>
      </c>
      <c r="AS252" s="183" t="inlineStr">
        <is>
          <t>info@kesios.com</t>
        </is>
      </c>
      <c r="AT252" s="184" t="inlineStr">
        <is>
          <t>Europe</t>
        </is>
      </c>
      <c r="AU252" s="185" t="inlineStr">
        <is>
          <t>Western Europe</t>
        </is>
      </c>
      <c r="AV252" s="186" t="inlineStr">
        <is>
          <t>The company closed on $1.1 million of convertible debt financing from SV Life Sciences Advisers and other undisclosed investors on August 2, 2016. Previously, the company raised GBP 19 million of Series A venture funding from Touchstone Innovations, SV Life Sciences Advisers and Abingworth Management on December 2, 2015. The company is being actively tracked by PitchBook.</t>
        </is>
      </c>
      <c r="AW252" s="187" t="inlineStr">
        <is>
          <t>Abingworth Management, SV Health Investors, Touchstone Innovations</t>
        </is>
      </c>
      <c r="AX252" s="188" t="n">
        <v>3.0</v>
      </c>
      <c r="AY252" s="189" t="inlineStr">
        <is>
          <t/>
        </is>
      </c>
      <c r="AZ252" s="190" t="inlineStr">
        <is>
          <t/>
        </is>
      </c>
      <c r="BA252" s="191" t="inlineStr">
        <is>
          <t/>
        </is>
      </c>
      <c r="BB252" s="192" t="inlineStr">
        <is>
          <t>Abingworth Management (www.abingworth.com), SV Health Investors (www.svhealthinvestors.com), Touchstone Innovations (www.touchstoneinnovations.com)</t>
        </is>
      </c>
      <c r="BC252" s="193" t="inlineStr">
        <is>
          <t/>
        </is>
      </c>
      <c r="BD252" s="194" t="inlineStr">
        <is>
          <t/>
        </is>
      </c>
      <c r="BE252" s="195" t="inlineStr">
        <is>
          <t>Silicon Valley Bank (General Business Banking), Grant Thornton (Auditor)</t>
        </is>
      </c>
      <c r="BF252" s="196" t="inlineStr">
        <is>
          <t/>
        </is>
      </c>
      <c r="BG252" s="197" t="n">
        <v>41920.0</v>
      </c>
      <c r="BH252" s="198" t="n">
        <v>2.35</v>
      </c>
      <c r="BI252" s="199" t="inlineStr">
        <is>
          <t>Actual</t>
        </is>
      </c>
      <c r="BJ252" s="200" t="n">
        <v>4.85</v>
      </c>
      <c r="BK252" s="201" t="inlineStr">
        <is>
          <t>Actual</t>
        </is>
      </c>
      <c r="BL252" s="202" t="inlineStr">
        <is>
          <t>Seed Round</t>
        </is>
      </c>
      <c r="BM252" s="203" t="inlineStr">
        <is>
          <t>Seed</t>
        </is>
      </c>
      <c r="BN252" s="204" t="inlineStr">
        <is>
          <t/>
        </is>
      </c>
      <c r="BO252" s="205" t="inlineStr">
        <is>
          <t>Venture Capital</t>
        </is>
      </c>
      <c r="BP252" s="206" t="inlineStr">
        <is>
          <t/>
        </is>
      </c>
      <c r="BQ252" s="207" t="inlineStr">
        <is>
          <t/>
        </is>
      </c>
      <c r="BR252" s="208" t="inlineStr">
        <is>
          <t/>
        </is>
      </c>
      <c r="BS252" s="209" t="inlineStr">
        <is>
          <t>Completed</t>
        </is>
      </c>
      <c r="BT252" s="210" t="n">
        <v>42584.0</v>
      </c>
      <c r="BU252" s="211" t="n">
        <v>0.98</v>
      </c>
      <c r="BV252" s="212" t="inlineStr">
        <is>
          <t>Actual</t>
        </is>
      </c>
      <c r="BW252" s="213" t="inlineStr">
        <is>
          <t/>
        </is>
      </c>
      <c r="BX252" s="214" t="inlineStr">
        <is>
          <t/>
        </is>
      </c>
      <c r="BY252" s="215" t="inlineStr">
        <is>
          <t>Early Stage VC</t>
        </is>
      </c>
      <c r="BZ252" s="216" t="inlineStr">
        <is>
          <t/>
        </is>
      </c>
      <c r="CA252" s="217" t="inlineStr">
        <is>
          <t/>
        </is>
      </c>
      <c r="CB252" s="218" t="inlineStr">
        <is>
          <t>Venture Capital</t>
        </is>
      </c>
      <c r="CC252" s="219" t="inlineStr">
        <is>
          <t>Convertible Debt</t>
        </is>
      </c>
      <c r="CD252" s="220" t="inlineStr">
        <is>
          <t/>
        </is>
      </c>
      <c r="CE252" s="221" t="inlineStr">
        <is>
          <t/>
        </is>
      </c>
      <c r="CF252" s="222" t="inlineStr">
        <is>
          <t>Announced/In Progress</t>
        </is>
      </c>
      <c r="CG252" s="223" t="inlineStr">
        <is>
          <t>0,00%</t>
        </is>
      </c>
      <c r="CH252" s="224" t="inlineStr">
        <is>
          <t>23</t>
        </is>
      </c>
      <c r="CI252" s="225" t="inlineStr">
        <is>
          <t>0,00%</t>
        </is>
      </c>
      <c r="CJ252" s="226" t="inlineStr">
        <is>
          <t>0,00%</t>
        </is>
      </c>
      <c r="CK252" s="227" t="inlineStr">
        <is>
          <t>0,00%</t>
        </is>
      </c>
      <c r="CL252" s="228" t="inlineStr">
        <is>
          <t>18</t>
        </is>
      </c>
      <c r="CM252" s="229" t="inlineStr">
        <is>
          <t/>
        </is>
      </c>
      <c r="CN252" s="230" t="inlineStr">
        <is>
          <t/>
        </is>
      </c>
      <c r="CO252" s="231" t="inlineStr">
        <is>
          <t/>
        </is>
      </c>
      <c r="CP252" s="232" t="inlineStr">
        <is>
          <t/>
        </is>
      </c>
      <c r="CQ252" s="233" t="inlineStr">
        <is>
          <t>0,00%</t>
        </is>
      </c>
      <c r="CR252" s="234" t="inlineStr">
        <is>
          <t>13</t>
        </is>
      </c>
      <c r="CS252" s="235" t="inlineStr">
        <is>
          <t/>
        </is>
      </c>
      <c r="CT252" s="236" t="inlineStr">
        <is>
          <t/>
        </is>
      </c>
      <c r="CU252" s="237" t="inlineStr">
        <is>
          <t/>
        </is>
      </c>
      <c r="CV252" s="238" t="inlineStr">
        <is>
          <t/>
        </is>
      </c>
      <c r="CW252" s="239" t="inlineStr">
        <is>
          <t>0,33x</t>
        </is>
      </c>
      <c r="CX252" s="240" t="inlineStr">
        <is>
          <t>25</t>
        </is>
      </c>
      <c r="CY252" s="241" t="inlineStr">
        <is>
          <t>0,01x</t>
        </is>
      </c>
      <c r="CZ252" s="242" t="inlineStr">
        <is>
          <t>2,78%</t>
        </is>
      </c>
      <c r="DA252" s="243" t="inlineStr">
        <is>
          <t>0,33x</t>
        </is>
      </c>
      <c r="DB252" s="244" t="inlineStr">
        <is>
          <t>28</t>
        </is>
      </c>
      <c r="DC252" s="245" t="inlineStr">
        <is>
          <t/>
        </is>
      </c>
      <c r="DD252" s="246" t="inlineStr">
        <is>
          <t/>
        </is>
      </c>
      <c r="DE252" s="247" t="inlineStr">
        <is>
          <t/>
        </is>
      </c>
      <c r="DF252" s="248" t="inlineStr">
        <is>
          <t/>
        </is>
      </c>
      <c r="DG252" s="249" t="inlineStr">
        <is>
          <t>0,33x</t>
        </is>
      </c>
      <c r="DH252" s="250" t="inlineStr">
        <is>
          <t>28</t>
        </is>
      </c>
      <c r="DI252" s="251" t="inlineStr">
        <is>
          <t/>
        </is>
      </c>
      <c r="DJ252" s="252" t="inlineStr">
        <is>
          <t/>
        </is>
      </c>
      <c r="DK252" s="253" t="inlineStr">
        <is>
          <t/>
        </is>
      </c>
      <c r="DL252" s="254" t="inlineStr">
        <is>
          <t/>
        </is>
      </c>
      <c r="DM252" s="255" t="inlineStr">
        <is>
          <t/>
        </is>
      </c>
      <c r="DN252" s="256" t="inlineStr">
        <is>
          <t/>
        </is>
      </c>
      <c r="DO252" s="257" t="inlineStr">
        <is>
          <t/>
        </is>
      </c>
      <c r="DP252" s="258" t="inlineStr">
        <is>
          <t/>
        </is>
      </c>
      <c r="DQ252" s="259" t="inlineStr">
        <is>
          <t/>
        </is>
      </c>
      <c r="DR252" s="260" t="inlineStr">
        <is>
          <t/>
        </is>
      </c>
      <c r="DS252" s="261" t="inlineStr">
        <is>
          <t>12</t>
        </is>
      </c>
      <c r="DT252" s="262" t="inlineStr">
        <is>
          <t>0</t>
        </is>
      </c>
      <c r="DU252" s="263" t="inlineStr">
        <is>
          <t>0,00%</t>
        </is>
      </c>
      <c r="DV252" s="264" t="inlineStr">
        <is>
          <t/>
        </is>
      </c>
      <c r="DW252" s="265" t="inlineStr">
        <is>
          <t/>
        </is>
      </c>
      <c r="DX252" s="266" t="inlineStr">
        <is>
          <t/>
        </is>
      </c>
      <c r="DY252" s="267" t="inlineStr">
        <is>
          <t>PitchBook Research</t>
        </is>
      </c>
      <c r="DZ252" s="786">
        <f>HYPERLINK("https://my.pitchbook.com?c=60148-72", "View company online")</f>
      </c>
    </row>
    <row r="253">
      <c r="A253" s="9" t="inlineStr">
        <is>
          <t>106815-79</t>
        </is>
      </c>
      <c r="B253" s="10" t="inlineStr">
        <is>
          <t>KIOmed Pharma</t>
        </is>
      </c>
      <c r="C253" s="11" t="inlineStr">
        <is>
          <t>Synolyne Pharma</t>
        </is>
      </c>
      <c r="D253" s="12" t="inlineStr">
        <is>
          <t>KIOmed</t>
        </is>
      </c>
      <c r="E253" s="13" t="inlineStr">
        <is>
          <t>106815-79</t>
        </is>
      </c>
      <c r="F253" s="14" t="inlineStr">
        <is>
          <t>Provider of therapeutic devices to patients who suffer from high impact pathologies. The company develops, manufactures and commercializes medical devices and implants that integrate proprietary animal-free chitosan based technologies in the field of ophthalmology, hemostasis, biosurgery, tissue engineering and regenerative medicine.</t>
        </is>
      </c>
      <c r="G253" s="15" t="inlineStr">
        <is>
          <t>Healthcare</t>
        </is>
      </c>
      <c r="H253" s="16" t="inlineStr">
        <is>
          <t>Healthcare Devices and Supplies</t>
        </is>
      </c>
      <c r="I253" s="17" t="inlineStr">
        <is>
          <t>Therapeutic Devices</t>
        </is>
      </c>
      <c r="J253" s="18" t="inlineStr">
        <is>
          <t>Therapeutic Devices*; Other Devices and Supplies</t>
        </is>
      </c>
      <c r="K253" s="19" t="inlineStr">
        <is>
          <t>Manufacturing</t>
        </is>
      </c>
      <c r="L253" s="20" t="inlineStr">
        <is>
          <t>Venture Capital-Backed</t>
        </is>
      </c>
      <c r="M253" s="21" t="n">
        <v>10.6</v>
      </c>
      <c r="N253" s="22" t="inlineStr">
        <is>
          <t>Startup</t>
        </is>
      </c>
      <c r="O253" s="23" t="inlineStr">
        <is>
          <t>Privately Held (backing)</t>
        </is>
      </c>
      <c r="P253" s="24" t="inlineStr">
        <is>
          <t>Venture Capital</t>
        </is>
      </c>
      <c r="Q253" s="25" t="inlineStr">
        <is>
          <t>www.kiomedpharma.com</t>
        </is>
      </c>
      <c r="R253" s="26" t="n">
        <v>12.0</v>
      </c>
      <c r="S253" s="27" t="inlineStr">
        <is>
          <t/>
        </is>
      </c>
      <c r="T253" s="28" t="inlineStr">
        <is>
          <t/>
        </is>
      </c>
      <c r="U253" s="29" t="n">
        <v>2012.0</v>
      </c>
      <c r="V253" s="30" t="inlineStr">
        <is>
          <t/>
        </is>
      </c>
      <c r="W253" s="31" t="inlineStr">
        <is>
          <t/>
        </is>
      </c>
      <c r="X253" s="32" t="inlineStr">
        <is>
          <t/>
        </is>
      </c>
      <c r="Y253" s="33" t="inlineStr">
        <is>
          <t/>
        </is>
      </c>
      <c r="Z253" s="34" t="inlineStr">
        <is>
          <t/>
        </is>
      </c>
      <c r="AA253" s="35" t="n">
        <v>-0.89117</v>
      </c>
      <c r="AB253" s="36" t="inlineStr">
        <is>
          <t/>
        </is>
      </c>
      <c r="AC253" s="37" t="inlineStr">
        <is>
          <t/>
        </is>
      </c>
      <c r="AD253" s="38" t="inlineStr">
        <is>
          <t>FY 2015</t>
        </is>
      </c>
      <c r="AE253" s="39" t="inlineStr">
        <is>
          <t>52196-77P</t>
        </is>
      </c>
      <c r="AF253" s="40" t="inlineStr">
        <is>
          <t>Houtai Choumane</t>
        </is>
      </c>
      <c r="AG253" s="41" t="inlineStr">
        <is>
          <t>Chief Executive Officer &amp; Board Member</t>
        </is>
      </c>
      <c r="AH253" s="42" t="inlineStr">
        <is>
          <t>houtai.choumane@synolyne-pharma.com</t>
        </is>
      </c>
      <c r="AI253" s="43" t="inlineStr">
        <is>
          <t>+32 (0)4 228 80 40</t>
        </is>
      </c>
      <c r="AJ253" s="44" t="inlineStr">
        <is>
          <t>Herstal, Belgium</t>
        </is>
      </c>
      <c r="AK253" s="45" t="inlineStr">
        <is>
          <t>Rue Haute Claire, 4</t>
        </is>
      </c>
      <c r="AL253" s="46" t="inlineStr">
        <is>
          <t/>
        </is>
      </c>
      <c r="AM253" s="47" t="inlineStr">
        <is>
          <t>Herstal</t>
        </is>
      </c>
      <c r="AN253" s="48" t="inlineStr">
        <is>
          <t/>
        </is>
      </c>
      <c r="AO253" s="49" t="inlineStr">
        <is>
          <t>4040</t>
        </is>
      </c>
      <c r="AP253" s="50" t="inlineStr">
        <is>
          <t>Belgium</t>
        </is>
      </c>
      <c r="AQ253" s="51" t="inlineStr">
        <is>
          <t>+32 (0)4 228 80 40</t>
        </is>
      </c>
      <c r="AR253" s="52" t="inlineStr">
        <is>
          <t>+32 (0)4 228 80 41</t>
        </is>
      </c>
      <c r="AS253" s="53" t="inlineStr">
        <is>
          <t>contact@kiomedpharma.com</t>
        </is>
      </c>
      <c r="AT253" s="54" t="inlineStr">
        <is>
          <t>Europe</t>
        </is>
      </c>
      <c r="AU253" s="55" t="inlineStr">
        <is>
          <t>Western Europe</t>
        </is>
      </c>
      <c r="AV253" s="56" t="inlineStr">
        <is>
          <t>The company raised EUR 7.3 million of venture funding from Meusinvest, KitoZyme and François Blondel on June 16, 2016. Valois Emballages and Yves Henrotin also aprticipated in the round. The transaction included a EUR 1.2 million of loan from Belfius Banque and BNP Paribas Fortis. The company will use the funding address highend markets and prepare for a steady and sustainable growth.</t>
        </is>
      </c>
      <c r="AW253" s="57" t="inlineStr">
        <is>
          <t>Flexximum R&amp;D, KitoZyme, Meusinvest Group, Valois Emballages, Wallonia Biotech Coaching</t>
        </is>
      </c>
      <c r="AX253" s="58" t="n">
        <v>5.0</v>
      </c>
      <c r="AY253" s="59" t="inlineStr">
        <is>
          <t/>
        </is>
      </c>
      <c r="AZ253" s="60" t="inlineStr">
        <is>
          <t/>
        </is>
      </c>
      <c r="BA253" s="61" t="inlineStr">
        <is>
          <t/>
        </is>
      </c>
      <c r="BB253" s="62" t="inlineStr">
        <is>
          <t>KitoZyme (www.kitozyme.com), Meusinvest Group (www.meusinvest.be), Valois Emballages (www.valois-emballages.com), Wallonia Biotech Coaching (www.wbc-incubator.be)</t>
        </is>
      </c>
      <c r="BC253" s="63" t="inlineStr">
        <is>
          <t/>
        </is>
      </c>
      <c r="BD253" s="64" t="inlineStr">
        <is>
          <t/>
        </is>
      </c>
      <c r="BE253" s="65" t="inlineStr">
        <is>
          <t/>
        </is>
      </c>
      <c r="BF253" s="66" t="inlineStr">
        <is>
          <t>Merodis (Advisor), BNP Paribas Fortis, Belfius Banque</t>
        </is>
      </c>
      <c r="BG253" s="67" t="n">
        <v>41214.0</v>
      </c>
      <c r="BH253" s="68" t="inlineStr">
        <is>
          <t/>
        </is>
      </c>
      <c r="BI253" s="69" t="inlineStr">
        <is>
          <t/>
        </is>
      </c>
      <c r="BJ253" s="70" t="inlineStr">
        <is>
          <t/>
        </is>
      </c>
      <c r="BK253" s="71" t="inlineStr">
        <is>
          <t/>
        </is>
      </c>
      <c r="BL253" s="72" t="inlineStr">
        <is>
          <t>Accelerator/Incubator</t>
        </is>
      </c>
      <c r="BM253" s="73" t="inlineStr">
        <is>
          <t/>
        </is>
      </c>
      <c r="BN253" s="74" t="inlineStr">
        <is>
          <t/>
        </is>
      </c>
      <c r="BO253" s="75" t="inlineStr">
        <is>
          <t>Other</t>
        </is>
      </c>
      <c r="BP253" s="76" t="inlineStr">
        <is>
          <t/>
        </is>
      </c>
      <c r="BQ253" s="77" t="inlineStr">
        <is>
          <t/>
        </is>
      </c>
      <c r="BR253" s="78" t="inlineStr">
        <is>
          <t/>
        </is>
      </c>
      <c r="BS253" s="79" t="inlineStr">
        <is>
          <t>Completed</t>
        </is>
      </c>
      <c r="BT253" s="80" t="n">
        <v>42537.0</v>
      </c>
      <c r="BU253" s="81" t="n">
        <v>7.3</v>
      </c>
      <c r="BV253" s="82" t="inlineStr">
        <is>
          <t>Actual</t>
        </is>
      </c>
      <c r="BW253" s="83" t="inlineStr">
        <is>
          <t/>
        </is>
      </c>
      <c r="BX253" s="84" t="inlineStr">
        <is>
          <t/>
        </is>
      </c>
      <c r="BY253" s="85" t="inlineStr">
        <is>
          <t>Early Stage VC</t>
        </is>
      </c>
      <c r="BZ253" s="86" t="inlineStr">
        <is>
          <t/>
        </is>
      </c>
      <c r="CA253" s="87" t="inlineStr">
        <is>
          <t/>
        </is>
      </c>
      <c r="CB253" s="88" t="inlineStr">
        <is>
          <t>Venture Capital</t>
        </is>
      </c>
      <c r="CC253" s="89" t="inlineStr">
        <is>
          <t>Loan</t>
        </is>
      </c>
      <c r="CD253" s="90" t="inlineStr">
        <is>
          <t/>
        </is>
      </c>
      <c r="CE253" s="91" t="inlineStr">
        <is>
          <t/>
        </is>
      </c>
      <c r="CF253" s="92" t="inlineStr">
        <is>
          <t>Completed</t>
        </is>
      </c>
      <c r="CG253" s="93" t="inlineStr">
        <is>
          <t/>
        </is>
      </c>
      <c r="CH253" s="94" t="inlineStr">
        <is>
          <t/>
        </is>
      </c>
      <c r="CI253" s="95" t="inlineStr">
        <is>
          <t/>
        </is>
      </c>
      <c r="CJ253" s="96" t="inlineStr">
        <is>
          <t/>
        </is>
      </c>
      <c r="CK253" s="97" t="inlineStr">
        <is>
          <t/>
        </is>
      </c>
      <c r="CL253" s="98" t="inlineStr">
        <is>
          <t/>
        </is>
      </c>
      <c r="CM253" s="99" t="inlineStr">
        <is>
          <t/>
        </is>
      </c>
      <c r="CN253" s="100" t="inlineStr">
        <is>
          <t/>
        </is>
      </c>
      <c r="CO253" s="101" t="inlineStr">
        <is>
          <t/>
        </is>
      </c>
      <c r="CP253" s="102" t="inlineStr">
        <is>
          <t/>
        </is>
      </c>
      <c r="CQ253" s="103" t="inlineStr">
        <is>
          <t/>
        </is>
      </c>
      <c r="CR253" s="104" t="inlineStr">
        <is>
          <t/>
        </is>
      </c>
      <c r="CS253" s="105" t="inlineStr">
        <is>
          <t/>
        </is>
      </c>
      <c r="CT253" s="106" t="inlineStr">
        <is>
          <t/>
        </is>
      </c>
      <c r="CU253" s="107" t="inlineStr">
        <is>
          <t/>
        </is>
      </c>
      <c r="CV253" s="108" t="inlineStr">
        <is>
          <t/>
        </is>
      </c>
      <c r="CW253" s="109" t="inlineStr">
        <is>
          <t/>
        </is>
      </c>
      <c r="CX253" s="110" t="inlineStr">
        <is>
          <t/>
        </is>
      </c>
      <c r="CY253" s="111" t="inlineStr">
        <is>
          <t/>
        </is>
      </c>
      <c r="CZ253" s="112" t="inlineStr">
        <is>
          <t/>
        </is>
      </c>
      <c r="DA253" s="113" t="inlineStr">
        <is>
          <t/>
        </is>
      </c>
      <c r="DB253" s="114" t="inlineStr">
        <is>
          <t/>
        </is>
      </c>
      <c r="DC253" s="115" t="inlineStr">
        <is>
          <t/>
        </is>
      </c>
      <c r="DD253" s="116" t="inlineStr">
        <is>
          <t/>
        </is>
      </c>
      <c r="DE253" s="117" t="inlineStr">
        <is>
          <t/>
        </is>
      </c>
      <c r="DF253" s="118" t="inlineStr">
        <is>
          <t/>
        </is>
      </c>
      <c r="DG253" s="119" t="inlineStr">
        <is>
          <t/>
        </is>
      </c>
      <c r="DH253" s="120" t="inlineStr">
        <is>
          <t/>
        </is>
      </c>
      <c r="DI253" s="121" t="inlineStr">
        <is>
          <t/>
        </is>
      </c>
      <c r="DJ253" s="122" t="inlineStr">
        <is>
          <t/>
        </is>
      </c>
      <c r="DK253" s="123" t="inlineStr">
        <is>
          <t/>
        </is>
      </c>
      <c r="DL253" s="124" t="inlineStr">
        <is>
          <t/>
        </is>
      </c>
      <c r="DM253" s="125" t="inlineStr">
        <is>
          <t/>
        </is>
      </c>
      <c r="DN253" s="126" t="inlineStr">
        <is>
          <t/>
        </is>
      </c>
      <c r="DO253" s="127" t="inlineStr">
        <is>
          <t/>
        </is>
      </c>
      <c r="DP253" s="128" t="inlineStr">
        <is>
          <t/>
        </is>
      </c>
      <c r="DQ253" s="129" t="inlineStr">
        <is>
          <t/>
        </is>
      </c>
      <c r="DR253" s="130" t="inlineStr">
        <is>
          <t/>
        </is>
      </c>
      <c r="DS253" s="131" t="inlineStr">
        <is>
          <t/>
        </is>
      </c>
      <c r="DT253" s="132" t="inlineStr">
        <is>
          <t/>
        </is>
      </c>
      <c r="DU253" s="133" t="inlineStr">
        <is>
          <t/>
        </is>
      </c>
      <c r="DV253" s="134" t="inlineStr">
        <is>
          <t/>
        </is>
      </c>
      <c r="DW253" s="135" t="inlineStr">
        <is>
          <t/>
        </is>
      </c>
      <c r="DX253" s="136" t="inlineStr">
        <is>
          <t/>
        </is>
      </c>
      <c r="DY253" s="137" t="inlineStr">
        <is>
          <t>PitchBook Research</t>
        </is>
      </c>
      <c r="DZ253" s="785">
        <f>HYPERLINK("https://my.pitchbook.com?c=106815-79", "View company online")</f>
      </c>
    </row>
    <row r="254">
      <c r="A254" s="139" t="inlineStr">
        <is>
          <t>60121-27</t>
        </is>
      </c>
      <c r="B254" s="140" t="inlineStr">
        <is>
          <t>Kitman Labs</t>
        </is>
      </c>
      <c r="C254" s="141" t="inlineStr">
        <is>
          <t/>
        </is>
      </c>
      <c r="D254" s="142" t="inlineStr">
        <is>
          <t/>
        </is>
      </c>
      <c r="E254" s="143" t="inlineStr">
        <is>
          <t>60121-27</t>
        </is>
      </c>
      <c r="F254" s="144" t="inlineStr">
        <is>
          <t>Developer of a technology software designed to manage athlete health and performance. The company's athlete management software helps athletes and trainers to predict and manage injury, enabling professional athletes to reduce the risk of injury and increase overall performance potential.</t>
        </is>
      </c>
      <c r="G254" s="145" t="inlineStr">
        <is>
          <t>Information Technology</t>
        </is>
      </c>
      <c r="H254" s="146" t="inlineStr">
        <is>
          <t>Software</t>
        </is>
      </c>
      <c r="I254" s="147" t="inlineStr">
        <is>
          <t>Vertical Market Software</t>
        </is>
      </c>
      <c r="J254" s="148" t="inlineStr">
        <is>
          <t>Vertical Market Software*</t>
        </is>
      </c>
      <c r="K254" s="149" t="inlineStr">
        <is>
          <t>Mobile</t>
        </is>
      </c>
      <c r="L254" s="150" t="inlineStr">
        <is>
          <t>Venture Capital-Backed</t>
        </is>
      </c>
      <c r="M254" s="151" t="n">
        <v>7.9</v>
      </c>
      <c r="N254" s="152" t="inlineStr">
        <is>
          <t>Generating Revenue/Not Profitable</t>
        </is>
      </c>
      <c r="O254" s="153" t="inlineStr">
        <is>
          <t>Privately Held (backing)</t>
        </is>
      </c>
      <c r="P254" s="154" t="inlineStr">
        <is>
          <t>Venture Capital</t>
        </is>
      </c>
      <c r="Q254" s="155" t="inlineStr">
        <is>
          <t>www.kitmanlabs.com</t>
        </is>
      </c>
      <c r="R254" s="156" t="n">
        <v>18.0</v>
      </c>
      <c r="S254" s="157" t="inlineStr">
        <is>
          <t/>
        </is>
      </c>
      <c r="T254" s="158" t="inlineStr">
        <is>
          <t/>
        </is>
      </c>
      <c r="U254" s="159" t="n">
        <v>2012.0</v>
      </c>
      <c r="V254" s="160" t="inlineStr">
        <is>
          <t/>
        </is>
      </c>
      <c r="W254" s="161" t="inlineStr">
        <is>
          <t/>
        </is>
      </c>
      <c r="X254" s="162" t="inlineStr">
        <is>
          <t/>
        </is>
      </c>
      <c r="Y254" s="163" t="inlineStr">
        <is>
          <t/>
        </is>
      </c>
      <c r="Z254" s="164" t="inlineStr">
        <is>
          <t/>
        </is>
      </c>
      <c r="AA254" s="165" t="n">
        <v>-2.49895</v>
      </c>
      <c r="AB254" s="166" t="inlineStr">
        <is>
          <t/>
        </is>
      </c>
      <c r="AC254" s="167" t="inlineStr">
        <is>
          <t/>
        </is>
      </c>
      <c r="AD254" s="168" t="inlineStr">
        <is>
          <t>FY 2015</t>
        </is>
      </c>
      <c r="AE254" s="169" t="inlineStr">
        <is>
          <t>129302-29P</t>
        </is>
      </c>
      <c r="AF254" s="170" t="inlineStr">
        <is>
          <t>Lisa D'Alençon</t>
        </is>
      </c>
      <c r="AG254" s="171" t="inlineStr">
        <is>
          <t>Chief Financial Officer</t>
        </is>
      </c>
      <c r="AH254" s="172" t="inlineStr">
        <is>
          <t>lisa@kitmanlabs.com</t>
        </is>
      </c>
      <c r="AI254" s="173" t="inlineStr">
        <is>
          <t>+1 (650) 462-2022</t>
        </is>
      </c>
      <c r="AJ254" s="174" t="inlineStr">
        <is>
          <t>Dublin, Ireland</t>
        </is>
      </c>
      <c r="AK254" s="175" t="inlineStr">
        <is>
          <t>Block B, Floor 4, Joyce's Court</t>
        </is>
      </c>
      <c r="AL254" s="176" t="inlineStr">
        <is>
          <t>Joyce's Walk, Talbot Street</t>
        </is>
      </c>
      <c r="AM254" s="177" t="inlineStr">
        <is>
          <t>Dublin</t>
        </is>
      </c>
      <c r="AN254" s="178" t="inlineStr">
        <is>
          <t>County Dublin</t>
        </is>
      </c>
      <c r="AO254" s="179" t="inlineStr">
        <is>
          <t>1</t>
        </is>
      </c>
      <c r="AP254" s="180" t="inlineStr">
        <is>
          <t>Ireland</t>
        </is>
      </c>
      <c r="AQ254" s="181" t="inlineStr">
        <is>
          <t>+353 (0)1 525 2680</t>
        </is>
      </c>
      <c r="AR254" s="182" t="inlineStr">
        <is>
          <t/>
        </is>
      </c>
      <c r="AS254" s="183" t="inlineStr">
        <is>
          <t>info@kitmanlabs.com</t>
        </is>
      </c>
      <c r="AT254" s="184" t="inlineStr">
        <is>
          <t>Europe</t>
        </is>
      </c>
      <c r="AU254" s="185" t="inlineStr">
        <is>
          <t>Western Europe</t>
        </is>
      </c>
      <c r="AV254" s="186" t="inlineStr">
        <is>
          <t>The company raised $4.67 million of venture funding from BlueRun Ventures and H. Barton Asset Management on March 3, 2017.</t>
        </is>
      </c>
      <c r="AW254" s="187" t="inlineStr">
        <is>
          <t>Barry Maloney, BlueRun Ventures, Declan Ganter, Denis O'Connor, Denise Collins, Dunboy Pension Fund, Enterprise Ireland, H. Barton Asset Management, Individual Investor, John &amp; Shane McLaughlin, John Lamphiere, Peter Rand, Philip &amp; Miriam Kelly, Russell Murphy</t>
        </is>
      </c>
      <c r="AX254" s="188" t="n">
        <v>14.0</v>
      </c>
      <c r="AY254" s="189" t="inlineStr">
        <is>
          <t>Jamie Heaslip</t>
        </is>
      </c>
      <c r="AZ254" s="190" t="inlineStr">
        <is>
          <t/>
        </is>
      </c>
      <c r="BA254" s="191" t="inlineStr">
        <is>
          <t/>
        </is>
      </c>
      <c r="BB254" s="192" t="inlineStr">
        <is>
          <t>BlueRun Ventures (www.brv.com), Enterprise Ireland (www.enterprise-ireland.com), H. Barton Asset Management (www.bartonam.com)</t>
        </is>
      </c>
      <c r="BC254" s="193" t="inlineStr">
        <is>
          <t/>
        </is>
      </c>
      <c r="BD254" s="194" t="inlineStr">
        <is>
          <t/>
        </is>
      </c>
      <c r="BE254" s="195" t="inlineStr">
        <is>
          <t>Sheppard Mullin Richter &amp; Hampton (Legal Advisor), Venture Legal Services (Legal Advisor)</t>
        </is>
      </c>
      <c r="BF254" s="196" t="inlineStr">
        <is>
          <t>Sheppard Mullin Richter &amp; Hampton (Legal Advisor), Venture Legal Services (Legal Advisor), Beauchamps Solicitors (Legal Advisor), Mason Hayes &amp; Curran (Legal Advisor)</t>
        </is>
      </c>
      <c r="BG254" s="197" t="n">
        <v>41214.0</v>
      </c>
      <c r="BH254" s="198" t="n">
        <v>0.06</v>
      </c>
      <c r="BI254" s="199" t="inlineStr">
        <is>
          <t>Actual</t>
        </is>
      </c>
      <c r="BJ254" s="200" t="inlineStr">
        <is>
          <t/>
        </is>
      </c>
      <c r="BK254" s="201" t="inlineStr">
        <is>
          <t/>
        </is>
      </c>
      <c r="BL254" s="202" t="inlineStr">
        <is>
          <t>Seed Round</t>
        </is>
      </c>
      <c r="BM254" s="203" t="inlineStr">
        <is>
          <t>Seed</t>
        </is>
      </c>
      <c r="BN254" s="204" t="inlineStr">
        <is>
          <t/>
        </is>
      </c>
      <c r="BO254" s="205" t="inlineStr">
        <is>
          <t>Venture Capital</t>
        </is>
      </c>
      <c r="BP254" s="206" t="inlineStr">
        <is>
          <t/>
        </is>
      </c>
      <c r="BQ254" s="207" t="inlineStr">
        <is>
          <t/>
        </is>
      </c>
      <c r="BR254" s="208" t="inlineStr">
        <is>
          <t/>
        </is>
      </c>
      <c r="BS254" s="209" t="inlineStr">
        <is>
          <t>Completed</t>
        </is>
      </c>
      <c r="BT254" s="210" t="n">
        <v>42797.0</v>
      </c>
      <c r="BU254" s="211" t="n">
        <v>4.37</v>
      </c>
      <c r="BV254" s="212" t="inlineStr">
        <is>
          <t>Actual</t>
        </is>
      </c>
      <c r="BW254" s="213" t="inlineStr">
        <is>
          <t/>
        </is>
      </c>
      <c r="BX254" s="214" t="inlineStr">
        <is>
          <t/>
        </is>
      </c>
      <c r="BY254" s="215" t="inlineStr">
        <is>
          <t>Early Stage VC</t>
        </is>
      </c>
      <c r="BZ254" s="216" t="inlineStr">
        <is>
          <t/>
        </is>
      </c>
      <c r="CA254" s="217" t="inlineStr">
        <is>
          <t/>
        </is>
      </c>
      <c r="CB254" s="218" t="inlineStr">
        <is>
          <t>Venture Capital</t>
        </is>
      </c>
      <c r="CC254" s="219" t="inlineStr">
        <is>
          <t/>
        </is>
      </c>
      <c r="CD254" s="220" t="inlineStr">
        <is>
          <t/>
        </is>
      </c>
      <c r="CE254" s="221" t="inlineStr">
        <is>
          <t/>
        </is>
      </c>
      <c r="CF254" s="222" t="inlineStr">
        <is>
          <t>Completed</t>
        </is>
      </c>
      <c r="CG254" s="223" t="inlineStr">
        <is>
          <t>-2,61%</t>
        </is>
      </c>
      <c r="CH254" s="224" t="inlineStr">
        <is>
          <t>2</t>
        </is>
      </c>
      <c r="CI254" s="225" t="inlineStr">
        <is>
          <t>0,02%</t>
        </is>
      </c>
      <c r="CJ254" s="226" t="inlineStr">
        <is>
          <t>0,81%</t>
        </is>
      </c>
      <c r="CK254" s="227" t="inlineStr">
        <is>
          <t>-5,51%</t>
        </is>
      </c>
      <c r="CL254" s="228" t="inlineStr">
        <is>
          <t>1</t>
        </is>
      </c>
      <c r="CM254" s="229" t="inlineStr">
        <is>
          <t>0,29%</t>
        </is>
      </c>
      <c r="CN254" s="230" t="inlineStr">
        <is>
          <t>80</t>
        </is>
      </c>
      <c r="CO254" s="231" t="inlineStr">
        <is>
          <t>-10,34%</t>
        </is>
      </c>
      <c r="CP254" s="232" t="inlineStr">
        <is>
          <t>2</t>
        </is>
      </c>
      <c r="CQ254" s="233" t="inlineStr">
        <is>
          <t>-0,68%</t>
        </is>
      </c>
      <c r="CR254" s="234" t="inlineStr">
        <is>
          <t>5</t>
        </is>
      </c>
      <c r="CS254" s="235" t="inlineStr">
        <is>
          <t/>
        </is>
      </c>
      <c r="CT254" s="236" t="inlineStr">
        <is>
          <t/>
        </is>
      </c>
      <c r="CU254" s="237" t="inlineStr">
        <is>
          <t>0,29%</t>
        </is>
      </c>
      <c r="CV254" s="238" t="inlineStr">
        <is>
          <t>84</t>
        </is>
      </c>
      <c r="CW254" s="239" t="inlineStr">
        <is>
          <t>6,84x</t>
        </is>
      </c>
      <c r="CX254" s="240" t="inlineStr">
        <is>
          <t>83</t>
        </is>
      </c>
      <c r="CY254" s="241" t="inlineStr">
        <is>
          <t>0,15x</t>
        </is>
      </c>
      <c r="CZ254" s="242" t="inlineStr">
        <is>
          <t>2,26%</t>
        </is>
      </c>
      <c r="DA254" s="243" t="inlineStr">
        <is>
          <t>2,69x</t>
        </is>
      </c>
      <c r="DB254" s="244" t="inlineStr">
        <is>
          <t>71</t>
        </is>
      </c>
      <c r="DC254" s="245" t="inlineStr">
        <is>
          <t>10,99x</t>
        </is>
      </c>
      <c r="DD254" s="246" t="inlineStr">
        <is>
          <t>85</t>
        </is>
      </c>
      <c r="DE254" s="247" t="inlineStr">
        <is>
          <t>0,95x</t>
        </is>
      </c>
      <c r="DF254" s="248" t="inlineStr">
        <is>
          <t>49</t>
        </is>
      </c>
      <c r="DG254" s="249" t="inlineStr">
        <is>
          <t>4,42x</t>
        </is>
      </c>
      <c r="DH254" s="250" t="inlineStr">
        <is>
          <t>77</t>
        </is>
      </c>
      <c r="DI254" s="251" t="inlineStr">
        <is>
          <t/>
        </is>
      </c>
      <c r="DJ254" s="252" t="inlineStr">
        <is>
          <t/>
        </is>
      </c>
      <c r="DK254" s="253" t="inlineStr">
        <is>
          <t>10,99x</t>
        </is>
      </c>
      <c r="DL254" s="254" t="inlineStr">
        <is>
          <t>87</t>
        </is>
      </c>
      <c r="DM254" s="255" t="inlineStr">
        <is>
          <t>710</t>
        </is>
      </c>
      <c r="DN254" s="256" t="inlineStr">
        <is>
          <t>-369</t>
        </is>
      </c>
      <c r="DO254" s="257" t="inlineStr">
        <is>
          <t>-34,20%</t>
        </is>
      </c>
      <c r="DP254" s="258" t="inlineStr">
        <is>
          <t/>
        </is>
      </c>
      <c r="DQ254" s="259" t="inlineStr">
        <is>
          <t/>
        </is>
      </c>
      <c r="DR254" s="260" t="inlineStr">
        <is>
          <t/>
        </is>
      </c>
      <c r="DS254" s="261" t="inlineStr">
        <is>
          <t>159</t>
        </is>
      </c>
      <c r="DT254" s="262" t="inlineStr">
        <is>
          <t>0</t>
        </is>
      </c>
      <c r="DU254" s="263" t="inlineStr">
        <is>
          <t>0,00%</t>
        </is>
      </c>
      <c r="DV254" s="264" t="inlineStr">
        <is>
          <t>3.765</t>
        </is>
      </c>
      <c r="DW254" s="265" t="inlineStr">
        <is>
          <t>17</t>
        </is>
      </c>
      <c r="DX254" s="266" t="inlineStr">
        <is>
          <t>0,45%</t>
        </is>
      </c>
      <c r="DY254" s="267" t="inlineStr">
        <is>
          <t>PitchBook Research</t>
        </is>
      </c>
      <c r="DZ254" s="786">
        <f>HYPERLINK("https://my.pitchbook.com?c=60121-27", "View company online")</f>
      </c>
    </row>
    <row r="255">
      <c r="A255" s="9" t="inlineStr">
        <is>
          <t>156397-51</t>
        </is>
      </c>
      <c r="B255" s="10" t="inlineStr">
        <is>
          <t>kiweno</t>
        </is>
      </c>
      <c r="C255" s="11" t="inlineStr">
        <is>
          <t/>
        </is>
      </c>
      <c r="D255" s="12" t="inlineStr">
        <is>
          <t/>
        </is>
      </c>
      <c r="E255" s="13" t="inlineStr">
        <is>
          <t>156397-51</t>
        </is>
      </c>
      <c r="F255" s="14" t="inlineStr">
        <is>
          <t>Provider of food intolerance testing services. The company provides a blood testing service where patients receive testing strips that get mailed back to the company for examination. The patient can then view their results online to see what foods they are intolerant to.</t>
        </is>
      </c>
      <c r="G255" s="15" t="inlineStr">
        <is>
          <t>Healthcare</t>
        </is>
      </c>
      <c r="H255" s="16" t="inlineStr">
        <is>
          <t>Healthcare Services</t>
        </is>
      </c>
      <c r="I255" s="17" t="inlineStr">
        <is>
          <t>Laboratory Services (Healthcare)</t>
        </is>
      </c>
      <c r="J255" s="18" t="inlineStr">
        <is>
          <t>Laboratory Services (Healthcare)*; Other Healthcare Services</t>
        </is>
      </c>
      <c r="K255" s="19" t="inlineStr">
        <is>
          <t>Life Sciences</t>
        </is>
      </c>
      <c r="L255" s="20" t="inlineStr">
        <is>
          <t>Venture Capital-Backed</t>
        </is>
      </c>
      <c r="M255" s="21" t="n">
        <v>7.36</v>
      </c>
      <c r="N255" s="22" t="inlineStr">
        <is>
          <t>Generating Revenue</t>
        </is>
      </c>
      <c r="O255" s="23" t="inlineStr">
        <is>
          <t>Privately Held (backing)</t>
        </is>
      </c>
      <c r="P255" s="24" t="inlineStr">
        <is>
          <t>Venture Capital</t>
        </is>
      </c>
      <c r="Q255" s="25" t="inlineStr">
        <is>
          <t>www.kiweno.com</t>
        </is>
      </c>
      <c r="R255" s="26" t="n">
        <v>24.0</v>
      </c>
      <c r="S255" s="27" t="inlineStr">
        <is>
          <t/>
        </is>
      </c>
      <c r="T255" s="28" t="inlineStr">
        <is>
          <t/>
        </is>
      </c>
      <c r="U255" s="29" t="n">
        <v>2014.0</v>
      </c>
      <c r="V255" s="30" t="inlineStr">
        <is>
          <t/>
        </is>
      </c>
      <c r="W255" s="31" t="inlineStr">
        <is>
          <t/>
        </is>
      </c>
      <c r="X255" s="32" t="inlineStr">
        <is>
          <t/>
        </is>
      </c>
      <c r="Y255" s="33" t="inlineStr">
        <is>
          <t/>
        </is>
      </c>
      <c r="Z255" s="34" t="inlineStr">
        <is>
          <t/>
        </is>
      </c>
      <c r="AA255" s="35" t="inlineStr">
        <is>
          <t/>
        </is>
      </c>
      <c r="AB255" s="36" t="inlineStr">
        <is>
          <t/>
        </is>
      </c>
      <c r="AC255" s="37" t="inlineStr">
        <is>
          <t/>
        </is>
      </c>
      <c r="AD255" s="38" t="inlineStr">
        <is>
          <t/>
        </is>
      </c>
      <c r="AE255" s="39" t="inlineStr">
        <is>
          <t>131944-33P</t>
        </is>
      </c>
      <c r="AF255" s="40" t="inlineStr">
        <is>
          <t>Bianca Gfrei</t>
        </is>
      </c>
      <c r="AG255" s="41" t="inlineStr">
        <is>
          <t>Co-Founder, Chief Executive Officer &amp; Manager</t>
        </is>
      </c>
      <c r="AH255" s="42" t="inlineStr">
        <is>
          <t>bianca.gfrei@kiweno.com</t>
        </is>
      </c>
      <c r="AI255" s="43" t="inlineStr">
        <is>
          <t>+43 (0)5 123 1917 0</t>
        </is>
      </c>
      <c r="AJ255" s="44" t="inlineStr">
        <is>
          <t>Vienna, Austria</t>
        </is>
      </c>
      <c r="AK255" s="45" t="inlineStr">
        <is>
          <t>Zirkusgasse 13</t>
        </is>
      </c>
      <c r="AL255" s="46" t="inlineStr">
        <is>
          <t/>
        </is>
      </c>
      <c r="AM255" s="47" t="inlineStr">
        <is>
          <t>Vienna</t>
        </is>
      </c>
      <c r="AN255" s="48" t="inlineStr">
        <is>
          <t/>
        </is>
      </c>
      <c r="AO255" s="49" t="inlineStr">
        <is>
          <t>1020</t>
        </is>
      </c>
      <c r="AP255" s="50" t="inlineStr">
        <is>
          <t>Austria</t>
        </is>
      </c>
      <c r="AQ255" s="51" t="inlineStr">
        <is>
          <t>+43 (0)5 123 1917 0</t>
        </is>
      </c>
      <c r="AR255" s="52" t="inlineStr">
        <is>
          <t/>
        </is>
      </c>
      <c r="AS255" s="53" t="inlineStr">
        <is>
          <t>service@kiweno.com</t>
        </is>
      </c>
      <c r="AT255" s="54" t="inlineStr">
        <is>
          <t>Europe</t>
        </is>
      </c>
      <c r="AU255" s="55" t="inlineStr">
        <is>
          <t>Western Europe</t>
        </is>
      </c>
      <c r="AV255" s="56" t="inlineStr">
        <is>
          <t>The company received EUR 7 million in venture funding from SevenVentures and 7NXT on April 1, 2016.</t>
        </is>
      </c>
      <c r="AW255" s="57" t="inlineStr">
        <is>
          <t>7NXT Health, Johann Hansmann, Rudolf Semrad, SevenVentures</t>
        </is>
      </c>
      <c r="AX255" s="58" t="n">
        <v>4.0</v>
      </c>
      <c r="AY255" s="59" t="inlineStr">
        <is>
          <t/>
        </is>
      </c>
      <c r="AZ255" s="60" t="inlineStr">
        <is>
          <t/>
        </is>
      </c>
      <c r="BA255" s="61" t="inlineStr">
        <is>
          <t/>
        </is>
      </c>
      <c r="BB255" s="62" t="inlineStr">
        <is>
          <t>7NXT Health (machdichleicht.de), SevenVentures (www.sevenventures.de)</t>
        </is>
      </c>
      <c r="BC255" s="63" t="inlineStr">
        <is>
          <t/>
        </is>
      </c>
      <c r="BD255" s="64" t="inlineStr">
        <is>
          <t/>
        </is>
      </c>
      <c r="BE255" s="65" t="inlineStr">
        <is>
          <t/>
        </is>
      </c>
      <c r="BF255" s="66" t="inlineStr">
        <is>
          <t/>
        </is>
      </c>
      <c r="BG255" s="67" t="n">
        <v>42146.0</v>
      </c>
      <c r="BH255" s="68" t="n">
        <v>0.36</v>
      </c>
      <c r="BI255" s="69" t="inlineStr">
        <is>
          <t>Actual</t>
        </is>
      </c>
      <c r="BJ255" s="70" t="inlineStr">
        <is>
          <t/>
        </is>
      </c>
      <c r="BK255" s="71" t="inlineStr">
        <is>
          <t/>
        </is>
      </c>
      <c r="BL255" s="72" t="inlineStr">
        <is>
          <t>Angel (individual)</t>
        </is>
      </c>
      <c r="BM255" s="73" t="inlineStr">
        <is>
          <t>Angel</t>
        </is>
      </c>
      <c r="BN255" s="74" t="inlineStr">
        <is>
          <t/>
        </is>
      </c>
      <c r="BO255" s="75" t="inlineStr">
        <is>
          <t>Individual</t>
        </is>
      </c>
      <c r="BP255" s="76" t="inlineStr">
        <is>
          <t/>
        </is>
      </c>
      <c r="BQ255" s="77" t="inlineStr">
        <is>
          <t/>
        </is>
      </c>
      <c r="BR255" s="78" t="inlineStr">
        <is>
          <t/>
        </is>
      </c>
      <c r="BS255" s="79" t="inlineStr">
        <is>
          <t>Completed</t>
        </is>
      </c>
      <c r="BT255" s="80" t="n">
        <v>42461.0</v>
      </c>
      <c r="BU255" s="81" t="n">
        <v>7.0</v>
      </c>
      <c r="BV255" s="82" t="inlineStr">
        <is>
          <t>Actual</t>
        </is>
      </c>
      <c r="BW255" s="83" t="n">
        <v>26.92</v>
      </c>
      <c r="BX255" s="84" t="inlineStr">
        <is>
          <t>Actual</t>
        </is>
      </c>
      <c r="BY255" s="85" t="inlineStr">
        <is>
          <t>Early Stage VC</t>
        </is>
      </c>
      <c r="BZ255" s="86" t="inlineStr">
        <is>
          <t/>
        </is>
      </c>
      <c r="CA255" s="87" t="inlineStr">
        <is>
          <t/>
        </is>
      </c>
      <c r="CB255" s="88" t="inlineStr">
        <is>
          <t>Venture Capital</t>
        </is>
      </c>
      <c r="CC255" s="89" t="inlineStr">
        <is>
          <t/>
        </is>
      </c>
      <c r="CD255" s="90" t="inlineStr">
        <is>
          <t/>
        </is>
      </c>
      <c r="CE255" s="91" t="inlineStr">
        <is>
          <t/>
        </is>
      </c>
      <c r="CF255" s="92" t="inlineStr">
        <is>
          <t>Completed</t>
        </is>
      </c>
      <c r="CG255" s="93" t="inlineStr">
        <is>
          <t>-0,25%</t>
        </is>
      </c>
      <c r="CH255" s="94" t="inlineStr">
        <is>
          <t>11</t>
        </is>
      </c>
      <c r="CI255" s="95" t="inlineStr">
        <is>
          <t>0,00%</t>
        </is>
      </c>
      <c r="CJ255" s="96" t="inlineStr">
        <is>
          <t>-0,22%</t>
        </is>
      </c>
      <c r="CK255" s="97" t="inlineStr">
        <is>
          <t>-0,44%</t>
        </is>
      </c>
      <c r="CL255" s="98" t="inlineStr">
        <is>
          <t>13</t>
        </is>
      </c>
      <c r="CM255" s="99" t="inlineStr">
        <is>
          <t>-0,06%</t>
        </is>
      </c>
      <c r="CN255" s="100" t="inlineStr">
        <is>
          <t>6</t>
        </is>
      </c>
      <c r="CO255" s="101" t="inlineStr">
        <is>
          <t>-0,87%</t>
        </is>
      </c>
      <c r="CP255" s="102" t="inlineStr">
        <is>
          <t>21</t>
        </is>
      </c>
      <c r="CQ255" s="103" t="inlineStr">
        <is>
          <t>0,00%</t>
        </is>
      </c>
      <c r="CR255" s="104" t="inlineStr">
        <is>
          <t>13</t>
        </is>
      </c>
      <c r="CS255" s="105" t="inlineStr">
        <is>
          <t>-0,03%</t>
        </is>
      </c>
      <c r="CT255" s="106" t="inlineStr">
        <is>
          <t>10</t>
        </is>
      </c>
      <c r="CU255" s="107" t="inlineStr">
        <is>
          <t>-0,08%</t>
        </is>
      </c>
      <c r="CV255" s="108" t="inlineStr">
        <is>
          <t>8</t>
        </is>
      </c>
      <c r="CW255" s="109" t="inlineStr">
        <is>
          <t>3,96x</t>
        </is>
      </c>
      <c r="CX255" s="110" t="inlineStr">
        <is>
          <t>76</t>
        </is>
      </c>
      <c r="CY255" s="111" t="inlineStr">
        <is>
          <t>0,05x</t>
        </is>
      </c>
      <c r="CZ255" s="112" t="inlineStr">
        <is>
          <t>1,24%</t>
        </is>
      </c>
      <c r="DA255" s="113" t="inlineStr">
        <is>
          <t>3,31x</t>
        </is>
      </c>
      <c r="DB255" s="114" t="inlineStr">
        <is>
          <t>75</t>
        </is>
      </c>
      <c r="DC255" s="115" t="inlineStr">
        <is>
          <t>4,61x</t>
        </is>
      </c>
      <c r="DD255" s="116" t="inlineStr">
        <is>
          <t>75</t>
        </is>
      </c>
      <c r="DE255" s="117" t="inlineStr">
        <is>
          <t>5,43x</t>
        </is>
      </c>
      <c r="DF255" s="118" t="inlineStr">
        <is>
          <t>77</t>
        </is>
      </c>
      <c r="DG255" s="119" t="inlineStr">
        <is>
          <t>1,19x</t>
        </is>
      </c>
      <c r="DH255" s="120" t="inlineStr">
        <is>
          <t>54</t>
        </is>
      </c>
      <c r="DI255" s="121" t="inlineStr">
        <is>
          <t>8,35x</t>
        </is>
      </c>
      <c r="DJ255" s="122" t="inlineStr">
        <is>
          <t>80</t>
        </is>
      </c>
      <c r="DK255" s="123" t="inlineStr">
        <is>
          <t>0,86x</t>
        </is>
      </c>
      <c r="DL255" s="124" t="inlineStr">
        <is>
          <t>48</t>
        </is>
      </c>
      <c r="DM255" s="125" t="inlineStr">
        <is>
          <t>3.341</t>
        </is>
      </c>
      <c r="DN255" s="126" t="inlineStr">
        <is>
          <t>-6</t>
        </is>
      </c>
      <c r="DO255" s="127" t="inlineStr">
        <is>
          <t>-0,18%</t>
        </is>
      </c>
      <c r="DP255" s="128" t="inlineStr">
        <is>
          <t>6.674</t>
        </is>
      </c>
      <c r="DQ255" s="129" t="inlineStr">
        <is>
          <t>-3</t>
        </is>
      </c>
      <c r="DR255" s="130" t="inlineStr">
        <is>
          <t>-0,04%</t>
        </is>
      </c>
      <c r="DS255" s="131" t="inlineStr">
        <is>
          <t>43</t>
        </is>
      </c>
      <c r="DT255" s="132" t="inlineStr">
        <is>
          <t>-1</t>
        </is>
      </c>
      <c r="DU255" s="133" t="inlineStr">
        <is>
          <t>-2,27%</t>
        </is>
      </c>
      <c r="DV255" s="134" t="inlineStr">
        <is>
          <t>294</t>
        </is>
      </c>
      <c r="DW255" s="135" t="inlineStr">
        <is>
          <t>-1</t>
        </is>
      </c>
      <c r="DX255" s="136" t="inlineStr">
        <is>
          <t>-0,34%</t>
        </is>
      </c>
      <c r="DY255" s="137" t="inlineStr">
        <is>
          <t>PitchBook Research</t>
        </is>
      </c>
      <c r="DZ255" s="785">
        <f>HYPERLINK("https://my.pitchbook.com?c=156397-51", "View company online")</f>
      </c>
    </row>
    <row r="256">
      <c r="A256" s="139" t="inlineStr">
        <is>
          <t>58990-24</t>
        </is>
      </c>
      <c r="B256" s="140" t="inlineStr">
        <is>
          <t>Kontakt.io</t>
        </is>
      </c>
      <c r="C256" s="141" t="inlineStr">
        <is>
          <t/>
        </is>
      </c>
      <c r="D256" s="142" t="inlineStr">
        <is>
          <t/>
        </is>
      </c>
      <c r="E256" s="143" t="inlineStr">
        <is>
          <t>58990-24</t>
        </is>
      </c>
      <c r="F256" s="144" t="inlineStr">
        <is>
          <t>Provider of a platform enabling users to create and use micro-location applications. The company's technology, which includes proprietary Bluetooth enabled beacons sensed by the company's software, allows users to develop mobile applications for an array of uses, including indoor and outdoor navigation, retail selection and payments and healthcare monitoring.</t>
        </is>
      </c>
      <c r="G256" s="145" t="inlineStr">
        <is>
          <t>Information Technology</t>
        </is>
      </c>
      <c r="H256" s="146" t="inlineStr">
        <is>
          <t>Software</t>
        </is>
      </c>
      <c r="I256" s="147" t="inlineStr">
        <is>
          <t>Social/Platform Software</t>
        </is>
      </c>
      <c r="J256" s="148" t="inlineStr">
        <is>
          <t>Social/Platform Software*; Software Development Applications</t>
        </is>
      </c>
      <c r="K256" s="149" t="inlineStr">
        <is>
          <t>Mobile</t>
        </is>
      </c>
      <c r="L256" s="150" t="inlineStr">
        <is>
          <t>Venture Capital-Backed</t>
        </is>
      </c>
      <c r="M256" s="151" t="n">
        <v>6.7</v>
      </c>
      <c r="N256" s="152" t="inlineStr">
        <is>
          <t>Generating Revenue</t>
        </is>
      </c>
      <c r="O256" s="153" t="inlineStr">
        <is>
          <t>Privately Held (backing)</t>
        </is>
      </c>
      <c r="P256" s="154" t="inlineStr">
        <is>
          <t>Venture Capital</t>
        </is>
      </c>
      <c r="Q256" s="155" t="inlineStr">
        <is>
          <t>www.kontakt.io</t>
        </is>
      </c>
      <c r="R256" s="156" t="n">
        <v>68.0</v>
      </c>
      <c r="S256" s="157" t="inlineStr">
        <is>
          <t/>
        </is>
      </c>
      <c r="T256" s="158" t="inlineStr">
        <is>
          <t/>
        </is>
      </c>
      <c r="U256" s="159" t="n">
        <v>2013.0</v>
      </c>
      <c r="V256" s="160" t="inlineStr">
        <is>
          <t/>
        </is>
      </c>
      <c r="W256" s="161" t="inlineStr">
        <is>
          <t/>
        </is>
      </c>
      <c r="X256" s="162" t="inlineStr">
        <is>
          <t/>
        </is>
      </c>
      <c r="Y256" s="163" t="inlineStr">
        <is>
          <t/>
        </is>
      </c>
      <c r="Z256" s="164" t="inlineStr">
        <is>
          <t/>
        </is>
      </c>
      <c r="AA256" s="165" t="inlineStr">
        <is>
          <t/>
        </is>
      </c>
      <c r="AB256" s="166" t="inlineStr">
        <is>
          <t/>
        </is>
      </c>
      <c r="AC256" s="167" t="inlineStr">
        <is>
          <t/>
        </is>
      </c>
      <c r="AD256" s="168" t="inlineStr">
        <is>
          <t/>
        </is>
      </c>
      <c r="AE256" s="169" t="inlineStr">
        <is>
          <t>53739-19P</t>
        </is>
      </c>
      <c r="AF256" s="170" t="inlineStr">
        <is>
          <t>Szymon Niemczura</t>
        </is>
      </c>
      <c r="AG256" s="171" t="inlineStr">
        <is>
          <t>Co-Founder, Chief Executive Officer &amp; Board Member</t>
        </is>
      </c>
      <c r="AH256" s="172" t="inlineStr">
        <is>
          <t>szymon@kontakt.io</t>
        </is>
      </c>
      <c r="AI256" s="173" t="inlineStr">
        <is>
          <t>+48 12 379 3445</t>
        </is>
      </c>
      <c r="AJ256" s="174" t="inlineStr">
        <is>
          <t>Kraków, Poland</t>
        </is>
      </c>
      <c r="AK256" s="175" t="inlineStr">
        <is>
          <t>Stoczniowców 3</t>
        </is>
      </c>
      <c r="AL256" s="176" t="inlineStr">
        <is>
          <t/>
        </is>
      </c>
      <c r="AM256" s="177" t="inlineStr">
        <is>
          <t>Kraków</t>
        </is>
      </c>
      <c r="AN256" s="178" t="inlineStr">
        <is>
          <t/>
        </is>
      </c>
      <c r="AO256" s="179" t="inlineStr">
        <is>
          <t>30-709</t>
        </is>
      </c>
      <c r="AP256" s="180" t="inlineStr">
        <is>
          <t>Poland</t>
        </is>
      </c>
      <c r="AQ256" s="181" t="inlineStr">
        <is>
          <t>+48 12 379 3445</t>
        </is>
      </c>
      <c r="AR256" s="182" t="inlineStr">
        <is>
          <t/>
        </is>
      </c>
      <c r="AS256" s="183" t="inlineStr">
        <is>
          <t>kontakt@kontakt.io</t>
        </is>
      </c>
      <c r="AT256" s="184" t="inlineStr">
        <is>
          <t>Europe</t>
        </is>
      </c>
      <c r="AU256" s="185" t="inlineStr">
        <is>
          <t>Eastern Europe</t>
        </is>
      </c>
      <c r="AV256" s="186" t="inlineStr">
        <is>
          <t>The company raised $500,000 of venture funding from undisclosed investors on June 30, 2016. Previously, the company raised $5 million of Series B venture funding in a deal led by Credo Ventures on December 23, 2015. Sunstone Capital and other undisclosed investors also participated.</t>
        </is>
      </c>
      <c r="AW256" s="187" t="inlineStr">
        <is>
          <t>Credo Ventures, Sunstone Capital, Wearable IoT World</t>
        </is>
      </c>
      <c r="AX256" s="188" t="n">
        <v>3.0</v>
      </c>
      <c r="AY256" s="189" t="inlineStr">
        <is>
          <t/>
        </is>
      </c>
      <c r="AZ256" s="190" t="inlineStr">
        <is>
          <t/>
        </is>
      </c>
      <c r="BA256" s="191" t="inlineStr">
        <is>
          <t/>
        </is>
      </c>
      <c r="BB256" s="192" t="inlineStr">
        <is>
          <t>Credo Ventures (www.credoventures.com), Sunstone Capital (www.sunstone.eu), Wearable IoT World (www.readwritelabs.com)</t>
        </is>
      </c>
      <c r="BC256" s="193" t="inlineStr">
        <is>
          <t/>
        </is>
      </c>
      <c r="BD256" s="194" t="inlineStr">
        <is>
          <t/>
        </is>
      </c>
      <c r="BE256" s="195" t="inlineStr">
        <is>
          <t/>
        </is>
      </c>
      <c r="BF256" s="196" t="inlineStr">
        <is>
          <t/>
        </is>
      </c>
      <c r="BG256" s="197" t="n">
        <v>41527.0</v>
      </c>
      <c r="BH256" s="198" t="n">
        <v>0.19</v>
      </c>
      <c r="BI256" s="199" t="inlineStr">
        <is>
          <t>Actual</t>
        </is>
      </c>
      <c r="BJ256" s="200" t="inlineStr">
        <is>
          <t/>
        </is>
      </c>
      <c r="BK256" s="201" t="inlineStr">
        <is>
          <t/>
        </is>
      </c>
      <c r="BL256" s="202" t="inlineStr">
        <is>
          <t>Seed Round</t>
        </is>
      </c>
      <c r="BM256" s="203" t="inlineStr">
        <is>
          <t>Seed</t>
        </is>
      </c>
      <c r="BN256" s="204" t="inlineStr">
        <is>
          <t/>
        </is>
      </c>
      <c r="BO256" s="205" t="inlineStr">
        <is>
          <t>Venture Capital</t>
        </is>
      </c>
      <c r="BP256" s="206" t="inlineStr">
        <is>
          <t/>
        </is>
      </c>
      <c r="BQ256" s="207" t="inlineStr">
        <is>
          <t/>
        </is>
      </c>
      <c r="BR256" s="208" t="inlineStr">
        <is>
          <t/>
        </is>
      </c>
      <c r="BS256" s="209" t="inlineStr">
        <is>
          <t>Completed</t>
        </is>
      </c>
      <c r="BT256" s="210" t="n">
        <v>42551.0</v>
      </c>
      <c r="BU256" s="211" t="n">
        <v>0.44</v>
      </c>
      <c r="BV256" s="212" t="inlineStr">
        <is>
          <t>Actual</t>
        </is>
      </c>
      <c r="BW256" s="213" t="inlineStr">
        <is>
          <t/>
        </is>
      </c>
      <c r="BX256" s="214" t="inlineStr">
        <is>
          <t/>
        </is>
      </c>
      <c r="BY256" s="215" t="inlineStr">
        <is>
          <t>Early Stage VC</t>
        </is>
      </c>
      <c r="BZ256" s="216" t="inlineStr">
        <is>
          <t/>
        </is>
      </c>
      <c r="CA256" s="217" t="inlineStr">
        <is>
          <t/>
        </is>
      </c>
      <c r="CB256" s="218" t="inlineStr">
        <is>
          <t>Venture Capital</t>
        </is>
      </c>
      <c r="CC256" s="219" t="inlineStr">
        <is>
          <t/>
        </is>
      </c>
      <c r="CD256" s="220" t="inlineStr">
        <is>
          <t/>
        </is>
      </c>
      <c r="CE256" s="221" t="inlineStr">
        <is>
          <t/>
        </is>
      </c>
      <c r="CF256" s="222" t="inlineStr">
        <is>
          <t>Completed</t>
        </is>
      </c>
      <c r="CG256" s="223" t="inlineStr">
        <is>
          <t>-0,15%</t>
        </is>
      </c>
      <c r="CH256" s="224" t="inlineStr">
        <is>
          <t>13</t>
        </is>
      </c>
      <c r="CI256" s="225" t="inlineStr">
        <is>
          <t>0,00%</t>
        </is>
      </c>
      <c r="CJ256" s="226" t="inlineStr">
        <is>
          <t>0,27%</t>
        </is>
      </c>
      <c r="CK256" s="227" t="inlineStr">
        <is>
          <t>-0,40%</t>
        </is>
      </c>
      <c r="CL256" s="228" t="inlineStr">
        <is>
          <t>13</t>
        </is>
      </c>
      <c r="CM256" s="229" t="inlineStr">
        <is>
          <t>0,10%</t>
        </is>
      </c>
      <c r="CN256" s="230" t="inlineStr">
        <is>
          <t>60</t>
        </is>
      </c>
      <c r="CO256" s="231" t="inlineStr">
        <is>
          <t>-0,79%</t>
        </is>
      </c>
      <c r="CP256" s="232" t="inlineStr">
        <is>
          <t>21</t>
        </is>
      </c>
      <c r="CQ256" s="233" t="inlineStr">
        <is>
          <t>0,00%</t>
        </is>
      </c>
      <c r="CR256" s="234" t="inlineStr">
        <is>
          <t>13</t>
        </is>
      </c>
      <c r="CS256" s="235" t="inlineStr">
        <is>
          <t>0,15%</t>
        </is>
      </c>
      <c r="CT256" s="236" t="inlineStr">
        <is>
          <t>65</t>
        </is>
      </c>
      <c r="CU256" s="237" t="inlineStr">
        <is>
          <t>0,06%</t>
        </is>
      </c>
      <c r="CV256" s="238" t="inlineStr">
        <is>
          <t>62</t>
        </is>
      </c>
      <c r="CW256" s="239" t="inlineStr">
        <is>
          <t>21,75x</t>
        </is>
      </c>
      <c r="CX256" s="240" t="inlineStr">
        <is>
          <t>92</t>
        </is>
      </c>
      <c r="CY256" s="241" t="inlineStr">
        <is>
          <t>0,27x</t>
        </is>
      </c>
      <c r="CZ256" s="242" t="inlineStr">
        <is>
          <t>1,26%</t>
        </is>
      </c>
      <c r="DA256" s="243" t="inlineStr">
        <is>
          <t>20,60x</t>
        </is>
      </c>
      <c r="DB256" s="244" t="inlineStr">
        <is>
          <t>93</t>
        </is>
      </c>
      <c r="DC256" s="245" t="inlineStr">
        <is>
          <t>22,91x</t>
        </is>
      </c>
      <c r="DD256" s="246" t="inlineStr">
        <is>
          <t>91</t>
        </is>
      </c>
      <c r="DE256" s="247" t="inlineStr">
        <is>
          <t>39,14x</t>
        </is>
      </c>
      <c r="DF256" s="248" t="inlineStr">
        <is>
          <t>92</t>
        </is>
      </c>
      <c r="DG256" s="249" t="inlineStr">
        <is>
          <t>2,06x</t>
        </is>
      </c>
      <c r="DH256" s="250" t="inlineStr">
        <is>
          <t>65</t>
        </is>
      </c>
      <c r="DI256" s="251" t="inlineStr">
        <is>
          <t>5,65x</t>
        </is>
      </c>
      <c r="DJ256" s="252" t="inlineStr">
        <is>
          <t>76</t>
        </is>
      </c>
      <c r="DK256" s="253" t="inlineStr">
        <is>
          <t>40,17x</t>
        </is>
      </c>
      <c r="DL256" s="254" t="inlineStr">
        <is>
          <t>95</t>
        </is>
      </c>
      <c r="DM256" s="255" t="inlineStr">
        <is>
          <t>24.591</t>
        </is>
      </c>
      <c r="DN256" s="256" t="inlineStr">
        <is>
          <t>-1.560</t>
        </is>
      </c>
      <c r="DO256" s="257" t="inlineStr">
        <is>
          <t>-5,97%</t>
        </is>
      </c>
      <c r="DP256" s="258" t="inlineStr">
        <is>
          <t>4.508</t>
        </is>
      </c>
      <c r="DQ256" s="259" t="inlineStr">
        <is>
          <t>4</t>
        </is>
      </c>
      <c r="DR256" s="260" t="inlineStr">
        <is>
          <t>0,09%</t>
        </is>
      </c>
      <c r="DS256" s="261" t="inlineStr">
        <is>
          <t>73</t>
        </is>
      </c>
      <c r="DT256" s="262" t="inlineStr">
        <is>
          <t>3</t>
        </is>
      </c>
      <c r="DU256" s="263" t="inlineStr">
        <is>
          <t>4,29%</t>
        </is>
      </c>
      <c r="DV256" s="264" t="inlineStr">
        <is>
          <t>13.774</t>
        </is>
      </c>
      <c r="DW256" s="265" t="inlineStr">
        <is>
          <t>7</t>
        </is>
      </c>
      <c r="DX256" s="266" t="inlineStr">
        <is>
          <t>0,05%</t>
        </is>
      </c>
      <c r="DY256" s="267" t="inlineStr">
        <is>
          <t>PitchBook Research</t>
        </is>
      </c>
      <c r="DZ256" s="786">
        <f>HYPERLINK("https://my.pitchbook.com?c=58990-24", "View company online")</f>
      </c>
    </row>
    <row r="257">
      <c r="A257" s="9" t="inlineStr">
        <is>
          <t>64935-19</t>
        </is>
      </c>
      <c r="B257" s="10" t="inlineStr">
        <is>
          <t>KONUX</t>
        </is>
      </c>
      <c r="C257" s="11" t="inlineStr">
        <is>
          <t/>
        </is>
      </c>
      <c r="D257" s="12" t="inlineStr">
        <is>
          <t/>
        </is>
      </c>
      <c r="E257" s="13" t="inlineStr">
        <is>
          <t>64935-19</t>
        </is>
      </c>
      <c r="F257" s="14" t="inlineStr">
        <is>
          <t>Developer of Internet of things based software intended to integrate smart sensor systems and AI-based analytics to continuously monitor asset and infrastructure condition. The company's Internet of things based software helps in determining a multitude of physical variables which can be integrated in complex systems and eliminate problems of common sensor technologies enabling industrial users to do predictive maintenance.</t>
        </is>
      </c>
      <c r="G257" s="15" t="inlineStr">
        <is>
          <t>Information Technology</t>
        </is>
      </c>
      <c r="H257" s="16" t="inlineStr">
        <is>
          <t>Software</t>
        </is>
      </c>
      <c r="I257" s="17" t="inlineStr">
        <is>
          <t>Application Software</t>
        </is>
      </c>
      <c r="J257" s="18" t="inlineStr">
        <is>
          <t>Application Software*; Business/Productivity Software</t>
        </is>
      </c>
      <c r="K257" s="19" t="inlineStr">
        <is>
          <t>Artificial Intelligence &amp; Machine Learning, Internet of Things, Manufacturing</t>
        </is>
      </c>
      <c r="L257" s="20" t="inlineStr">
        <is>
          <t>Venture Capital-Backed</t>
        </is>
      </c>
      <c r="M257" s="21" t="n">
        <v>16.68</v>
      </c>
      <c r="N257" s="22" t="inlineStr">
        <is>
          <t>Generating Revenue</t>
        </is>
      </c>
      <c r="O257" s="23" t="inlineStr">
        <is>
          <t>Privately Held (backing)</t>
        </is>
      </c>
      <c r="P257" s="24" t="inlineStr">
        <is>
          <t>Venture Capital</t>
        </is>
      </c>
      <c r="Q257" s="25" t="inlineStr">
        <is>
          <t>www.konux.com</t>
        </is>
      </c>
      <c r="R257" s="26" t="n">
        <v>35.0</v>
      </c>
      <c r="S257" s="27" t="inlineStr">
        <is>
          <t/>
        </is>
      </c>
      <c r="T257" s="28" t="inlineStr">
        <is>
          <t/>
        </is>
      </c>
      <c r="U257" s="29" t="n">
        <v>2014.0</v>
      </c>
      <c r="V257" s="30" t="inlineStr">
        <is>
          <t/>
        </is>
      </c>
      <c r="W257" s="31" t="inlineStr">
        <is>
          <t/>
        </is>
      </c>
      <c r="X257" s="32" t="inlineStr">
        <is>
          <t/>
        </is>
      </c>
      <c r="Y257" s="33" t="inlineStr">
        <is>
          <t/>
        </is>
      </c>
      <c r="Z257" s="34" t="inlineStr">
        <is>
          <t/>
        </is>
      </c>
      <c r="AA257" s="35" t="inlineStr">
        <is>
          <t/>
        </is>
      </c>
      <c r="AB257" s="36" t="inlineStr">
        <is>
          <t/>
        </is>
      </c>
      <c r="AC257" s="37" t="inlineStr">
        <is>
          <t/>
        </is>
      </c>
      <c r="AD257" s="38" t="inlineStr">
        <is>
          <t/>
        </is>
      </c>
      <c r="AE257" s="39" t="inlineStr">
        <is>
          <t>72696-16P</t>
        </is>
      </c>
      <c r="AF257" s="40" t="inlineStr">
        <is>
          <t>Vlad Lata</t>
        </is>
      </c>
      <c r="AG257" s="41" t="inlineStr">
        <is>
          <t>Chief Technology Officer &amp; Co-Founder</t>
        </is>
      </c>
      <c r="AH257" s="42" t="inlineStr">
        <is>
          <t>vlad.lata@konux.de</t>
        </is>
      </c>
      <c r="AI257" s="43" t="inlineStr">
        <is>
          <t>+49 (0)89 1895 5010</t>
        </is>
      </c>
      <c r="AJ257" s="44" t="inlineStr">
        <is>
          <t>Munich, Germany</t>
        </is>
      </c>
      <c r="AK257" s="45" t="inlineStr">
        <is>
          <t>Floessergasse 2</t>
        </is>
      </c>
      <c r="AL257" s="46" t="inlineStr">
        <is>
          <t/>
        </is>
      </c>
      <c r="AM257" s="47" t="inlineStr">
        <is>
          <t>Munich</t>
        </is>
      </c>
      <c r="AN257" s="48" t="inlineStr">
        <is>
          <t/>
        </is>
      </c>
      <c r="AO257" s="49" t="inlineStr">
        <is>
          <t>81369</t>
        </is>
      </c>
      <c r="AP257" s="50" t="inlineStr">
        <is>
          <t>Germany</t>
        </is>
      </c>
      <c r="AQ257" s="51" t="inlineStr">
        <is>
          <t>+49 (0)89 1895 5010</t>
        </is>
      </c>
      <c r="AR257" s="52" t="inlineStr">
        <is>
          <t/>
        </is>
      </c>
      <c r="AS257" s="53" t="inlineStr">
        <is>
          <t>info@konux.de</t>
        </is>
      </c>
      <c r="AT257" s="54" t="inlineStr">
        <is>
          <t>Europe</t>
        </is>
      </c>
      <c r="AU257" s="55" t="inlineStr">
        <is>
          <t>Western Europe</t>
        </is>
      </c>
      <c r="AV257" s="56" t="inlineStr">
        <is>
          <t>The company raised $9 million of Series A2 venture funding in a deal led by New Enterprise Associates on March 6, 2017. Upbeat Ventures, Lothar Stein, Andy Bechtolsheim, Unternehmertum Venture Capital Partners, Warren Weiss, HMW Innovations and Michael Baum also participated. Previously, the company raised an $7.5 million of Series A venture funding from New Enterprise Associates, Unternehmertum Venture Capital Partners and Andy Bechtolsheim on April 8, 2016. MIG, Michael Baum and Warren Weiss also participated in the round.</t>
        </is>
      </c>
      <c r="AW257" s="57" t="inlineStr">
        <is>
          <t>Andy Bechtolsheim, EIT Digital, Founder.org, HMW Innovations, Lothar Stein, Michael Baum, MIG, New Enterprise Associates, UnternehmerTUM, Unternehmertum Venture Capital Partners, Upbeat Ventures, Warren Weiss</t>
        </is>
      </c>
      <c r="AX257" s="58" t="n">
        <v>12.0</v>
      </c>
      <c r="AY257" s="59" t="inlineStr">
        <is>
          <t/>
        </is>
      </c>
      <c r="AZ257" s="60" t="inlineStr">
        <is>
          <t/>
        </is>
      </c>
      <c r="BA257" s="61" t="inlineStr">
        <is>
          <t/>
        </is>
      </c>
      <c r="BB257" s="62" t="inlineStr">
        <is>
          <t>EIT Digital (www.eitdigital.eu), Founder.org (www.founder.org), HMW Innovations (www.hmw-innovations.ag), MIG (www.migllc-group.com), New Enterprise Associates (www.nea.com), UnternehmerTUM (www.unternehmertum.de), Unternehmertum Venture Capital Partners (www.uvcpartners.com)</t>
        </is>
      </c>
      <c r="BC257" s="63" t="inlineStr">
        <is>
          <t/>
        </is>
      </c>
      <c r="BD257" s="64" t="inlineStr">
        <is>
          <t/>
        </is>
      </c>
      <c r="BE257" s="65" t="inlineStr">
        <is>
          <t>TechFounders (Consulting), Wilson Sonsini Goodrich &amp; Rosati (Legal Advisor)</t>
        </is>
      </c>
      <c r="BF257" s="66" t="inlineStr">
        <is>
          <t>Wilson Sonsini Goodrich &amp; Rosati (Legal Advisor)</t>
        </is>
      </c>
      <c r="BG257" s="67" t="n">
        <v>41791.0</v>
      </c>
      <c r="BH257" s="68" t="n">
        <v>0.04</v>
      </c>
      <c r="BI257" s="69" t="inlineStr">
        <is>
          <t>Actual</t>
        </is>
      </c>
      <c r="BJ257" s="70" t="inlineStr">
        <is>
          <t/>
        </is>
      </c>
      <c r="BK257" s="71" t="inlineStr">
        <is>
          <t/>
        </is>
      </c>
      <c r="BL257" s="72" t="inlineStr">
        <is>
          <t>Accelerator/Incubator</t>
        </is>
      </c>
      <c r="BM257" s="73" t="inlineStr">
        <is>
          <t/>
        </is>
      </c>
      <c r="BN257" s="74" t="inlineStr">
        <is>
          <t/>
        </is>
      </c>
      <c r="BO257" s="75" t="inlineStr">
        <is>
          <t>Other</t>
        </is>
      </c>
      <c r="BP257" s="76" t="inlineStr">
        <is>
          <t/>
        </is>
      </c>
      <c r="BQ257" s="77" t="inlineStr">
        <is>
          <t/>
        </is>
      </c>
      <c r="BR257" s="78" t="inlineStr">
        <is>
          <t/>
        </is>
      </c>
      <c r="BS257" s="79" t="inlineStr">
        <is>
          <t>Completed</t>
        </is>
      </c>
      <c r="BT257" s="80" t="n">
        <v>42800.0</v>
      </c>
      <c r="BU257" s="81" t="n">
        <v>8.42</v>
      </c>
      <c r="BV257" s="82" t="inlineStr">
        <is>
          <t>Actual</t>
        </is>
      </c>
      <c r="BW257" s="83" t="inlineStr">
        <is>
          <t/>
        </is>
      </c>
      <c r="BX257" s="84" t="inlineStr">
        <is>
          <t/>
        </is>
      </c>
      <c r="BY257" s="85" t="inlineStr">
        <is>
          <t>Early Stage VC</t>
        </is>
      </c>
      <c r="BZ257" s="86" t="inlineStr">
        <is>
          <t>Series A2</t>
        </is>
      </c>
      <c r="CA257" s="87" t="inlineStr">
        <is>
          <t/>
        </is>
      </c>
      <c r="CB257" s="88" t="inlineStr">
        <is>
          <t>Venture Capital</t>
        </is>
      </c>
      <c r="CC257" s="89" t="inlineStr">
        <is>
          <t/>
        </is>
      </c>
      <c r="CD257" s="90" t="inlineStr">
        <is>
          <t/>
        </is>
      </c>
      <c r="CE257" s="91" t="inlineStr">
        <is>
          <t/>
        </is>
      </c>
      <c r="CF257" s="92" t="inlineStr">
        <is>
          <t>Completed</t>
        </is>
      </c>
      <c r="CG257" s="93" t="inlineStr">
        <is>
          <t>-3,40%</t>
        </is>
      </c>
      <c r="CH257" s="94" t="inlineStr">
        <is>
          <t>1</t>
        </is>
      </c>
      <c r="CI257" s="95" t="inlineStr">
        <is>
          <t>0,00%</t>
        </is>
      </c>
      <c r="CJ257" s="96" t="inlineStr">
        <is>
          <t>0,01%</t>
        </is>
      </c>
      <c r="CK257" s="97" t="inlineStr">
        <is>
          <t>-7,07%</t>
        </is>
      </c>
      <c r="CL257" s="98" t="inlineStr">
        <is>
          <t>1</t>
        </is>
      </c>
      <c r="CM257" s="99" t="inlineStr">
        <is>
          <t>0,28%</t>
        </is>
      </c>
      <c r="CN257" s="100" t="inlineStr">
        <is>
          <t>80</t>
        </is>
      </c>
      <c r="CO257" s="101" t="inlineStr">
        <is>
          <t>-7,07%</t>
        </is>
      </c>
      <c r="CP257" s="102" t="inlineStr">
        <is>
          <t>4</t>
        </is>
      </c>
      <c r="CQ257" s="103" t="inlineStr">
        <is>
          <t/>
        </is>
      </c>
      <c r="CR257" s="104" t="inlineStr">
        <is>
          <t/>
        </is>
      </c>
      <c r="CS257" s="105" t="inlineStr">
        <is>
          <t>0,06%</t>
        </is>
      </c>
      <c r="CT257" s="106" t="inlineStr">
        <is>
          <t>51</t>
        </is>
      </c>
      <c r="CU257" s="107" t="inlineStr">
        <is>
          <t>0,50%</t>
        </is>
      </c>
      <c r="CV257" s="108" t="inlineStr">
        <is>
          <t>92</t>
        </is>
      </c>
      <c r="CW257" s="109" t="inlineStr">
        <is>
          <t>2,89x</t>
        </is>
      </c>
      <c r="CX257" s="110" t="inlineStr">
        <is>
          <t>71</t>
        </is>
      </c>
      <c r="CY257" s="111" t="inlineStr">
        <is>
          <t>0,03x</t>
        </is>
      </c>
      <c r="CZ257" s="112" t="inlineStr">
        <is>
          <t>1,13%</t>
        </is>
      </c>
      <c r="DA257" s="113" t="inlineStr">
        <is>
          <t>3,09x</t>
        </is>
      </c>
      <c r="DB257" s="114" t="inlineStr">
        <is>
          <t>74</t>
        </is>
      </c>
      <c r="DC257" s="115" t="inlineStr">
        <is>
          <t>2,68x</t>
        </is>
      </c>
      <c r="DD257" s="116" t="inlineStr">
        <is>
          <t>66</t>
        </is>
      </c>
      <c r="DE257" s="117" t="inlineStr">
        <is>
          <t>3,09x</t>
        </is>
      </c>
      <c r="DF257" s="118" t="inlineStr">
        <is>
          <t>70</t>
        </is>
      </c>
      <c r="DG257" s="119" t="inlineStr">
        <is>
          <t/>
        </is>
      </c>
      <c r="DH257" s="120" t="inlineStr">
        <is>
          <t/>
        </is>
      </c>
      <c r="DI257" s="121" t="inlineStr">
        <is>
          <t>2,74x</t>
        </is>
      </c>
      <c r="DJ257" s="122" t="inlineStr">
        <is>
          <t>67</t>
        </is>
      </c>
      <c r="DK257" s="123" t="inlineStr">
        <is>
          <t>2,62x</t>
        </is>
      </c>
      <c r="DL257" s="124" t="inlineStr">
        <is>
          <t>68</t>
        </is>
      </c>
      <c r="DM257" s="125" t="inlineStr">
        <is>
          <t>1.962</t>
        </is>
      </c>
      <c r="DN257" s="126" t="inlineStr">
        <is>
          <t>-192</t>
        </is>
      </c>
      <c r="DO257" s="127" t="inlineStr">
        <is>
          <t>-8,91%</t>
        </is>
      </c>
      <c r="DP257" s="128" t="inlineStr">
        <is>
          <t>2.189</t>
        </is>
      </c>
      <c r="DQ257" s="129" t="inlineStr">
        <is>
          <t>4</t>
        </is>
      </c>
      <c r="DR257" s="130" t="inlineStr">
        <is>
          <t>0,18%</t>
        </is>
      </c>
      <c r="DS257" s="131" t="inlineStr">
        <is>
          <t/>
        </is>
      </c>
      <c r="DT257" s="132" t="inlineStr">
        <is>
          <t/>
        </is>
      </c>
      <c r="DU257" s="133" t="inlineStr">
        <is>
          <t/>
        </is>
      </c>
      <c r="DV257" s="134" t="inlineStr">
        <is>
          <t>896</t>
        </is>
      </c>
      <c r="DW257" s="135" t="inlineStr">
        <is>
          <t>3</t>
        </is>
      </c>
      <c r="DX257" s="136" t="inlineStr">
        <is>
          <t>0,34%</t>
        </is>
      </c>
      <c r="DY257" s="137" t="inlineStr">
        <is>
          <t>PitchBook Research</t>
        </is>
      </c>
      <c r="DZ257" s="785">
        <f>HYPERLINK("https://my.pitchbook.com?c=64935-19", "View company online")</f>
      </c>
    </row>
    <row r="258">
      <c r="A258" s="139" t="inlineStr">
        <is>
          <t>55790-11</t>
        </is>
      </c>
      <c r="B258" s="140" t="inlineStr">
        <is>
          <t>Kreditech</t>
        </is>
      </c>
      <c r="C258" s="141" t="inlineStr">
        <is>
          <t/>
        </is>
      </c>
      <c r="D258" s="142" t="inlineStr">
        <is>
          <t/>
        </is>
      </c>
      <c r="E258" s="143" t="inlineStr">
        <is>
          <t>55790-11</t>
        </is>
      </c>
      <c r="F258" s="144" t="inlineStr">
        <is>
          <t>Provider of a lending as a service (Laas) based credit-scoring platform designed to improve financial freedom for the under-banked by the use of technology. The company's lending as a service (Laas) based credit-scoring platform identifies and scores individuals online, decides and instantly pays out loans, based on 15,000 data points, providing banking products (installment loans, microloans, credit cards, electronic wallets) to customers in emerging markets.</t>
        </is>
      </c>
      <c r="G258" s="145" t="inlineStr">
        <is>
          <t>Financial Services</t>
        </is>
      </c>
      <c r="H258" s="146" t="inlineStr">
        <is>
          <t>Other Financial Services</t>
        </is>
      </c>
      <c r="I258" s="147" t="inlineStr">
        <is>
          <t>Consumer Finance</t>
        </is>
      </c>
      <c r="J258" s="148" t="inlineStr">
        <is>
          <t>Consumer Finance*; Financial Software</t>
        </is>
      </c>
      <c r="K258" s="149" t="inlineStr">
        <is>
          <t>Big Data, FinTech</t>
        </is>
      </c>
      <c r="L258" s="150" t="inlineStr">
        <is>
          <t>Venture Capital-Backed</t>
        </is>
      </c>
      <c r="M258" s="151" t="n">
        <v>271.56</v>
      </c>
      <c r="N258" s="152" t="inlineStr">
        <is>
          <t>Generating Revenue/Not Profitable</t>
        </is>
      </c>
      <c r="O258" s="153" t="inlineStr">
        <is>
          <t>Privately Held (backing)</t>
        </is>
      </c>
      <c r="P258" s="154" t="inlineStr">
        <is>
          <t>Venture Capital</t>
        </is>
      </c>
      <c r="Q258" s="155" t="inlineStr">
        <is>
          <t>www.kreditech.com</t>
        </is>
      </c>
      <c r="R258" s="156" t="n">
        <v>387.0</v>
      </c>
      <c r="S258" s="157" t="inlineStr">
        <is>
          <t/>
        </is>
      </c>
      <c r="T258" s="158" t="inlineStr">
        <is>
          <t/>
        </is>
      </c>
      <c r="U258" s="159" t="n">
        <v>2012.0</v>
      </c>
      <c r="V258" s="160" t="inlineStr">
        <is>
          <t/>
        </is>
      </c>
      <c r="W258" s="161" t="inlineStr">
        <is>
          <t/>
        </is>
      </c>
      <c r="X258" s="162" t="inlineStr">
        <is>
          <t/>
        </is>
      </c>
      <c r="Y258" s="163" t="n">
        <v>50.00018</v>
      </c>
      <c r="Z258" s="164" t="inlineStr">
        <is>
          <t/>
        </is>
      </c>
      <c r="AA258" s="165" t="inlineStr">
        <is>
          <t/>
        </is>
      </c>
      <c r="AB258" s="166" t="inlineStr">
        <is>
          <t/>
        </is>
      </c>
      <c r="AC258" s="167" t="inlineStr">
        <is>
          <t/>
        </is>
      </c>
      <c r="AD258" s="168" t="inlineStr">
        <is>
          <t>FY 2016</t>
        </is>
      </c>
      <c r="AE258" s="169" t="inlineStr">
        <is>
          <t>54940-96P</t>
        </is>
      </c>
      <c r="AF258" s="170" t="inlineStr">
        <is>
          <t>Rene Griemens</t>
        </is>
      </c>
      <c r="AG258" s="171" t="inlineStr">
        <is>
          <t>Chief Financial Officer &amp; Board Member</t>
        </is>
      </c>
      <c r="AH258" s="172" t="inlineStr">
        <is>
          <t>rene@kreditech.com</t>
        </is>
      </c>
      <c r="AI258" s="173" t="inlineStr">
        <is>
          <t>+49 (0)40 6059 0560</t>
        </is>
      </c>
      <c r="AJ258" s="174" t="inlineStr">
        <is>
          <t>Hamburg, Germany</t>
        </is>
      </c>
      <c r="AK258" s="175" t="inlineStr">
        <is>
          <t>Ludwig-Erhard-Straße 1</t>
        </is>
      </c>
      <c r="AL258" s="176" t="inlineStr">
        <is>
          <t/>
        </is>
      </c>
      <c r="AM258" s="177" t="inlineStr">
        <is>
          <t>Hamburg</t>
        </is>
      </c>
      <c r="AN258" s="178" t="inlineStr">
        <is>
          <t/>
        </is>
      </c>
      <c r="AO258" s="179" t="inlineStr">
        <is>
          <t>20459</t>
        </is>
      </c>
      <c r="AP258" s="180" t="inlineStr">
        <is>
          <t>Germany</t>
        </is>
      </c>
      <c r="AQ258" s="181" t="inlineStr">
        <is>
          <t>+49 (0)40 6059 0560</t>
        </is>
      </c>
      <c r="AR258" s="182" t="inlineStr">
        <is>
          <t/>
        </is>
      </c>
      <c r="AS258" s="183" t="inlineStr">
        <is>
          <t>info@kreditech.com</t>
        </is>
      </c>
      <c r="AT258" s="184" t="inlineStr">
        <is>
          <t>Europe</t>
        </is>
      </c>
      <c r="AU258" s="185" t="inlineStr">
        <is>
          <t>Western Europe</t>
        </is>
      </c>
      <c r="AV258" s="186" t="inlineStr">
        <is>
          <t>The company received EUR 110 million of corporate financing from PayU, the payments company owned by Naspers on May 10, 2017, putting the company's valuation at EUR 400 million. The company which has raised more than EUR 242 million in to total equity funding to date, intends to use the funds to expand their Lending as a Service (LaaS) offering and deliver their unique AI and machine-learning credit underwriting and loan management technology to PayU's 300,000-strong network of merchants.</t>
        </is>
      </c>
      <c r="AW258" s="187" t="inlineStr">
        <is>
          <t>Amadeus Capital Partners, Blumberg Capital, Christoph Janz, Digital Pioneers, Felix Haas, Global Founders Capital, GreyCorp, H2 Investments, Heiko Hubertz, Heissam Hartmann, HPE Growth Capital, International Finance Corporation, J.C. Flowers &amp; Company, Kreos Capital, Michael Brehm, Nils Henning, PayU, Peter Thiel, Point Nine Capital, Rakuten Capital, Robert Wuttke, Stefan Glaenzer, Valar Ventures, Värde Partners, YoungBrains</t>
        </is>
      </c>
      <c r="AX258" s="188" t="n">
        <v>25.0</v>
      </c>
      <c r="AY258" s="189" t="inlineStr">
        <is>
          <t/>
        </is>
      </c>
      <c r="AZ258" s="190" t="inlineStr">
        <is>
          <t/>
        </is>
      </c>
      <c r="BA258" s="191" t="inlineStr">
        <is>
          <t/>
        </is>
      </c>
      <c r="BB258" s="192" t="inlineStr">
        <is>
          <t>Amadeus Capital Partners (www.amadeuscapital.com), Blumberg Capital (www.blumbergcapital.com), Digital Pioneers (www.digitalpioneers.de), Felix Haas (facebook.com/felixhaas), Global Founders Capital (www.globalfounders.vc), H2 Investments (www.h2-investments.com), Heissam Hartmann (www.mrheissam.net), HPE Growth Capital (www.hpegrowthcapital.com), International Finance Corporation (www.ifc.org), J.C. Flowers &amp; Company (www.jcfco.com), Kreos Capital (www.kreoscapital.com), PayU (corporate.payu.com), Point Nine Capital (www.pointninecap.com), Rakuten Capital (capital.rakuten.com), Valar Ventures (www.valarventures.com), Värde Partners (www.varde.com), YoungBrains (www.youngbrains.net)</t>
        </is>
      </c>
      <c r="BC258" s="193" t="inlineStr">
        <is>
          <t/>
        </is>
      </c>
      <c r="BD258" s="194" t="inlineStr">
        <is>
          <t/>
        </is>
      </c>
      <c r="BE258" s="195" t="inlineStr">
        <is>
          <t>King &amp; Wood Mallesons SJ Berwin (Legal Advisor), Deloitte (Accounting)</t>
        </is>
      </c>
      <c r="BF258" s="196" t="inlineStr">
        <is>
          <t>Jefferies Group (Advisor), P+P Pöllath + Partners (Legal Advisor), King &amp; Wood Mallesons SJ Berwin (Legal Advisor), Victory Park Capital, Berenberg Bank (Advisor), Deloitte (Accounting), Kreos Capital</t>
        </is>
      </c>
      <c r="BG258" s="197" t="n">
        <v>40977.0</v>
      </c>
      <c r="BH258" s="198" t="n">
        <v>0.01</v>
      </c>
      <c r="BI258" s="199" t="inlineStr">
        <is>
          <t>Actual</t>
        </is>
      </c>
      <c r="BJ258" s="200" t="inlineStr">
        <is>
          <t/>
        </is>
      </c>
      <c r="BK258" s="201" t="inlineStr">
        <is>
          <t/>
        </is>
      </c>
      <c r="BL258" s="202" t="inlineStr">
        <is>
          <t>Seed Round</t>
        </is>
      </c>
      <c r="BM258" s="203" t="inlineStr">
        <is>
          <t>Seed</t>
        </is>
      </c>
      <c r="BN258" s="204" t="inlineStr">
        <is>
          <t/>
        </is>
      </c>
      <c r="BO258" s="205" t="inlineStr">
        <is>
          <t>Venture Capital</t>
        </is>
      </c>
      <c r="BP258" s="206" t="inlineStr">
        <is>
          <t/>
        </is>
      </c>
      <c r="BQ258" s="207" t="inlineStr">
        <is>
          <t/>
        </is>
      </c>
      <c r="BR258" s="208" t="inlineStr">
        <is>
          <t/>
        </is>
      </c>
      <c r="BS258" s="209" t="inlineStr">
        <is>
          <t>Completed</t>
        </is>
      </c>
      <c r="BT258" s="210" t="n">
        <v>42865.0</v>
      </c>
      <c r="BU258" s="211" t="n">
        <v>110.0</v>
      </c>
      <c r="BV258" s="212" t="inlineStr">
        <is>
          <t>Actual</t>
        </is>
      </c>
      <c r="BW258" s="213" t="n">
        <v>400.0</v>
      </c>
      <c r="BX258" s="214" t="inlineStr">
        <is>
          <t>Estimated</t>
        </is>
      </c>
      <c r="BY258" s="215" t="inlineStr">
        <is>
          <t>Corporate</t>
        </is>
      </c>
      <c r="BZ258" s="216" t="inlineStr">
        <is>
          <t>Corporate</t>
        </is>
      </c>
      <c r="CA258" s="217" t="inlineStr">
        <is>
          <t/>
        </is>
      </c>
      <c r="CB258" s="218" t="inlineStr">
        <is>
          <t>Corporate</t>
        </is>
      </c>
      <c r="CC258" s="219" t="inlineStr">
        <is>
          <t/>
        </is>
      </c>
      <c r="CD258" s="220" t="inlineStr">
        <is>
          <t/>
        </is>
      </c>
      <c r="CE258" s="221" t="inlineStr">
        <is>
          <t/>
        </is>
      </c>
      <c r="CF258" s="222" t="inlineStr">
        <is>
          <t>Completed</t>
        </is>
      </c>
      <c r="CG258" s="223" t="inlineStr">
        <is>
          <t>-0,44%</t>
        </is>
      </c>
      <c r="CH258" s="224" t="inlineStr">
        <is>
          <t>9</t>
        </is>
      </c>
      <c r="CI258" s="225" t="inlineStr">
        <is>
          <t>0,00%</t>
        </is>
      </c>
      <c r="CJ258" s="226" t="inlineStr">
        <is>
          <t>-0,40%</t>
        </is>
      </c>
      <c r="CK258" s="227" t="inlineStr">
        <is>
          <t>-0,93%</t>
        </is>
      </c>
      <c r="CL258" s="228" t="inlineStr">
        <is>
          <t>9</t>
        </is>
      </c>
      <c r="CM258" s="229" t="inlineStr">
        <is>
          <t>0,05%</t>
        </is>
      </c>
      <c r="CN258" s="230" t="inlineStr">
        <is>
          <t>52</t>
        </is>
      </c>
      <c r="CO258" s="231" t="inlineStr">
        <is>
          <t>-3,57%</t>
        </is>
      </c>
      <c r="CP258" s="232" t="inlineStr">
        <is>
          <t>10</t>
        </is>
      </c>
      <c r="CQ258" s="233" t="inlineStr">
        <is>
          <t>1,70%</t>
        </is>
      </c>
      <c r="CR258" s="234" t="inlineStr">
        <is>
          <t>90</t>
        </is>
      </c>
      <c r="CS258" s="235" t="inlineStr">
        <is>
          <t>-0,01%</t>
        </is>
      </c>
      <c r="CT258" s="236" t="inlineStr">
        <is>
          <t>15</t>
        </is>
      </c>
      <c r="CU258" s="237" t="inlineStr">
        <is>
          <t>0,12%</t>
        </is>
      </c>
      <c r="CV258" s="238" t="inlineStr">
        <is>
          <t>70</t>
        </is>
      </c>
      <c r="CW258" s="239" t="inlineStr">
        <is>
          <t>24,79x</t>
        </is>
      </c>
      <c r="CX258" s="240" t="inlineStr">
        <is>
          <t>93</t>
        </is>
      </c>
      <c r="CY258" s="241" t="inlineStr">
        <is>
          <t>0,47x</t>
        </is>
      </c>
      <c r="CZ258" s="242" t="inlineStr">
        <is>
          <t>1,93%</t>
        </is>
      </c>
      <c r="DA258" s="243" t="inlineStr">
        <is>
          <t>30,68x</t>
        </is>
      </c>
      <c r="DB258" s="244" t="inlineStr">
        <is>
          <t>94</t>
        </is>
      </c>
      <c r="DC258" s="245" t="inlineStr">
        <is>
          <t>18,91x</t>
        </is>
      </c>
      <c r="DD258" s="246" t="inlineStr">
        <is>
          <t>89</t>
        </is>
      </c>
      <c r="DE258" s="247" t="inlineStr">
        <is>
          <t>10,19x</t>
        </is>
      </c>
      <c r="DF258" s="248" t="inlineStr">
        <is>
          <t>83</t>
        </is>
      </c>
      <c r="DG258" s="249" t="inlineStr">
        <is>
          <t>51,17x</t>
        </is>
      </c>
      <c r="DH258" s="250" t="inlineStr">
        <is>
          <t>97</t>
        </is>
      </c>
      <c r="DI258" s="251" t="inlineStr">
        <is>
          <t>30,32x</t>
        </is>
      </c>
      <c r="DJ258" s="252" t="inlineStr">
        <is>
          <t>90</t>
        </is>
      </c>
      <c r="DK258" s="253" t="inlineStr">
        <is>
          <t>7,50x</t>
        </is>
      </c>
      <c r="DL258" s="254" t="inlineStr">
        <is>
          <t>83</t>
        </is>
      </c>
      <c r="DM258" s="255" t="inlineStr">
        <is>
          <t>6.360</t>
        </is>
      </c>
      <c r="DN258" s="256" t="inlineStr">
        <is>
          <t>-285</t>
        </is>
      </c>
      <c r="DO258" s="257" t="inlineStr">
        <is>
          <t>-4,29%</t>
        </is>
      </c>
      <c r="DP258" s="258" t="inlineStr">
        <is>
          <t>24.221</t>
        </is>
      </c>
      <c r="DQ258" s="259" t="inlineStr">
        <is>
          <t>-4</t>
        </is>
      </c>
      <c r="DR258" s="260" t="inlineStr">
        <is>
          <t>-0,02%</t>
        </is>
      </c>
      <c r="DS258" s="261" t="inlineStr">
        <is>
          <t>1.846</t>
        </is>
      </c>
      <c r="DT258" s="262" t="inlineStr">
        <is>
          <t>-5</t>
        </is>
      </c>
      <c r="DU258" s="263" t="inlineStr">
        <is>
          <t>-0,27%</t>
        </is>
      </c>
      <c r="DV258" s="264" t="inlineStr">
        <is>
          <t>2.567</t>
        </is>
      </c>
      <c r="DW258" s="265" t="inlineStr">
        <is>
          <t>4</t>
        </is>
      </c>
      <c r="DX258" s="266" t="inlineStr">
        <is>
          <t>0,16%</t>
        </is>
      </c>
      <c r="DY258" s="267" t="inlineStr">
        <is>
          <t>PitchBook Research</t>
        </is>
      </c>
      <c r="DZ258" s="786">
        <f>HYPERLINK("https://my.pitchbook.com?c=55790-11", "View company online")</f>
      </c>
    </row>
    <row r="259">
      <c r="A259" s="9" t="inlineStr">
        <is>
          <t>120128-68</t>
        </is>
      </c>
      <c r="B259" s="10" t="inlineStr">
        <is>
          <t>KRY</t>
        </is>
      </c>
      <c r="C259" s="11" t="inlineStr">
        <is>
          <t/>
        </is>
      </c>
      <c r="D259" s="12" t="inlineStr">
        <is>
          <t/>
        </is>
      </c>
      <c r="E259" s="13" t="inlineStr">
        <is>
          <t>120128-68</t>
        </is>
      </c>
      <c r="F259" s="14" t="inlineStr">
        <is>
          <t>Provider of a video consultation application designed to have a video consultation with a healthcare professional via mobile. The company's video consultation application provides on-demand doctor appointments enabling patients to select a time for a doctor's appointment connect through a video consultation with a KRY-employed healthcare professional via their mobile phone or tablet, rather than a physical appointment. It also delivers prescribed medication and home tests to the patient's home and patients may receive prescriptions for medication, advice, referral to a specialist, with a follow-up appointment.</t>
        </is>
      </c>
      <c r="G259" s="15" t="inlineStr">
        <is>
          <t>Healthcare</t>
        </is>
      </c>
      <c r="H259" s="16" t="inlineStr">
        <is>
          <t>Healthcare Services</t>
        </is>
      </c>
      <c r="I259" s="17" t="inlineStr">
        <is>
          <t>Clinics/Outpatient Services</t>
        </is>
      </c>
      <c r="J259" s="18" t="inlineStr">
        <is>
          <t>Clinics/Outpatient Services*; Social/Platform Software</t>
        </is>
      </c>
      <c r="K259" s="19" t="inlineStr">
        <is>
          <t>HealthTech, Mobile</t>
        </is>
      </c>
      <c r="L259" s="20" t="inlineStr">
        <is>
          <t>Venture Capital-Backed</t>
        </is>
      </c>
      <c r="M259" s="21" t="n">
        <v>26.1</v>
      </c>
      <c r="N259" s="22" t="inlineStr">
        <is>
          <t>Generating Revenue</t>
        </is>
      </c>
      <c r="O259" s="23" t="inlineStr">
        <is>
          <t>Privately Held (backing)</t>
        </is>
      </c>
      <c r="P259" s="24" t="inlineStr">
        <is>
          <t>Venture Capital</t>
        </is>
      </c>
      <c r="Q259" s="25" t="inlineStr">
        <is>
          <t>www.kry.se</t>
        </is>
      </c>
      <c r="R259" s="26" t="n">
        <v>200.0</v>
      </c>
      <c r="S259" s="27" t="inlineStr">
        <is>
          <t/>
        </is>
      </c>
      <c r="T259" s="28" t="inlineStr">
        <is>
          <t/>
        </is>
      </c>
      <c r="U259" s="29" t="n">
        <v>2014.0</v>
      </c>
      <c r="V259" s="30" t="inlineStr">
        <is>
          <t/>
        </is>
      </c>
      <c r="W259" s="31" t="inlineStr">
        <is>
          <t/>
        </is>
      </c>
      <c r="X259" s="32" t="inlineStr">
        <is>
          <t/>
        </is>
      </c>
      <c r="Y259" s="33" t="n">
        <v>0.01837</v>
      </c>
      <c r="Z259" s="34" t="inlineStr">
        <is>
          <t/>
        </is>
      </c>
      <c r="AA259" s="35" t="n">
        <v>-0.55124</v>
      </c>
      <c r="AB259" s="36" t="inlineStr">
        <is>
          <t/>
        </is>
      </c>
      <c r="AC259" s="37" t="n">
        <v>-0.5053</v>
      </c>
      <c r="AD259" s="38" t="inlineStr">
        <is>
          <t>FY 2015</t>
        </is>
      </c>
      <c r="AE259" s="39" t="inlineStr">
        <is>
          <t>95223-52P</t>
        </is>
      </c>
      <c r="AF259" s="40" t="inlineStr">
        <is>
          <t>Johannes Schildt</t>
        </is>
      </c>
      <c r="AG259" s="41" t="inlineStr">
        <is>
          <t>Co-Founder &amp; Chief Executive Officer</t>
        </is>
      </c>
      <c r="AH259" s="42" t="inlineStr">
        <is>
          <t>johannes@kry.se</t>
        </is>
      </c>
      <c r="AI259" s="43" t="inlineStr">
        <is>
          <t>+46 (0)08-22 77 07</t>
        </is>
      </c>
      <c r="AJ259" s="44" t="inlineStr">
        <is>
          <t>Stockholm, Sweden</t>
        </is>
      </c>
      <c r="AK259" s="45" t="inlineStr">
        <is>
          <t>Kungsgatan 55</t>
        </is>
      </c>
      <c r="AL259" s="46" t="inlineStr">
        <is>
          <t/>
        </is>
      </c>
      <c r="AM259" s="47" t="inlineStr">
        <is>
          <t>Stockholm</t>
        </is>
      </c>
      <c r="AN259" s="48" t="inlineStr">
        <is>
          <t/>
        </is>
      </c>
      <c r="AO259" s="49" t="inlineStr">
        <is>
          <t>111 22</t>
        </is>
      </c>
      <c r="AP259" s="50" t="inlineStr">
        <is>
          <t>Sweden</t>
        </is>
      </c>
      <c r="AQ259" s="51" t="inlineStr">
        <is>
          <t>+46 (0)08-22 77 07</t>
        </is>
      </c>
      <c r="AR259" s="52" t="inlineStr">
        <is>
          <t/>
        </is>
      </c>
      <c r="AS259" s="53" t="inlineStr">
        <is>
          <t/>
        </is>
      </c>
      <c r="AT259" s="54" t="inlineStr">
        <is>
          <t>Europe</t>
        </is>
      </c>
      <c r="AU259" s="55" t="inlineStr">
        <is>
          <t>Northern Europe</t>
        </is>
      </c>
      <c r="AV259" s="56" t="inlineStr">
        <is>
          <t>The company raised EUR 20 million of Series A venture funding in a deal led by Accel on June 28, 2017. Follow on Creandum, Index Ventures (UK) and Project A Ventures also participated in the round. The current funding will be used to deepen penetration in current markets, launch in new markets, and reach its goal of providing sustainable healthcare with equal access for everyone in Europe. Accel holds more than 10% stake in the company. Previously, the company raised EUR 6.1 million of seed funding in a round led by Index Ventures and Creandum on August 17, 2016.</t>
        </is>
      </c>
      <c r="AW259" s="57" t="inlineStr">
        <is>
          <t>Accel, Creandum, EQT Ventures, Index Ventures (UK), Project A Ventures</t>
        </is>
      </c>
      <c r="AX259" s="58" t="n">
        <v>5.0</v>
      </c>
      <c r="AY259" s="59" t="inlineStr">
        <is>
          <t/>
        </is>
      </c>
      <c r="AZ259" s="60" t="inlineStr">
        <is>
          <t/>
        </is>
      </c>
      <c r="BA259" s="61" t="inlineStr">
        <is>
          <t/>
        </is>
      </c>
      <c r="BB259" s="62" t="inlineStr">
        <is>
          <t>Accel (www.accel.com), Creandum (www.creandum.com), EQT Ventures (www.eqtventures.com), Index Ventures (UK) (www.indexventures.com), Project A Ventures (www.project-a.com/en)</t>
        </is>
      </c>
      <c r="BC259" s="63" t="inlineStr">
        <is>
          <t/>
        </is>
      </c>
      <c r="BD259" s="64" t="inlineStr">
        <is>
          <t/>
        </is>
      </c>
      <c r="BE259" s="65" t="inlineStr">
        <is>
          <t/>
        </is>
      </c>
      <c r="BF259" s="66" t="inlineStr">
        <is>
          <t>Setterwalls Advokatbyrå (Legal Advisor)</t>
        </is>
      </c>
      <c r="BG259" s="67" t="n">
        <v>42599.0</v>
      </c>
      <c r="BH259" s="68" t="n">
        <v>6.1</v>
      </c>
      <c r="BI259" s="69" t="inlineStr">
        <is>
          <t>Actual</t>
        </is>
      </c>
      <c r="BJ259" s="70" t="inlineStr">
        <is>
          <t/>
        </is>
      </c>
      <c r="BK259" s="71" t="inlineStr">
        <is>
          <t/>
        </is>
      </c>
      <c r="BL259" s="72" t="inlineStr">
        <is>
          <t>Seed Round</t>
        </is>
      </c>
      <c r="BM259" s="73" t="inlineStr">
        <is>
          <t>Seed</t>
        </is>
      </c>
      <c r="BN259" s="74" t="inlineStr">
        <is>
          <t/>
        </is>
      </c>
      <c r="BO259" s="75" t="inlineStr">
        <is>
          <t>Venture Capital</t>
        </is>
      </c>
      <c r="BP259" s="76" t="inlineStr">
        <is>
          <t/>
        </is>
      </c>
      <c r="BQ259" s="77" t="inlineStr">
        <is>
          <t/>
        </is>
      </c>
      <c r="BR259" s="78" t="inlineStr">
        <is>
          <t/>
        </is>
      </c>
      <c r="BS259" s="79" t="inlineStr">
        <is>
          <t>Completed</t>
        </is>
      </c>
      <c r="BT259" s="80" t="n">
        <v>42914.0</v>
      </c>
      <c r="BU259" s="81" t="n">
        <v>20.0</v>
      </c>
      <c r="BV259" s="82" t="inlineStr">
        <is>
          <t>Actual</t>
        </is>
      </c>
      <c r="BW259" s="83" t="inlineStr">
        <is>
          <t/>
        </is>
      </c>
      <c r="BX259" s="84" t="inlineStr">
        <is>
          <t/>
        </is>
      </c>
      <c r="BY259" s="85" t="inlineStr">
        <is>
          <t>Early Stage VC</t>
        </is>
      </c>
      <c r="BZ259" s="86" t="inlineStr">
        <is>
          <t>Series A</t>
        </is>
      </c>
      <c r="CA259" s="87" t="inlineStr">
        <is>
          <t/>
        </is>
      </c>
      <c r="CB259" s="88" t="inlineStr">
        <is>
          <t>Venture Capital</t>
        </is>
      </c>
      <c r="CC259" s="89" t="inlineStr">
        <is>
          <t/>
        </is>
      </c>
      <c r="CD259" s="90" t="inlineStr">
        <is>
          <t/>
        </is>
      </c>
      <c r="CE259" s="91" t="inlineStr">
        <is>
          <t/>
        </is>
      </c>
      <c r="CF259" s="92" t="inlineStr">
        <is>
          <t>Completed</t>
        </is>
      </c>
      <c r="CG259" s="93" t="inlineStr">
        <is>
          <t>0,49%</t>
        </is>
      </c>
      <c r="CH259" s="94" t="inlineStr">
        <is>
          <t>84</t>
        </is>
      </c>
      <c r="CI259" s="95" t="inlineStr">
        <is>
          <t>-0,01%</t>
        </is>
      </c>
      <c r="CJ259" s="96" t="inlineStr">
        <is>
          <t>-2,69%</t>
        </is>
      </c>
      <c r="CK259" s="97" t="inlineStr">
        <is>
          <t>-0,17%</t>
        </is>
      </c>
      <c r="CL259" s="98" t="inlineStr">
        <is>
          <t>16</t>
        </is>
      </c>
      <c r="CM259" s="99" t="inlineStr">
        <is>
          <t>1,15%</t>
        </is>
      </c>
      <c r="CN259" s="100" t="inlineStr">
        <is>
          <t>97</t>
        </is>
      </c>
      <c r="CO259" s="101" t="inlineStr">
        <is>
          <t>-0,34%</t>
        </is>
      </c>
      <c r="CP259" s="102" t="inlineStr">
        <is>
          <t>24</t>
        </is>
      </c>
      <c r="CQ259" s="103" t="inlineStr">
        <is>
          <t>0,00%</t>
        </is>
      </c>
      <c r="CR259" s="104" t="inlineStr">
        <is>
          <t>13</t>
        </is>
      </c>
      <c r="CS259" s="105" t="inlineStr">
        <is>
          <t>1,43%</t>
        </is>
      </c>
      <c r="CT259" s="106" t="inlineStr">
        <is>
          <t>97</t>
        </is>
      </c>
      <c r="CU259" s="107" t="inlineStr">
        <is>
          <t>0,86%</t>
        </is>
      </c>
      <c r="CV259" s="108" t="inlineStr">
        <is>
          <t>96</t>
        </is>
      </c>
      <c r="CW259" s="109" t="inlineStr">
        <is>
          <t>10,34x</t>
        </is>
      </c>
      <c r="CX259" s="110" t="inlineStr">
        <is>
          <t>87</t>
        </is>
      </c>
      <c r="CY259" s="111" t="inlineStr">
        <is>
          <t>0,07x</t>
        </is>
      </c>
      <c r="CZ259" s="112" t="inlineStr">
        <is>
          <t>0,65%</t>
        </is>
      </c>
      <c r="DA259" s="113" t="inlineStr">
        <is>
          <t>17,00x</t>
        </is>
      </c>
      <c r="DB259" s="114" t="inlineStr">
        <is>
          <t>91</t>
        </is>
      </c>
      <c r="DC259" s="115" t="inlineStr">
        <is>
          <t>3,67x</t>
        </is>
      </c>
      <c r="DD259" s="116" t="inlineStr">
        <is>
          <t>71</t>
        </is>
      </c>
      <c r="DE259" s="117" t="inlineStr">
        <is>
          <t>31,92x</t>
        </is>
      </c>
      <c r="DF259" s="118" t="inlineStr">
        <is>
          <t>91</t>
        </is>
      </c>
      <c r="DG259" s="119" t="inlineStr">
        <is>
          <t>2,08x</t>
        </is>
      </c>
      <c r="DH259" s="120" t="inlineStr">
        <is>
          <t>65</t>
        </is>
      </c>
      <c r="DI259" s="121" t="inlineStr">
        <is>
          <t>5,79x</t>
        </is>
      </c>
      <c r="DJ259" s="122" t="inlineStr">
        <is>
          <t>76</t>
        </is>
      </c>
      <c r="DK259" s="123" t="inlineStr">
        <is>
          <t>1,55x</t>
        </is>
      </c>
      <c r="DL259" s="124" t="inlineStr">
        <is>
          <t>58</t>
        </is>
      </c>
      <c r="DM259" s="125" t="inlineStr">
        <is>
          <t>19.705</t>
        </is>
      </c>
      <c r="DN259" s="126" t="inlineStr">
        <is>
          <t>-231</t>
        </is>
      </c>
      <c r="DO259" s="127" t="inlineStr">
        <is>
          <t>-1,16%</t>
        </is>
      </c>
      <c r="DP259" s="128" t="inlineStr">
        <is>
          <t>4.615</t>
        </is>
      </c>
      <c r="DQ259" s="129" t="inlineStr">
        <is>
          <t>47</t>
        </is>
      </c>
      <c r="DR259" s="130" t="inlineStr">
        <is>
          <t>1,03%</t>
        </is>
      </c>
      <c r="DS259" s="131" t="inlineStr">
        <is>
          <t>75</t>
        </is>
      </c>
      <c r="DT259" s="132" t="inlineStr">
        <is>
          <t>0</t>
        </is>
      </c>
      <c r="DU259" s="133" t="inlineStr">
        <is>
          <t>0,00%</t>
        </is>
      </c>
      <c r="DV259" s="134" t="inlineStr">
        <is>
          <t>529</t>
        </is>
      </c>
      <c r="DW259" s="135" t="inlineStr">
        <is>
          <t>11</t>
        </is>
      </c>
      <c r="DX259" s="136" t="inlineStr">
        <is>
          <t>2,12%</t>
        </is>
      </c>
      <c r="DY259" s="137" t="inlineStr">
        <is>
          <t>PitchBook Research</t>
        </is>
      </c>
      <c r="DZ259" s="785">
        <f>HYPERLINK("https://my.pitchbook.com?c=120128-68", "View company online")</f>
      </c>
    </row>
    <row r="260">
      <c r="A260" s="139" t="inlineStr">
        <is>
          <t>62386-03</t>
        </is>
      </c>
      <c r="B260" s="140" t="inlineStr">
        <is>
          <t>Lamudi</t>
        </is>
      </c>
      <c r="C260" s="141" t="inlineStr">
        <is>
          <t/>
        </is>
      </c>
      <c r="D260" s="142" t="inlineStr">
        <is>
          <t/>
        </is>
      </c>
      <c r="E260" s="143" t="inlineStr">
        <is>
          <t>62386-03</t>
        </is>
      </c>
      <c r="F260" s="144" t="inlineStr">
        <is>
          <t>Provider of an online real estate marketplace. The company provides an online platform for the buying, selling and renting of real estate properties for emerging markets.</t>
        </is>
      </c>
      <c r="G260" s="145" t="inlineStr">
        <is>
          <t>Consumer Products and Services (B2C)</t>
        </is>
      </c>
      <c r="H260" s="146" t="inlineStr">
        <is>
          <t>Services (Non-Financial)</t>
        </is>
      </c>
      <c r="I260" s="147" t="inlineStr">
        <is>
          <t>Real Estate Services (B2C)</t>
        </is>
      </c>
      <c r="J260" s="148" t="inlineStr">
        <is>
          <t>Real Estate Services (B2C)*; Social/Platform Software</t>
        </is>
      </c>
      <c r="K260" s="149" t="inlineStr">
        <is>
          <t/>
        </is>
      </c>
      <c r="L260" s="150" t="inlineStr">
        <is>
          <t>Venture Capital-Backed</t>
        </is>
      </c>
      <c r="M260" s="151" t="n">
        <v>49.21</v>
      </c>
      <c r="N260" s="152" t="inlineStr">
        <is>
          <t>Startup</t>
        </is>
      </c>
      <c r="O260" s="153" t="inlineStr">
        <is>
          <t>Privately Held (backing)</t>
        </is>
      </c>
      <c r="P260" s="154" t="inlineStr">
        <is>
          <t>Venture Capital</t>
        </is>
      </c>
      <c r="Q260" s="155" t="inlineStr">
        <is>
          <t>www.lamudi.com</t>
        </is>
      </c>
      <c r="R260" s="156" t="n">
        <v>501.0</v>
      </c>
      <c r="S260" s="157" t="inlineStr">
        <is>
          <t/>
        </is>
      </c>
      <c r="T260" s="158" t="inlineStr">
        <is>
          <t/>
        </is>
      </c>
      <c r="U260" s="159" t="n">
        <v>2013.0</v>
      </c>
      <c r="V260" s="160" t="inlineStr">
        <is>
          <t/>
        </is>
      </c>
      <c r="W260" s="161" t="inlineStr">
        <is>
          <t/>
        </is>
      </c>
      <c r="X260" s="162" t="inlineStr">
        <is>
          <t/>
        </is>
      </c>
      <c r="Y260" s="163" t="inlineStr">
        <is>
          <t/>
        </is>
      </c>
      <c r="Z260" s="164" t="inlineStr">
        <is>
          <t/>
        </is>
      </c>
      <c r="AA260" s="165" t="inlineStr">
        <is>
          <t/>
        </is>
      </c>
      <c r="AB260" s="166" t="inlineStr">
        <is>
          <t/>
        </is>
      </c>
      <c r="AC260" s="167" t="inlineStr">
        <is>
          <t/>
        </is>
      </c>
      <c r="AD260" s="168" t="inlineStr">
        <is>
          <t/>
        </is>
      </c>
      <c r="AE260" s="169" t="inlineStr">
        <is>
          <t>64988-92P</t>
        </is>
      </c>
      <c r="AF260" s="170" t="inlineStr">
        <is>
          <t>Paul Hermann</t>
        </is>
      </c>
      <c r="AG260" s="171" t="inlineStr">
        <is>
          <t>Global Co-Founder &amp; Managing Director</t>
        </is>
      </c>
      <c r="AH260" s="172" t="inlineStr">
        <is>
          <t>paul.hermann@lamudi.com</t>
        </is>
      </c>
      <c r="AI260" s="173" t="inlineStr">
        <is>
          <t/>
        </is>
      </c>
      <c r="AJ260" s="174" t="inlineStr">
        <is>
          <t>Berlin, Germany</t>
        </is>
      </c>
      <c r="AK260" s="175" t="inlineStr">
        <is>
          <t>Zossener Str. 56</t>
        </is>
      </c>
      <c r="AL260" s="176" t="inlineStr">
        <is>
          <t/>
        </is>
      </c>
      <c r="AM260" s="177" t="inlineStr">
        <is>
          <t>Berlin</t>
        </is>
      </c>
      <c r="AN260" s="178" t="inlineStr">
        <is>
          <t/>
        </is>
      </c>
      <c r="AO260" s="179" t="inlineStr">
        <is>
          <t>10961</t>
        </is>
      </c>
      <c r="AP260" s="180" t="inlineStr">
        <is>
          <t>Germany</t>
        </is>
      </c>
      <c r="AQ260" s="181" t="inlineStr">
        <is>
          <t/>
        </is>
      </c>
      <c r="AR260" s="182" t="inlineStr">
        <is>
          <t/>
        </is>
      </c>
      <c r="AS260" s="183" t="inlineStr">
        <is>
          <t/>
        </is>
      </c>
      <c r="AT260" s="184" t="inlineStr">
        <is>
          <t>Europe</t>
        </is>
      </c>
      <c r="AU260" s="185" t="inlineStr">
        <is>
          <t>Western Europe</t>
        </is>
      </c>
      <c r="AV260" s="186" t="inlineStr">
        <is>
          <t>The company raised $31.4 million of Series C venture funding from Asia Pacific Internet Group and Holtzbrinck Ventures on February 3, 2016. Tengelmann Ventures also participated. The company will use funds to strengthen its business in Asia and Latin America.</t>
        </is>
      </c>
      <c r="AW260" s="187" t="inlineStr">
        <is>
          <t>Asia Pacific Internet Group, Holtzbrinck Ventures, Rocket Internet, Tengelmann Ventures</t>
        </is>
      </c>
      <c r="AX260" s="188" t="n">
        <v>4.0</v>
      </c>
      <c r="AY260" s="189" t="inlineStr">
        <is>
          <t/>
        </is>
      </c>
      <c r="AZ260" s="190" t="inlineStr">
        <is>
          <t/>
        </is>
      </c>
      <c r="BA260" s="191" t="inlineStr">
        <is>
          <t/>
        </is>
      </c>
      <c r="BB260" s="192" t="inlineStr">
        <is>
          <t>Asia Pacific Internet Group (www.asiapacificinternetgroup.com), Holtzbrinck Ventures (www.holtzbrinck-ventures.com), Rocket Internet (www.rocket-internet.com), Tengelmann Ventures (www.tev.de)</t>
        </is>
      </c>
      <c r="BC260" s="193" t="inlineStr">
        <is>
          <t/>
        </is>
      </c>
      <c r="BD260" s="194" t="inlineStr">
        <is>
          <t/>
        </is>
      </c>
      <c r="BE260" s="195" t="inlineStr">
        <is>
          <t/>
        </is>
      </c>
      <c r="BF260" s="196" t="inlineStr">
        <is>
          <t/>
        </is>
      </c>
      <c r="BG260" s="197" t="inlineStr">
        <is>
          <t/>
        </is>
      </c>
      <c r="BH260" s="198" t="inlineStr">
        <is>
          <t/>
        </is>
      </c>
      <c r="BI260" s="199" t="inlineStr">
        <is>
          <t/>
        </is>
      </c>
      <c r="BJ260" s="200" t="inlineStr">
        <is>
          <t/>
        </is>
      </c>
      <c r="BK260" s="201" t="inlineStr">
        <is>
          <t/>
        </is>
      </c>
      <c r="BL260" s="202" t="inlineStr">
        <is>
          <t>Accelerator/Incubator</t>
        </is>
      </c>
      <c r="BM260" s="203" t="inlineStr">
        <is>
          <t/>
        </is>
      </c>
      <c r="BN260" s="204" t="inlineStr">
        <is>
          <t/>
        </is>
      </c>
      <c r="BO260" s="205" t="inlineStr">
        <is>
          <t>Other</t>
        </is>
      </c>
      <c r="BP260" s="206" t="inlineStr">
        <is>
          <t/>
        </is>
      </c>
      <c r="BQ260" s="207" t="inlineStr">
        <is>
          <t/>
        </is>
      </c>
      <c r="BR260" s="208" t="inlineStr">
        <is>
          <t/>
        </is>
      </c>
      <c r="BS260" s="209" t="inlineStr">
        <is>
          <t>Completed</t>
        </is>
      </c>
      <c r="BT260" s="210" t="n">
        <v>42403.0</v>
      </c>
      <c r="BU260" s="211" t="n">
        <v>28.29</v>
      </c>
      <c r="BV260" s="212" t="inlineStr">
        <is>
          <t>Actual</t>
        </is>
      </c>
      <c r="BW260" s="213" t="inlineStr">
        <is>
          <t/>
        </is>
      </c>
      <c r="BX260" s="214" t="inlineStr">
        <is>
          <t/>
        </is>
      </c>
      <c r="BY260" s="215" t="inlineStr">
        <is>
          <t>Later Stage VC</t>
        </is>
      </c>
      <c r="BZ260" s="216" t="inlineStr">
        <is>
          <t>Series C</t>
        </is>
      </c>
      <c r="CA260" s="217" t="inlineStr">
        <is>
          <t/>
        </is>
      </c>
      <c r="CB260" s="218" t="inlineStr">
        <is>
          <t>Venture Capital</t>
        </is>
      </c>
      <c r="CC260" s="219" t="inlineStr">
        <is>
          <t/>
        </is>
      </c>
      <c r="CD260" s="220" t="inlineStr">
        <is>
          <t/>
        </is>
      </c>
      <c r="CE260" s="221" t="inlineStr">
        <is>
          <t/>
        </is>
      </c>
      <c r="CF260" s="222" t="inlineStr">
        <is>
          <t>Completed</t>
        </is>
      </c>
      <c r="CG260" s="223" t="inlineStr">
        <is>
          <t>0,03%</t>
        </is>
      </c>
      <c r="CH260" s="224" t="inlineStr">
        <is>
          <t>67</t>
        </is>
      </c>
      <c r="CI260" s="225" t="inlineStr">
        <is>
          <t>-0,04%</t>
        </is>
      </c>
      <c r="CJ260" s="226" t="inlineStr">
        <is>
          <t>-60,19%</t>
        </is>
      </c>
      <c r="CK260" s="227" t="inlineStr">
        <is>
          <t>-0,14%</t>
        </is>
      </c>
      <c r="CL260" s="228" t="inlineStr">
        <is>
          <t>16</t>
        </is>
      </c>
      <c r="CM260" s="229" t="inlineStr">
        <is>
          <t>0,19%</t>
        </is>
      </c>
      <c r="CN260" s="230" t="inlineStr">
        <is>
          <t>72</t>
        </is>
      </c>
      <c r="CO260" s="231" t="inlineStr">
        <is>
          <t>-0,24%</t>
        </is>
      </c>
      <c r="CP260" s="232" t="inlineStr">
        <is>
          <t>24</t>
        </is>
      </c>
      <c r="CQ260" s="233" t="inlineStr">
        <is>
          <t>-0,03%</t>
        </is>
      </c>
      <c r="CR260" s="234" t="inlineStr">
        <is>
          <t>13</t>
        </is>
      </c>
      <c r="CS260" s="235" t="inlineStr">
        <is>
          <t>0,36%</t>
        </is>
      </c>
      <c r="CT260" s="236" t="inlineStr">
        <is>
          <t>82</t>
        </is>
      </c>
      <c r="CU260" s="237" t="inlineStr">
        <is>
          <t>0,02%</t>
        </is>
      </c>
      <c r="CV260" s="238" t="inlineStr">
        <is>
          <t>57</t>
        </is>
      </c>
      <c r="CW260" s="239" t="inlineStr">
        <is>
          <t>558,78x</t>
        </is>
      </c>
      <c r="CX260" s="240" t="inlineStr">
        <is>
          <t>100</t>
        </is>
      </c>
      <c r="CY260" s="241" t="inlineStr">
        <is>
          <t>13,86x</t>
        </is>
      </c>
      <c r="CZ260" s="242" t="inlineStr">
        <is>
          <t>2,54%</t>
        </is>
      </c>
      <c r="DA260" s="243" t="inlineStr">
        <is>
          <t>11,22x</t>
        </is>
      </c>
      <c r="DB260" s="244" t="inlineStr">
        <is>
          <t>88</t>
        </is>
      </c>
      <c r="DC260" s="245" t="inlineStr">
        <is>
          <t>1.106,33x</t>
        </is>
      </c>
      <c r="DD260" s="246" t="inlineStr">
        <is>
          <t>100</t>
        </is>
      </c>
      <c r="DE260" s="247" t="inlineStr">
        <is>
          <t>12,06x</t>
        </is>
      </c>
      <c r="DF260" s="248" t="inlineStr">
        <is>
          <t>85</t>
        </is>
      </c>
      <c r="DG260" s="249" t="inlineStr">
        <is>
          <t>10,39x</t>
        </is>
      </c>
      <c r="DH260" s="250" t="inlineStr">
        <is>
          <t>87</t>
        </is>
      </c>
      <c r="DI260" s="251" t="inlineStr">
        <is>
          <t>2.196,00x</t>
        </is>
      </c>
      <c r="DJ260" s="252" t="inlineStr">
        <is>
          <t>100</t>
        </is>
      </c>
      <c r="DK260" s="253" t="inlineStr">
        <is>
          <t>16,66x</t>
        </is>
      </c>
      <c r="DL260" s="254" t="inlineStr">
        <is>
          <t>90</t>
        </is>
      </c>
      <c r="DM260" s="255" t="inlineStr">
        <is>
          <t>7.446</t>
        </is>
      </c>
      <c r="DN260" s="256" t="inlineStr">
        <is>
          <t>-87</t>
        </is>
      </c>
      <c r="DO260" s="257" t="inlineStr">
        <is>
          <t>-1,15%</t>
        </is>
      </c>
      <c r="DP260" s="258" t="inlineStr">
        <is>
          <t>1.751.467</t>
        </is>
      </c>
      <c r="DQ260" s="259" t="inlineStr">
        <is>
          <t>7.171</t>
        </is>
      </c>
      <c r="DR260" s="260" t="inlineStr">
        <is>
          <t>0,41%</t>
        </is>
      </c>
      <c r="DS260" s="261" t="inlineStr">
        <is>
          <t>375</t>
        </is>
      </c>
      <c r="DT260" s="262" t="inlineStr">
        <is>
          <t>-3</t>
        </is>
      </c>
      <c r="DU260" s="263" t="inlineStr">
        <is>
          <t>-0,79%</t>
        </is>
      </c>
      <c r="DV260" s="264" t="inlineStr">
        <is>
          <t>5.710</t>
        </is>
      </c>
      <c r="DW260" s="265" t="inlineStr">
        <is>
          <t>-4</t>
        </is>
      </c>
      <c r="DX260" s="266" t="inlineStr">
        <is>
          <t>-0,07%</t>
        </is>
      </c>
      <c r="DY260" s="267" t="inlineStr">
        <is>
          <t>PitchBook Research</t>
        </is>
      </c>
      <c r="DZ260" s="786">
        <f>HYPERLINK("https://my.pitchbook.com?c=62386-03", "View company online")</f>
      </c>
    </row>
    <row r="261">
      <c r="A261" s="9" t="inlineStr">
        <is>
          <t>62352-64</t>
        </is>
      </c>
      <c r="B261" s="10" t="inlineStr">
        <is>
          <t>Landbay Partners</t>
        </is>
      </c>
      <c r="C261" s="11" t="inlineStr">
        <is>
          <t/>
        </is>
      </c>
      <c r="D261" s="12" t="inlineStr">
        <is>
          <t>Landbay</t>
        </is>
      </c>
      <c r="E261" s="13" t="inlineStr">
        <is>
          <t>62352-64</t>
        </is>
      </c>
      <c r="F261" s="14" t="inlineStr">
        <is>
          <t>Provider of a peer-to-peer lending platform designed to bring investors and borrowers closer together. The company's peer-to-peer lending platform is a buy-to-let mortgage lender through which retail investors, institutions and local governments invests in the UK's private rented sector through the funding of residential buy-to-let mortgages and bringing together an alternative property investment for everyone. It also match investors with borrowers so both parties benefit from the property market, either through investment or direct ownership.</t>
        </is>
      </c>
      <c r="G261" s="15" t="inlineStr">
        <is>
          <t>Financial Services</t>
        </is>
      </c>
      <c r="H261" s="16" t="inlineStr">
        <is>
          <t>Other Financial Services</t>
        </is>
      </c>
      <c r="I261" s="17" t="inlineStr">
        <is>
          <t>Specialized Finance</t>
        </is>
      </c>
      <c r="J261" s="18" t="inlineStr">
        <is>
          <t>Specialized Finance*; Financial Software</t>
        </is>
      </c>
      <c r="K261" s="19" t="inlineStr">
        <is>
          <t>FinTech</t>
        </is>
      </c>
      <c r="L261" s="20" t="inlineStr">
        <is>
          <t>Venture Capital-Backed</t>
        </is>
      </c>
      <c r="M261" s="21" t="n">
        <v>356.65</v>
      </c>
      <c r="N261" s="22" t="inlineStr">
        <is>
          <t>Generating Revenue</t>
        </is>
      </c>
      <c r="O261" s="23" t="inlineStr">
        <is>
          <t>Privately Held (backing)</t>
        </is>
      </c>
      <c r="P261" s="24" t="inlineStr">
        <is>
          <t>Venture Capital</t>
        </is>
      </c>
      <c r="Q261" s="25" t="inlineStr">
        <is>
          <t>www.landbay.co.uk</t>
        </is>
      </c>
      <c r="R261" s="26" t="n">
        <v>30.0</v>
      </c>
      <c r="S261" s="27" t="inlineStr">
        <is>
          <t/>
        </is>
      </c>
      <c r="T261" s="28" t="inlineStr">
        <is>
          <t/>
        </is>
      </c>
      <c r="U261" s="29" t="n">
        <v>2013.0</v>
      </c>
      <c r="V261" s="30" t="inlineStr">
        <is>
          <t/>
        </is>
      </c>
      <c r="W261" s="31" t="inlineStr">
        <is>
          <t/>
        </is>
      </c>
      <c r="X261" s="32" t="inlineStr">
        <is>
          <t/>
        </is>
      </c>
      <c r="Y261" s="33" t="n">
        <v>0.5053</v>
      </c>
      <c r="Z261" s="34" t="n">
        <v>0.17456</v>
      </c>
      <c r="AA261" s="35" t="n">
        <v>-2.9675</v>
      </c>
      <c r="AB261" s="36" t="inlineStr">
        <is>
          <t/>
        </is>
      </c>
      <c r="AC261" s="37" t="n">
        <v>-2.83888</v>
      </c>
      <c r="AD261" s="38" t="inlineStr">
        <is>
          <t>FY 2015</t>
        </is>
      </c>
      <c r="AE261" s="39" t="inlineStr">
        <is>
          <t>86715-10P</t>
        </is>
      </c>
      <c r="AF261" s="40" t="inlineStr">
        <is>
          <t>John Goodall</t>
        </is>
      </c>
      <c r="AG261" s="41" t="inlineStr">
        <is>
          <t>Co-Founder, Chief Executive Officer &amp; Board Member</t>
        </is>
      </c>
      <c r="AH261" s="42" t="inlineStr">
        <is>
          <t>john.goodall@landbay.co.uk</t>
        </is>
      </c>
      <c r="AI261" s="43" t="inlineStr">
        <is>
          <t>+44 (0)20 3817 7700</t>
        </is>
      </c>
      <c r="AJ261" s="44" t="inlineStr">
        <is>
          <t>London, United Kingdom</t>
        </is>
      </c>
      <c r="AK261" s="45" t="inlineStr">
        <is>
          <t>9 11 Grosvenor Gardens</t>
        </is>
      </c>
      <c r="AL261" s="46" t="inlineStr">
        <is>
          <t>3rd Floor</t>
        </is>
      </c>
      <c r="AM261" s="47" t="inlineStr">
        <is>
          <t>London</t>
        </is>
      </c>
      <c r="AN261" s="48" t="inlineStr">
        <is>
          <t>England</t>
        </is>
      </c>
      <c r="AO261" s="49" t="inlineStr">
        <is>
          <t>SW1W 0BD</t>
        </is>
      </c>
      <c r="AP261" s="50" t="inlineStr">
        <is>
          <t>United Kingdom</t>
        </is>
      </c>
      <c r="AQ261" s="51" t="inlineStr">
        <is>
          <t>+44 (0)20 3817 7700</t>
        </is>
      </c>
      <c r="AR261" s="52" t="inlineStr">
        <is>
          <t/>
        </is>
      </c>
      <c r="AS261" s="53" t="inlineStr">
        <is>
          <t/>
        </is>
      </c>
      <c r="AT261" s="54" t="inlineStr">
        <is>
          <t>Europe</t>
        </is>
      </c>
      <c r="AU261" s="55" t="inlineStr">
        <is>
          <t>Western Europe</t>
        </is>
      </c>
      <c r="AV261" s="56" t="inlineStr">
        <is>
          <t>The company raised GBP 2.44 million of convertible debt financing via crowdfunding platform Seedrs on August 17, 2017. Other undisclosed existing investors also participated in the round. The company, which has raised approximately GBP 7 million to date via the crowdfunding platform, intends to use the funds to continue to expand operations and launch new products.</t>
        </is>
      </c>
      <c r="AW261" s="57" t="inlineStr">
        <is>
          <t>Ben Tibbits, Individual Investor, James Sore, Krasimir Kehayov, Motiur Taj AIH, Omni Partners (UK), Zoopla Property Group</t>
        </is>
      </c>
      <c r="AX261" s="58" t="n">
        <v>7.0</v>
      </c>
      <c r="AY261" s="59" t="inlineStr">
        <is>
          <t/>
        </is>
      </c>
      <c r="AZ261" s="60" t="inlineStr">
        <is>
          <t/>
        </is>
      </c>
      <c r="BA261" s="61" t="inlineStr">
        <is>
          <t/>
        </is>
      </c>
      <c r="BB261" s="62" t="inlineStr">
        <is>
          <t>Omni Partners (UK) (www.omni.co.uk), Zoopla Property Group (www.zpg.co.uk)</t>
        </is>
      </c>
      <c r="BC261" s="63" t="inlineStr">
        <is>
          <t/>
        </is>
      </c>
      <c r="BD261" s="64" t="inlineStr">
        <is>
          <t/>
        </is>
      </c>
      <c r="BE261" s="65" t="inlineStr">
        <is>
          <t>Innovify (Consulting), Nexia Audit (Auditor)</t>
        </is>
      </c>
      <c r="BF261" s="66" t="inlineStr">
        <is>
          <t>Crowdcube (Lead Manager or Arranger), Seedrs (Lead Manager or Arranger)</t>
        </is>
      </c>
      <c r="BG261" s="67" t="n">
        <v>41541.0</v>
      </c>
      <c r="BH261" s="68" t="n">
        <v>0.08</v>
      </c>
      <c r="BI261" s="69" t="inlineStr">
        <is>
          <t>Actual</t>
        </is>
      </c>
      <c r="BJ261" s="70" t="n">
        <v>0.82</v>
      </c>
      <c r="BK261" s="71" t="inlineStr">
        <is>
          <t>Actual</t>
        </is>
      </c>
      <c r="BL261" s="72" t="inlineStr">
        <is>
          <t>Angel (individual)</t>
        </is>
      </c>
      <c r="BM261" s="73" t="inlineStr">
        <is>
          <t>Angel</t>
        </is>
      </c>
      <c r="BN261" s="74" t="inlineStr">
        <is>
          <t/>
        </is>
      </c>
      <c r="BO261" s="75" t="inlineStr">
        <is>
          <t>Individual</t>
        </is>
      </c>
      <c r="BP261" s="76" t="inlineStr">
        <is>
          <t/>
        </is>
      </c>
      <c r="BQ261" s="77" t="inlineStr">
        <is>
          <t/>
        </is>
      </c>
      <c r="BR261" s="78" t="inlineStr">
        <is>
          <t/>
        </is>
      </c>
      <c r="BS261" s="79" t="inlineStr">
        <is>
          <t>Completed</t>
        </is>
      </c>
      <c r="BT261" s="80" t="n">
        <v>42964.0</v>
      </c>
      <c r="BU261" s="81" t="n">
        <v>2.68</v>
      </c>
      <c r="BV261" s="82" t="inlineStr">
        <is>
          <t>Actual</t>
        </is>
      </c>
      <c r="BW261" s="83" t="inlineStr">
        <is>
          <t/>
        </is>
      </c>
      <c r="BX261" s="84" t="inlineStr">
        <is>
          <t/>
        </is>
      </c>
      <c r="BY261" s="85" t="inlineStr">
        <is>
          <t>Convertible Debt</t>
        </is>
      </c>
      <c r="BZ261" s="86" t="inlineStr">
        <is>
          <t/>
        </is>
      </c>
      <c r="CA261" s="87" t="inlineStr">
        <is>
          <t/>
        </is>
      </c>
      <c r="CB261" s="88" t="inlineStr">
        <is>
          <t>Debt</t>
        </is>
      </c>
      <c r="CC261" s="89" t="inlineStr">
        <is>
          <t>Convertible Debt</t>
        </is>
      </c>
      <c r="CD261" s="90" t="inlineStr">
        <is>
          <t/>
        </is>
      </c>
      <c r="CE261" s="91" t="inlineStr">
        <is>
          <t/>
        </is>
      </c>
      <c r="CF261" s="92" t="inlineStr">
        <is>
          <t>Completed</t>
        </is>
      </c>
      <c r="CG261" s="93" t="inlineStr">
        <is>
          <t>1,14%</t>
        </is>
      </c>
      <c r="CH261" s="94" t="inlineStr">
        <is>
          <t>90</t>
        </is>
      </c>
      <c r="CI261" s="95" t="inlineStr">
        <is>
          <t>0,00%</t>
        </is>
      </c>
      <c r="CJ261" s="96" t="inlineStr">
        <is>
          <t>-0,34%</t>
        </is>
      </c>
      <c r="CK261" s="97" t="inlineStr">
        <is>
          <t>2,12%</t>
        </is>
      </c>
      <c r="CL261" s="98" t="inlineStr">
        <is>
          <t>91</t>
        </is>
      </c>
      <c r="CM261" s="99" t="inlineStr">
        <is>
          <t>0,15%</t>
        </is>
      </c>
      <c r="CN261" s="100" t="inlineStr">
        <is>
          <t>67</t>
        </is>
      </c>
      <c r="CO261" s="101" t="inlineStr">
        <is>
          <t>4,24%</t>
        </is>
      </c>
      <c r="CP261" s="102" t="inlineStr">
        <is>
          <t>95</t>
        </is>
      </c>
      <c r="CQ261" s="103" t="inlineStr">
        <is>
          <t>0,00%</t>
        </is>
      </c>
      <c r="CR261" s="104" t="inlineStr">
        <is>
          <t>13</t>
        </is>
      </c>
      <c r="CS261" s="105" t="inlineStr">
        <is>
          <t>0,11%</t>
        </is>
      </c>
      <c r="CT261" s="106" t="inlineStr">
        <is>
          <t>59</t>
        </is>
      </c>
      <c r="CU261" s="107" t="inlineStr">
        <is>
          <t>0,20%</t>
        </is>
      </c>
      <c r="CV261" s="108" t="inlineStr">
        <is>
          <t>78</t>
        </is>
      </c>
      <c r="CW261" s="109" t="inlineStr">
        <is>
          <t>5,43x</t>
        </is>
      </c>
      <c r="CX261" s="110" t="inlineStr">
        <is>
          <t>80</t>
        </is>
      </c>
      <c r="CY261" s="111" t="inlineStr">
        <is>
          <t>0,06x</t>
        </is>
      </c>
      <c r="CZ261" s="112" t="inlineStr">
        <is>
          <t>1,05%</t>
        </is>
      </c>
      <c r="DA261" s="113" t="inlineStr">
        <is>
          <t>6,69x</t>
        </is>
      </c>
      <c r="DB261" s="114" t="inlineStr">
        <is>
          <t>83</t>
        </is>
      </c>
      <c r="DC261" s="115" t="inlineStr">
        <is>
          <t>4,18x</t>
        </is>
      </c>
      <c r="DD261" s="116" t="inlineStr">
        <is>
          <t>73</t>
        </is>
      </c>
      <c r="DE261" s="117" t="inlineStr">
        <is>
          <t>11,94x</t>
        </is>
      </c>
      <c r="DF261" s="118" t="inlineStr">
        <is>
          <t>85</t>
        </is>
      </c>
      <c r="DG261" s="119" t="inlineStr">
        <is>
          <t>1,44x</t>
        </is>
      </c>
      <c r="DH261" s="120" t="inlineStr">
        <is>
          <t>58</t>
        </is>
      </c>
      <c r="DI261" s="121" t="inlineStr">
        <is>
          <t>1,98x</t>
        </is>
      </c>
      <c r="DJ261" s="122" t="inlineStr">
        <is>
          <t>62</t>
        </is>
      </c>
      <c r="DK261" s="123" t="inlineStr">
        <is>
          <t>6,37x</t>
        </is>
      </c>
      <c r="DL261" s="124" t="inlineStr">
        <is>
          <t>81</t>
        </is>
      </c>
      <c r="DM261" s="125" t="inlineStr">
        <is>
          <t>7.337</t>
        </is>
      </c>
      <c r="DN261" s="126" t="inlineStr">
        <is>
          <t>10</t>
        </is>
      </c>
      <c r="DO261" s="127" t="inlineStr">
        <is>
          <t>0,14%</t>
        </is>
      </c>
      <c r="DP261" s="128" t="inlineStr">
        <is>
          <t>1.585</t>
        </is>
      </c>
      <c r="DQ261" s="129" t="inlineStr">
        <is>
          <t>3</t>
        </is>
      </c>
      <c r="DR261" s="130" t="inlineStr">
        <is>
          <t>0,19%</t>
        </is>
      </c>
      <c r="DS261" s="131" t="inlineStr">
        <is>
          <t>52</t>
        </is>
      </c>
      <c r="DT261" s="132" t="inlineStr">
        <is>
          <t>0</t>
        </is>
      </c>
      <c r="DU261" s="133" t="inlineStr">
        <is>
          <t>0,00%</t>
        </is>
      </c>
      <c r="DV261" s="134" t="inlineStr">
        <is>
          <t>2.181</t>
        </is>
      </c>
      <c r="DW261" s="135" t="inlineStr">
        <is>
          <t>1</t>
        </is>
      </c>
      <c r="DX261" s="136" t="inlineStr">
        <is>
          <t>0,05%</t>
        </is>
      </c>
      <c r="DY261" s="137" t="inlineStr">
        <is>
          <t>PitchBook Research</t>
        </is>
      </c>
      <c r="DZ261" s="785">
        <f>HYPERLINK("https://my.pitchbook.com?c=62352-64", "View company online")</f>
      </c>
    </row>
    <row r="262">
      <c r="A262" s="139" t="inlineStr">
        <is>
          <t>85867-93</t>
        </is>
      </c>
      <c r="B262" s="140" t="inlineStr">
        <is>
          <t>LeanIX</t>
        </is>
      </c>
      <c r="C262" s="141" t="inlineStr">
        <is>
          <t/>
        </is>
      </c>
      <c r="D262" s="142" t="inlineStr">
        <is>
          <t/>
        </is>
      </c>
      <c r="E262" s="143" t="inlineStr">
        <is>
          <t>85867-93</t>
        </is>
      </c>
      <c r="F262" s="144" t="inlineStr">
        <is>
          <t>Provider of an enterprise architecture management software designed to reduce IT complexity in the IT landscape. The company's enterprise architecture management software offers a web based platform to manage diverse application portfolios in public cloud and data center, enabling business to grow through adopting state-of-the-art technology.</t>
        </is>
      </c>
      <c r="G262" s="145" t="inlineStr">
        <is>
          <t>Information Technology</t>
        </is>
      </c>
      <c r="H262" s="146" t="inlineStr">
        <is>
          <t>Software</t>
        </is>
      </c>
      <c r="I262" s="147" t="inlineStr">
        <is>
          <t>Application Software</t>
        </is>
      </c>
      <c r="J262" s="148" t="inlineStr">
        <is>
          <t>Application Software*; Database Software; Internet Software</t>
        </is>
      </c>
      <c r="K262" s="149" t="inlineStr">
        <is>
          <t>SaaS</t>
        </is>
      </c>
      <c r="L262" s="150" t="inlineStr">
        <is>
          <t>Venture Capital-Backed</t>
        </is>
      </c>
      <c r="M262" s="151" t="n">
        <v>8.71</v>
      </c>
      <c r="N262" s="152" t="inlineStr">
        <is>
          <t>Generating Revenue</t>
        </is>
      </c>
      <c r="O262" s="153" t="inlineStr">
        <is>
          <t>Privately Held (backing)</t>
        </is>
      </c>
      <c r="P262" s="154" t="inlineStr">
        <is>
          <t>Venture Capital</t>
        </is>
      </c>
      <c r="Q262" s="155" t="inlineStr">
        <is>
          <t>www.leanix.net</t>
        </is>
      </c>
      <c r="R262" s="156" t="n">
        <v>3.0</v>
      </c>
      <c r="S262" s="157" t="inlineStr">
        <is>
          <t/>
        </is>
      </c>
      <c r="T262" s="158" t="inlineStr">
        <is>
          <t/>
        </is>
      </c>
      <c r="U262" s="159" t="n">
        <v>2012.0</v>
      </c>
      <c r="V262" s="160" t="inlineStr">
        <is>
          <t/>
        </is>
      </c>
      <c r="W262" s="161" t="inlineStr">
        <is>
          <t/>
        </is>
      </c>
      <c r="X262" s="162" t="inlineStr">
        <is>
          <t/>
        </is>
      </c>
      <c r="Y262" s="163" t="inlineStr">
        <is>
          <t/>
        </is>
      </c>
      <c r="Z262" s="164" t="inlineStr">
        <is>
          <t/>
        </is>
      </c>
      <c r="AA262" s="165" t="inlineStr">
        <is>
          <t/>
        </is>
      </c>
      <c r="AB262" s="166" t="inlineStr">
        <is>
          <t/>
        </is>
      </c>
      <c r="AC262" s="167" t="inlineStr">
        <is>
          <t/>
        </is>
      </c>
      <c r="AD262" s="168" t="inlineStr">
        <is>
          <t/>
        </is>
      </c>
      <c r="AE262" s="169" t="inlineStr">
        <is>
          <t>94885-93P</t>
        </is>
      </c>
      <c r="AF262" s="170" t="inlineStr">
        <is>
          <t>Jorg Beyer</t>
        </is>
      </c>
      <c r="AG262" s="171" t="inlineStr">
        <is>
          <t>Co-Chief Executive Officer &amp; Co-Founder</t>
        </is>
      </c>
      <c r="AH262" s="172" t="inlineStr">
        <is>
          <t>jorg@leanix.net</t>
        </is>
      </c>
      <c r="AI262" s="173" t="inlineStr">
        <is>
          <t>+49 (0)22 8286 2992 0</t>
        </is>
      </c>
      <c r="AJ262" s="174" t="inlineStr">
        <is>
          <t>Bonn, Germany</t>
        </is>
      </c>
      <c r="AK262" s="175" t="inlineStr">
        <is>
          <t>Fuerstenstr. 4</t>
        </is>
      </c>
      <c r="AL262" s="176" t="inlineStr">
        <is>
          <t/>
        </is>
      </c>
      <c r="AM262" s="177" t="inlineStr">
        <is>
          <t>Bonn</t>
        </is>
      </c>
      <c r="AN262" s="178" t="inlineStr">
        <is>
          <t/>
        </is>
      </c>
      <c r="AO262" s="179" t="inlineStr">
        <is>
          <t>53111</t>
        </is>
      </c>
      <c r="AP262" s="180" t="inlineStr">
        <is>
          <t>Germany</t>
        </is>
      </c>
      <c r="AQ262" s="181" t="inlineStr">
        <is>
          <t>+49 (0)22 8286 2992 0</t>
        </is>
      </c>
      <c r="AR262" s="182" t="inlineStr">
        <is>
          <t/>
        </is>
      </c>
      <c r="AS262" s="183" t="inlineStr">
        <is>
          <t>info@leanix.net</t>
        </is>
      </c>
      <c r="AT262" s="184" t="inlineStr">
        <is>
          <t>Europe</t>
        </is>
      </c>
      <c r="AU262" s="185" t="inlineStr">
        <is>
          <t>Western Europe</t>
        </is>
      </c>
      <c r="AV262" s="186" t="inlineStr">
        <is>
          <t>The company raised $7.5 million of Series B venture funding in a deal led by Deutsche Telekom Capital Partners on July 18, 2017. Capnamic Ventures and Iris Capital Management also participated in the round. The funding will be used in development of the American market and the further product development.</t>
        </is>
      </c>
      <c r="AW262" s="187" t="inlineStr">
        <is>
          <t>Capnamic Ventures, Deutsche Telekom Capital Partners, Iris Capital Management</t>
        </is>
      </c>
      <c r="AX262" s="188" t="n">
        <v>3.0</v>
      </c>
      <c r="AY262" s="189" t="inlineStr">
        <is>
          <t/>
        </is>
      </c>
      <c r="AZ262" s="190" t="inlineStr">
        <is>
          <t/>
        </is>
      </c>
      <c r="BA262" s="191" t="inlineStr">
        <is>
          <t/>
        </is>
      </c>
      <c r="BB262" s="192" t="inlineStr">
        <is>
          <t>Capnamic Ventures (www.capnamic.com), Deutsche Telekom Capital Partners (www.telekom-capital.com), Iris Capital Management (www.iriscapital.com)</t>
        </is>
      </c>
      <c r="BC262" s="193" t="inlineStr">
        <is>
          <t/>
        </is>
      </c>
      <c r="BD262" s="194" t="inlineStr">
        <is>
          <t/>
        </is>
      </c>
      <c r="BE262" s="195" t="inlineStr">
        <is>
          <t/>
        </is>
      </c>
      <c r="BF262" s="196" t="inlineStr">
        <is>
          <t/>
        </is>
      </c>
      <c r="BG262" s="197" t="n">
        <v>42069.0</v>
      </c>
      <c r="BH262" s="198" t="n">
        <v>2.2</v>
      </c>
      <c r="BI262" s="199" t="inlineStr">
        <is>
          <t>Actual</t>
        </is>
      </c>
      <c r="BJ262" s="200" t="inlineStr">
        <is>
          <t/>
        </is>
      </c>
      <c r="BK262" s="201" t="inlineStr">
        <is>
          <t/>
        </is>
      </c>
      <c r="BL262" s="202" t="inlineStr">
        <is>
          <t>Early Stage VC</t>
        </is>
      </c>
      <c r="BM262" s="203" t="inlineStr">
        <is>
          <t>Series A</t>
        </is>
      </c>
      <c r="BN262" s="204" t="inlineStr">
        <is>
          <t/>
        </is>
      </c>
      <c r="BO262" s="205" t="inlineStr">
        <is>
          <t>Venture Capital</t>
        </is>
      </c>
      <c r="BP262" s="206" t="inlineStr">
        <is>
          <t/>
        </is>
      </c>
      <c r="BQ262" s="207" t="inlineStr">
        <is>
          <t/>
        </is>
      </c>
      <c r="BR262" s="208" t="inlineStr">
        <is>
          <t/>
        </is>
      </c>
      <c r="BS262" s="209" t="inlineStr">
        <is>
          <t>Completed</t>
        </is>
      </c>
      <c r="BT262" s="210" t="n">
        <v>42934.0</v>
      </c>
      <c r="BU262" s="211" t="n">
        <v>6.51</v>
      </c>
      <c r="BV262" s="212" t="inlineStr">
        <is>
          <t>Actual</t>
        </is>
      </c>
      <c r="BW262" s="213" t="inlineStr">
        <is>
          <t/>
        </is>
      </c>
      <c r="BX262" s="214" t="inlineStr">
        <is>
          <t/>
        </is>
      </c>
      <c r="BY262" s="215" t="inlineStr">
        <is>
          <t>Later Stage VC</t>
        </is>
      </c>
      <c r="BZ262" s="216" t="inlineStr">
        <is>
          <t/>
        </is>
      </c>
      <c r="CA262" s="217" t="inlineStr">
        <is>
          <t/>
        </is>
      </c>
      <c r="CB262" s="218" t="inlineStr">
        <is>
          <t>Venture Capital</t>
        </is>
      </c>
      <c r="CC262" s="219" t="inlineStr">
        <is>
          <t/>
        </is>
      </c>
      <c r="CD262" s="220" t="inlineStr">
        <is>
          <t/>
        </is>
      </c>
      <c r="CE262" s="221" t="inlineStr">
        <is>
          <t/>
        </is>
      </c>
      <c r="CF262" s="222" t="inlineStr">
        <is>
          <t>Completed</t>
        </is>
      </c>
      <c r="CG262" s="223" t="inlineStr">
        <is>
          <t>1,68%</t>
        </is>
      </c>
      <c r="CH262" s="224" t="inlineStr">
        <is>
          <t>92</t>
        </is>
      </c>
      <c r="CI262" s="225" t="inlineStr">
        <is>
          <t>-0,02%</t>
        </is>
      </c>
      <c r="CJ262" s="226" t="inlineStr">
        <is>
          <t>-1,40%</t>
        </is>
      </c>
      <c r="CK262" s="227" t="inlineStr">
        <is>
          <t>2,86%</t>
        </is>
      </c>
      <c r="CL262" s="228" t="inlineStr">
        <is>
          <t>93</t>
        </is>
      </c>
      <c r="CM262" s="229" t="inlineStr">
        <is>
          <t>0,49%</t>
        </is>
      </c>
      <c r="CN262" s="230" t="inlineStr">
        <is>
          <t>89</t>
        </is>
      </c>
      <c r="CO262" s="231" t="inlineStr">
        <is>
          <t>4,59%</t>
        </is>
      </c>
      <c r="CP262" s="232" t="inlineStr">
        <is>
          <t>95</t>
        </is>
      </c>
      <c r="CQ262" s="233" t="inlineStr">
        <is>
          <t>1,13%</t>
        </is>
      </c>
      <c r="CR262" s="234" t="inlineStr">
        <is>
          <t>89</t>
        </is>
      </c>
      <c r="CS262" s="235" t="inlineStr">
        <is>
          <t>0,62%</t>
        </is>
      </c>
      <c r="CT262" s="236" t="inlineStr">
        <is>
          <t>90</t>
        </is>
      </c>
      <c r="CU262" s="237" t="inlineStr">
        <is>
          <t>0,37%</t>
        </is>
      </c>
      <c r="CV262" s="238" t="inlineStr">
        <is>
          <t>88</t>
        </is>
      </c>
      <c r="CW262" s="239" t="inlineStr">
        <is>
          <t>3,90x</t>
        </is>
      </c>
      <c r="CX262" s="240" t="inlineStr">
        <is>
          <t>75</t>
        </is>
      </c>
      <c r="CY262" s="241" t="inlineStr">
        <is>
          <t>0,10x</t>
        </is>
      </c>
      <c r="CZ262" s="242" t="inlineStr">
        <is>
          <t>2,70%</t>
        </is>
      </c>
      <c r="DA262" s="243" t="inlineStr">
        <is>
          <t>5,36x</t>
        </is>
      </c>
      <c r="DB262" s="244" t="inlineStr">
        <is>
          <t>81</t>
        </is>
      </c>
      <c r="DC262" s="245" t="inlineStr">
        <is>
          <t>2,44x</t>
        </is>
      </c>
      <c r="DD262" s="246" t="inlineStr">
        <is>
          <t>65</t>
        </is>
      </c>
      <c r="DE262" s="247" t="inlineStr">
        <is>
          <t>5,14x</t>
        </is>
      </c>
      <c r="DF262" s="248" t="inlineStr">
        <is>
          <t>77</t>
        </is>
      </c>
      <c r="DG262" s="249" t="inlineStr">
        <is>
          <t>5,58x</t>
        </is>
      </c>
      <c r="DH262" s="250" t="inlineStr">
        <is>
          <t>80</t>
        </is>
      </c>
      <c r="DI262" s="251" t="inlineStr">
        <is>
          <t>0,19x</t>
        </is>
      </c>
      <c r="DJ262" s="252" t="inlineStr">
        <is>
          <t>23</t>
        </is>
      </c>
      <c r="DK262" s="253" t="inlineStr">
        <is>
          <t>4,69x</t>
        </is>
      </c>
      <c r="DL262" s="254" t="inlineStr">
        <is>
          <t>77</t>
        </is>
      </c>
      <c r="DM262" s="255" t="inlineStr">
        <is>
          <t>3.189</t>
        </is>
      </c>
      <c r="DN262" s="256" t="inlineStr">
        <is>
          <t>-83</t>
        </is>
      </c>
      <c r="DO262" s="257" t="inlineStr">
        <is>
          <t>-2,54%</t>
        </is>
      </c>
      <c r="DP262" s="258" t="inlineStr">
        <is>
          <t>146</t>
        </is>
      </c>
      <c r="DQ262" s="259" t="inlineStr">
        <is>
          <t>0</t>
        </is>
      </c>
      <c r="DR262" s="260" t="inlineStr">
        <is>
          <t>0,00%</t>
        </is>
      </c>
      <c r="DS262" s="261" t="inlineStr">
        <is>
          <t>198</t>
        </is>
      </c>
      <c r="DT262" s="262" t="inlineStr">
        <is>
          <t>4</t>
        </is>
      </c>
      <c r="DU262" s="263" t="inlineStr">
        <is>
          <t>2,06%</t>
        </is>
      </c>
      <c r="DV262" s="264" t="inlineStr">
        <is>
          <t>1.609</t>
        </is>
      </c>
      <c r="DW262" s="265" t="inlineStr">
        <is>
          <t>-1</t>
        </is>
      </c>
      <c r="DX262" s="266" t="inlineStr">
        <is>
          <t>-0,06%</t>
        </is>
      </c>
      <c r="DY262" s="267" t="inlineStr">
        <is>
          <t>PitchBook Research</t>
        </is>
      </c>
      <c r="DZ262" s="786">
        <f>HYPERLINK("https://my.pitchbook.com?c=85867-93", "View company online")</f>
      </c>
    </row>
    <row r="263">
      <c r="A263" s="9" t="inlineStr">
        <is>
          <t>160200-01</t>
        </is>
      </c>
      <c r="B263" s="10" t="inlineStr">
        <is>
          <t>Leaseonline</t>
        </is>
      </c>
      <c r="C263" s="11" t="inlineStr">
        <is>
          <t/>
        </is>
      </c>
      <c r="D263" s="12" t="inlineStr">
        <is>
          <t/>
        </is>
      </c>
      <c r="E263" s="13" t="inlineStr">
        <is>
          <t>160200-01</t>
        </is>
      </c>
      <c r="F263" s="14" t="inlineStr">
        <is>
          <t>Provider of a car-leasing platform. The company offers an online portal enabling users to search for cars on lease depending on various criteria. It also offers car insurance and promotional services.</t>
        </is>
      </c>
      <c r="G263" s="15" t="inlineStr">
        <is>
          <t>Information Technology</t>
        </is>
      </c>
      <c r="H263" s="16" t="inlineStr">
        <is>
          <t>Software</t>
        </is>
      </c>
      <c r="I263" s="17" t="inlineStr">
        <is>
          <t>Social/Platform Software</t>
        </is>
      </c>
      <c r="J263" s="18" t="inlineStr">
        <is>
          <t>Social/Platform Software*; Automotive</t>
        </is>
      </c>
      <c r="K263" s="19" t="inlineStr">
        <is>
          <t>E-Commerce, SaaS</t>
        </is>
      </c>
      <c r="L263" s="20" t="inlineStr">
        <is>
          <t>Venture Capital-Backed</t>
        </is>
      </c>
      <c r="M263" s="21" t="n">
        <v>6.89</v>
      </c>
      <c r="N263" s="22" t="inlineStr">
        <is>
          <t>Startup</t>
        </is>
      </c>
      <c r="O263" s="23" t="inlineStr">
        <is>
          <t>Privately Held (backing)</t>
        </is>
      </c>
      <c r="P263" s="24" t="inlineStr">
        <is>
          <t>Venture Capital</t>
        </is>
      </c>
      <c r="Q263" s="25" t="inlineStr">
        <is>
          <t>www.leaseonline.se</t>
        </is>
      </c>
      <c r="R263" s="26" t="n">
        <v>3.0</v>
      </c>
      <c r="S263" s="27" t="inlineStr">
        <is>
          <t/>
        </is>
      </c>
      <c r="T263" s="28" t="inlineStr">
        <is>
          <t/>
        </is>
      </c>
      <c r="U263" s="29" t="n">
        <v>2014.0</v>
      </c>
      <c r="V263" s="30" t="inlineStr">
        <is>
          <t/>
        </is>
      </c>
      <c r="W263" s="31" t="inlineStr">
        <is>
          <t/>
        </is>
      </c>
      <c r="X263" s="32" t="inlineStr">
        <is>
          <t/>
        </is>
      </c>
      <c r="Y263" s="33" t="inlineStr">
        <is>
          <t/>
        </is>
      </c>
      <c r="Z263" s="34" t="inlineStr">
        <is>
          <t/>
        </is>
      </c>
      <c r="AA263" s="35" t="inlineStr">
        <is>
          <t/>
        </is>
      </c>
      <c r="AB263" s="36" t="inlineStr">
        <is>
          <t/>
        </is>
      </c>
      <c r="AC263" s="37" t="inlineStr">
        <is>
          <t/>
        </is>
      </c>
      <c r="AD263" s="38" t="inlineStr">
        <is>
          <t/>
        </is>
      </c>
      <c r="AE263" s="39" t="inlineStr">
        <is>
          <t>136312-48P</t>
        </is>
      </c>
      <c r="AF263" s="40" t="inlineStr">
        <is>
          <t>Sverker Andersson</t>
        </is>
      </c>
      <c r="AG263" s="41" t="inlineStr">
        <is>
          <t>Chief Executive Officer &amp; Co-Founder</t>
        </is>
      </c>
      <c r="AH263" s="42" t="inlineStr">
        <is>
          <t>sverker.andersson@leaseonline.se</t>
        </is>
      </c>
      <c r="AI263" s="43" t="inlineStr">
        <is>
          <t>+46 (0)0762-701 099</t>
        </is>
      </c>
      <c r="AJ263" s="44" t="inlineStr">
        <is>
          <t>Stockholm, Sweden</t>
        </is>
      </c>
      <c r="AK263" s="45" t="inlineStr">
        <is>
          <t>Peter Myndes Backe 8</t>
        </is>
      </c>
      <c r="AL263" s="46" t="inlineStr">
        <is>
          <t/>
        </is>
      </c>
      <c r="AM263" s="47" t="inlineStr">
        <is>
          <t>Stockholm</t>
        </is>
      </c>
      <c r="AN263" s="48" t="inlineStr">
        <is>
          <t/>
        </is>
      </c>
      <c r="AO263" s="49" t="inlineStr">
        <is>
          <t>104 62</t>
        </is>
      </c>
      <c r="AP263" s="50" t="inlineStr">
        <is>
          <t>Sweden</t>
        </is>
      </c>
      <c r="AQ263" s="51" t="inlineStr">
        <is>
          <t>+46 (0)0200-210320</t>
        </is>
      </c>
      <c r="AR263" s="52" t="inlineStr">
        <is>
          <t/>
        </is>
      </c>
      <c r="AS263" s="53" t="inlineStr">
        <is>
          <t>info@leaseonline.se</t>
        </is>
      </c>
      <c r="AT263" s="54" t="inlineStr">
        <is>
          <t>Europe</t>
        </is>
      </c>
      <c r="AU263" s="55" t="inlineStr">
        <is>
          <t>Northern Europe</t>
        </is>
      </c>
      <c r="AV263" s="56" t="inlineStr">
        <is>
          <t>The company raised EUR 6 million of venture funding from NFT Ventures and other undisclosed investors on June 9, 2016. Previously, the company raised SEK 8.5 million of seed funding from NFT Ventures on August 19, 2015.</t>
        </is>
      </c>
      <c r="AW263" s="57" t="inlineStr">
        <is>
          <t>NFT Ventures</t>
        </is>
      </c>
      <c r="AX263" s="58" t="n">
        <v>1.0</v>
      </c>
      <c r="AY263" s="59" t="inlineStr">
        <is>
          <t/>
        </is>
      </c>
      <c r="AZ263" s="60" t="inlineStr">
        <is>
          <t/>
        </is>
      </c>
      <c r="BA263" s="61" t="inlineStr">
        <is>
          <t/>
        </is>
      </c>
      <c r="BB263" s="62" t="inlineStr">
        <is>
          <t>NFT Ventures (www.nftventures.com)</t>
        </is>
      </c>
      <c r="BC263" s="63" t="inlineStr">
        <is>
          <t/>
        </is>
      </c>
      <c r="BD263" s="64" t="inlineStr">
        <is>
          <t/>
        </is>
      </c>
      <c r="BE263" s="65" t="inlineStr">
        <is>
          <t/>
        </is>
      </c>
      <c r="BF263" s="66" t="inlineStr">
        <is>
          <t/>
        </is>
      </c>
      <c r="BG263" s="67" t="n">
        <v>42235.0</v>
      </c>
      <c r="BH263" s="68" t="n">
        <v>0.89</v>
      </c>
      <c r="BI263" s="69" t="inlineStr">
        <is>
          <t>Estimated</t>
        </is>
      </c>
      <c r="BJ263" s="70" t="inlineStr">
        <is>
          <t/>
        </is>
      </c>
      <c r="BK263" s="71" t="inlineStr">
        <is>
          <t/>
        </is>
      </c>
      <c r="BL263" s="72" t="inlineStr">
        <is>
          <t>Seed Round</t>
        </is>
      </c>
      <c r="BM263" s="73" t="inlineStr">
        <is>
          <t>Seed</t>
        </is>
      </c>
      <c r="BN263" s="74" t="inlineStr">
        <is>
          <t/>
        </is>
      </c>
      <c r="BO263" s="75" t="inlineStr">
        <is>
          <t>Venture Capital</t>
        </is>
      </c>
      <c r="BP263" s="76" t="inlineStr">
        <is>
          <t/>
        </is>
      </c>
      <c r="BQ263" s="77" t="inlineStr">
        <is>
          <t/>
        </is>
      </c>
      <c r="BR263" s="78" t="inlineStr">
        <is>
          <t/>
        </is>
      </c>
      <c r="BS263" s="79" t="inlineStr">
        <is>
          <t>Completed</t>
        </is>
      </c>
      <c r="BT263" s="80" t="n">
        <v>42530.0</v>
      </c>
      <c r="BU263" s="81" t="n">
        <v>6.0</v>
      </c>
      <c r="BV263" s="82" t="inlineStr">
        <is>
          <t>Actual</t>
        </is>
      </c>
      <c r="BW263" s="83" t="inlineStr">
        <is>
          <t/>
        </is>
      </c>
      <c r="BX263" s="84" t="inlineStr">
        <is>
          <t/>
        </is>
      </c>
      <c r="BY263" s="85" t="inlineStr">
        <is>
          <t>Early Stage VC</t>
        </is>
      </c>
      <c r="BZ263" s="86" t="inlineStr">
        <is>
          <t/>
        </is>
      </c>
      <c r="CA263" s="87" t="inlineStr">
        <is>
          <t/>
        </is>
      </c>
      <c r="CB263" s="88" t="inlineStr">
        <is>
          <t>Venture Capital</t>
        </is>
      </c>
      <c r="CC263" s="89" t="inlineStr">
        <is>
          <t/>
        </is>
      </c>
      <c r="CD263" s="90" t="inlineStr">
        <is>
          <t/>
        </is>
      </c>
      <c r="CE263" s="91" t="inlineStr">
        <is>
          <t/>
        </is>
      </c>
      <c r="CF263" s="92" t="inlineStr">
        <is>
          <t>Completed</t>
        </is>
      </c>
      <c r="CG263" s="93" t="inlineStr">
        <is>
          <t>-0,29%</t>
        </is>
      </c>
      <c r="CH263" s="94" t="inlineStr">
        <is>
          <t>11</t>
        </is>
      </c>
      <c r="CI263" s="95" t="inlineStr">
        <is>
          <t>0,02%</t>
        </is>
      </c>
      <c r="CJ263" s="96" t="inlineStr">
        <is>
          <t>7,84%</t>
        </is>
      </c>
      <c r="CK263" s="97" t="inlineStr">
        <is>
          <t>-1,22%</t>
        </is>
      </c>
      <c r="CL263" s="98" t="inlineStr">
        <is>
          <t>8</t>
        </is>
      </c>
      <c r="CM263" s="99" t="inlineStr">
        <is>
          <t>0,64%</t>
        </is>
      </c>
      <c r="CN263" s="100" t="inlineStr">
        <is>
          <t>92</t>
        </is>
      </c>
      <c r="CO263" s="101" t="inlineStr">
        <is>
          <t>-2,43%</t>
        </is>
      </c>
      <c r="CP263" s="102" t="inlineStr">
        <is>
          <t>14</t>
        </is>
      </c>
      <c r="CQ263" s="103" t="inlineStr">
        <is>
          <t>0,00%</t>
        </is>
      </c>
      <c r="CR263" s="104" t="inlineStr">
        <is>
          <t>13</t>
        </is>
      </c>
      <c r="CS263" s="105" t="inlineStr">
        <is>
          <t>0,64%</t>
        </is>
      </c>
      <c r="CT263" s="106" t="inlineStr">
        <is>
          <t>90</t>
        </is>
      </c>
      <c r="CU263" s="107" t="inlineStr">
        <is>
          <t/>
        </is>
      </c>
      <c r="CV263" s="108" t="inlineStr">
        <is>
          <t/>
        </is>
      </c>
      <c r="CW263" s="109" t="inlineStr">
        <is>
          <t>1,33x</t>
        </is>
      </c>
      <c r="CX263" s="110" t="inlineStr">
        <is>
          <t>55</t>
        </is>
      </c>
      <c r="CY263" s="111" t="inlineStr">
        <is>
          <t>0,01x</t>
        </is>
      </c>
      <c r="CZ263" s="112" t="inlineStr">
        <is>
          <t>0,50%</t>
        </is>
      </c>
      <c r="DA263" s="113" t="inlineStr">
        <is>
          <t>2,40x</t>
        </is>
      </c>
      <c r="DB263" s="114" t="inlineStr">
        <is>
          <t>70</t>
        </is>
      </c>
      <c r="DC263" s="115" t="inlineStr">
        <is>
          <t>0,25x</t>
        </is>
      </c>
      <c r="DD263" s="116" t="inlineStr">
        <is>
          <t>25</t>
        </is>
      </c>
      <c r="DE263" s="117" t="inlineStr">
        <is>
          <t>4,67x</t>
        </is>
      </c>
      <c r="DF263" s="118" t="inlineStr">
        <is>
          <t>76</t>
        </is>
      </c>
      <c r="DG263" s="119" t="inlineStr">
        <is>
          <t>0,14x</t>
        </is>
      </c>
      <c r="DH263" s="120" t="inlineStr">
        <is>
          <t>15</t>
        </is>
      </c>
      <c r="DI263" s="121" t="inlineStr">
        <is>
          <t>0,25x</t>
        </is>
      </c>
      <c r="DJ263" s="122" t="inlineStr">
        <is>
          <t>27</t>
        </is>
      </c>
      <c r="DK263" s="123" t="inlineStr">
        <is>
          <t/>
        </is>
      </c>
      <c r="DL263" s="124" t="inlineStr">
        <is>
          <t/>
        </is>
      </c>
      <c r="DM263" s="125" t="inlineStr">
        <is>
          <t>2.995</t>
        </is>
      </c>
      <c r="DN263" s="126" t="inlineStr">
        <is>
          <t>-373</t>
        </is>
      </c>
      <c r="DO263" s="127" t="inlineStr">
        <is>
          <t>-11,07%</t>
        </is>
      </c>
      <c r="DP263" s="128" t="inlineStr">
        <is>
          <t>201</t>
        </is>
      </c>
      <c r="DQ263" s="129" t="inlineStr">
        <is>
          <t>6</t>
        </is>
      </c>
      <c r="DR263" s="130" t="inlineStr">
        <is>
          <t>3,08%</t>
        </is>
      </c>
      <c r="DS263" s="131" t="inlineStr">
        <is>
          <t>5</t>
        </is>
      </c>
      <c r="DT263" s="132" t="inlineStr">
        <is>
          <t>0</t>
        </is>
      </c>
      <c r="DU263" s="133" t="inlineStr">
        <is>
          <t>0,00%</t>
        </is>
      </c>
      <c r="DV263" s="134" t="inlineStr">
        <is>
          <t/>
        </is>
      </c>
      <c r="DW263" s="135" t="inlineStr">
        <is>
          <t/>
        </is>
      </c>
      <c r="DX263" s="136" t="inlineStr">
        <is>
          <t/>
        </is>
      </c>
      <c r="DY263" s="137" t="inlineStr">
        <is>
          <t>PitchBook Research</t>
        </is>
      </c>
      <c r="DZ263" s="785">
        <f>HYPERLINK("https://my.pitchbook.com?c=160200-01", "View company online")</f>
      </c>
    </row>
    <row r="264">
      <c r="A264" s="139" t="inlineStr">
        <is>
          <t>60321-25</t>
        </is>
      </c>
      <c r="B264" s="140" t="inlineStr">
        <is>
          <t>LeCab</t>
        </is>
      </c>
      <c r="C264" s="141" t="inlineStr">
        <is>
          <t/>
        </is>
      </c>
      <c r="D264" s="142" t="inlineStr">
        <is>
          <t/>
        </is>
      </c>
      <c r="E264" s="143" t="inlineStr">
        <is>
          <t>60321-25</t>
        </is>
      </c>
      <c r="F264" s="144" t="inlineStr">
        <is>
          <t>Provider of car-booking services in Paris. The company operates a chauffeur transportation service through a mobile application that enables passengers to book in advance and track their rides online.</t>
        </is>
      </c>
      <c r="G264" s="145" t="inlineStr">
        <is>
          <t>Information Technology</t>
        </is>
      </c>
      <c r="H264" s="146" t="inlineStr">
        <is>
          <t>Software</t>
        </is>
      </c>
      <c r="I264" s="147" t="inlineStr">
        <is>
          <t>Application Software</t>
        </is>
      </c>
      <c r="J264" s="148" t="inlineStr">
        <is>
          <t>Application Software*; Other Services (B2C Non-Financial); Automotive</t>
        </is>
      </c>
      <c r="K264" s="149" t="inlineStr">
        <is>
          <t>Mobile</t>
        </is>
      </c>
      <c r="L264" s="150" t="inlineStr">
        <is>
          <t>Venture Capital-Backed</t>
        </is>
      </c>
      <c r="M264" s="151" t="n">
        <v>8.51</v>
      </c>
      <c r="N264" s="152" t="inlineStr">
        <is>
          <t>Startup</t>
        </is>
      </c>
      <c r="O264" s="153" t="inlineStr">
        <is>
          <t>Privately Held (backing)</t>
        </is>
      </c>
      <c r="P264" s="154" t="inlineStr">
        <is>
          <t>Venture Capital</t>
        </is>
      </c>
      <c r="Q264" s="155" t="inlineStr">
        <is>
          <t>www.lecab.fr</t>
        </is>
      </c>
      <c r="R264" s="156" t="n">
        <v>56.0</v>
      </c>
      <c r="S264" s="157" t="inlineStr">
        <is>
          <t/>
        </is>
      </c>
      <c r="T264" s="158" t="inlineStr">
        <is>
          <t/>
        </is>
      </c>
      <c r="U264" s="159" t="n">
        <v>2012.0</v>
      </c>
      <c r="V264" s="160" t="inlineStr">
        <is>
          <t/>
        </is>
      </c>
      <c r="W264" s="161" t="inlineStr">
        <is>
          <t/>
        </is>
      </c>
      <c r="X264" s="162" t="inlineStr">
        <is>
          <t/>
        </is>
      </c>
      <c r="Y264" s="163" t="inlineStr">
        <is>
          <t/>
        </is>
      </c>
      <c r="Z264" s="164" t="inlineStr">
        <is>
          <t/>
        </is>
      </c>
      <c r="AA264" s="165" t="inlineStr">
        <is>
          <t/>
        </is>
      </c>
      <c r="AB264" s="166" t="inlineStr">
        <is>
          <t/>
        </is>
      </c>
      <c r="AC264" s="167" t="inlineStr">
        <is>
          <t/>
        </is>
      </c>
      <c r="AD264" s="168" t="inlineStr">
        <is>
          <t/>
        </is>
      </c>
      <c r="AE264" s="169" t="inlineStr">
        <is>
          <t>56631-97P</t>
        </is>
      </c>
      <c r="AF264" s="170" t="inlineStr">
        <is>
          <t>Benjamin Cardoso</t>
        </is>
      </c>
      <c r="AG264" s="171" t="inlineStr">
        <is>
          <t>Co-Founder &amp; Chief Executive Officer</t>
        </is>
      </c>
      <c r="AH264" s="172" t="inlineStr">
        <is>
          <t>benjamin@lecab.fr</t>
        </is>
      </c>
      <c r="AI264" s="173" t="inlineStr">
        <is>
          <t>+33 (0)1 76 49 76 49</t>
        </is>
      </c>
      <c r="AJ264" s="174" t="inlineStr">
        <is>
          <t>Paris, France</t>
        </is>
      </c>
      <c r="AK264" s="175" t="inlineStr">
        <is>
          <t>12 rue Médéric</t>
        </is>
      </c>
      <c r="AL264" s="176" t="inlineStr">
        <is>
          <t/>
        </is>
      </c>
      <c r="AM264" s="177" t="inlineStr">
        <is>
          <t>Paris</t>
        </is>
      </c>
      <c r="AN264" s="178" t="inlineStr">
        <is>
          <t/>
        </is>
      </c>
      <c r="AO264" s="179" t="inlineStr">
        <is>
          <t>75017</t>
        </is>
      </c>
      <c r="AP264" s="180" t="inlineStr">
        <is>
          <t>France</t>
        </is>
      </c>
      <c r="AQ264" s="181" t="inlineStr">
        <is>
          <t>+33 (0)1 76 49 76 49</t>
        </is>
      </c>
      <c r="AR264" s="182" t="inlineStr">
        <is>
          <t/>
        </is>
      </c>
      <c r="AS264" s="183" t="inlineStr">
        <is>
          <t>marketing@lecab.fr</t>
        </is>
      </c>
      <c r="AT264" s="184" t="inlineStr">
        <is>
          <t>Europe</t>
        </is>
      </c>
      <c r="AU264" s="185" t="inlineStr">
        <is>
          <t>Western Europe</t>
        </is>
      </c>
      <c r="AV264" s="186" t="inlineStr">
        <is>
          <t>The company received an undisclosed amount of financing from Keolis on March 21, 2016 for an undisclosed sum.</t>
        </is>
      </c>
      <c r="AW264" s="187" t="inlineStr">
        <is>
          <t>Keolis</t>
        </is>
      </c>
      <c r="AX264" s="188" t="n">
        <v>1.0</v>
      </c>
      <c r="AY264" s="189" t="inlineStr">
        <is>
          <t/>
        </is>
      </c>
      <c r="AZ264" s="190" t="inlineStr">
        <is>
          <t/>
        </is>
      </c>
      <c r="BA264" s="191" t="inlineStr">
        <is>
          <t/>
        </is>
      </c>
      <c r="BB264" s="192" t="inlineStr">
        <is>
          <t>Keolis (www.keolis.com)</t>
        </is>
      </c>
      <c r="BC264" s="193" t="inlineStr">
        <is>
          <t/>
        </is>
      </c>
      <c r="BD264" s="194" t="inlineStr">
        <is>
          <t/>
        </is>
      </c>
      <c r="BE264" s="195" t="inlineStr">
        <is>
          <t/>
        </is>
      </c>
      <c r="BF264" s="196" t="inlineStr">
        <is>
          <t>Acetis Finance (Advisor), Fuchs Cohana Reboul &amp; Associés (Legal Advisor)</t>
        </is>
      </c>
      <c r="BG264" s="197" t="inlineStr">
        <is>
          <t/>
        </is>
      </c>
      <c r="BH264" s="198" t="n">
        <v>3.47</v>
      </c>
      <c r="BI264" s="199" t="inlineStr">
        <is>
          <t>Actual</t>
        </is>
      </c>
      <c r="BJ264" s="200" t="inlineStr">
        <is>
          <t/>
        </is>
      </c>
      <c r="BK264" s="201" t="inlineStr">
        <is>
          <t/>
        </is>
      </c>
      <c r="BL264" s="202" t="inlineStr">
        <is>
          <t>Early Stage VC</t>
        </is>
      </c>
      <c r="BM264" s="203" t="inlineStr">
        <is>
          <t>Series A</t>
        </is>
      </c>
      <c r="BN264" s="204" t="inlineStr">
        <is>
          <t/>
        </is>
      </c>
      <c r="BO264" s="205" t="inlineStr">
        <is>
          <t>Venture Capital</t>
        </is>
      </c>
      <c r="BP264" s="206" t="inlineStr">
        <is>
          <t/>
        </is>
      </c>
      <c r="BQ264" s="207" t="inlineStr">
        <is>
          <t/>
        </is>
      </c>
      <c r="BR264" s="208" t="inlineStr">
        <is>
          <t/>
        </is>
      </c>
      <c r="BS264" s="209" t="inlineStr">
        <is>
          <t>Completed</t>
        </is>
      </c>
      <c r="BT264" s="210" t="n">
        <v>42450.0</v>
      </c>
      <c r="BU264" s="211" t="inlineStr">
        <is>
          <t/>
        </is>
      </c>
      <c r="BV264" s="212" t="inlineStr">
        <is>
          <t/>
        </is>
      </c>
      <c r="BW264" s="213" t="inlineStr">
        <is>
          <t/>
        </is>
      </c>
      <c r="BX264" s="214" t="inlineStr">
        <is>
          <t/>
        </is>
      </c>
      <c r="BY264" s="215" t="inlineStr">
        <is>
          <t>Corporate</t>
        </is>
      </c>
      <c r="BZ264" s="216" t="inlineStr">
        <is>
          <t>Corporate</t>
        </is>
      </c>
      <c r="CA264" s="217" t="inlineStr">
        <is>
          <t/>
        </is>
      </c>
      <c r="CB264" s="218" t="inlineStr">
        <is>
          <t>Corporate</t>
        </is>
      </c>
      <c r="CC264" s="219" t="inlineStr">
        <is>
          <t/>
        </is>
      </c>
      <c r="CD264" s="220" t="inlineStr">
        <is>
          <t/>
        </is>
      </c>
      <c r="CE264" s="221" t="inlineStr">
        <is>
          <t/>
        </is>
      </c>
      <c r="CF264" s="222" t="inlineStr">
        <is>
          <t>Completed</t>
        </is>
      </c>
      <c r="CG264" s="223" t="inlineStr">
        <is>
          <t>-0,89%</t>
        </is>
      </c>
      <c r="CH264" s="224" t="inlineStr">
        <is>
          <t>6</t>
        </is>
      </c>
      <c r="CI264" s="225" t="inlineStr">
        <is>
          <t>-0,61%</t>
        </is>
      </c>
      <c r="CJ264" s="226" t="inlineStr">
        <is>
          <t>-221,61%</t>
        </is>
      </c>
      <c r="CK264" s="227" t="inlineStr">
        <is>
          <t>-2,71%</t>
        </is>
      </c>
      <c r="CL264" s="228" t="inlineStr">
        <is>
          <t>4</t>
        </is>
      </c>
      <c r="CM264" s="229" t="inlineStr">
        <is>
          <t>0,05%</t>
        </is>
      </c>
      <c r="CN264" s="230" t="inlineStr">
        <is>
          <t>52</t>
        </is>
      </c>
      <c r="CO264" s="231" t="inlineStr">
        <is>
          <t>-5,03%</t>
        </is>
      </c>
      <c r="CP264" s="232" t="inlineStr">
        <is>
          <t>7</t>
        </is>
      </c>
      <c r="CQ264" s="233" t="inlineStr">
        <is>
          <t>-0,39%</t>
        </is>
      </c>
      <c r="CR264" s="234" t="inlineStr">
        <is>
          <t>8</t>
        </is>
      </c>
      <c r="CS264" s="235" t="inlineStr">
        <is>
          <t>0,09%</t>
        </is>
      </c>
      <c r="CT264" s="236" t="inlineStr">
        <is>
          <t>56</t>
        </is>
      </c>
      <c r="CU264" s="237" t="inlineStr">
        <is>
          <t>0,01%</t>
        </is>
      </c>
      <c r="CV264" s="238" t="inlineStr">
        <is>
          <t>56</t>
        </is>
      </c>
      <c r="CW264" s="239" t="inlineStr">
        <is>
          <t>25,65x</t>
        </is>
      </c>
      <c r="CX264" s="240" t="inlineStr">
        <is>
          <t>93</t>
        </is>
      </c>
      <c r="CY264" s="241" t="inlineStr">
        <is>
          <t>0,37x</t>
        </is>
      </c>
      <c r="CZ264" s="242" t="inlineStr">
        <is>
          <t>1,47%</t>
        </is>
      </c>
      <c r="DA264" s="243" t="inlineStr">
        <is>
          <t>27,39x</t>
        </is>
      </c>
      <c r="DB264" s="244" t="inlineStr">
        <is>
          <t>94</t>
        </is>
      </c>
      <c r="DC264" s="245" t="inlineStr">
        <is>
          <t>49,39x</t>
        </is>
      </c>
      <c r="DD264" s="246" t="inlineStr">
        <is>
          <t>94</t>
        </is>
      </c>
      <c r="DE264" s="247" t="inlineStr">
        <is>
          <t>44,47x</t>
        </is>
      </c>
      <c r="DF264" s="248" t="inlineStr">
        <is>
          <t>93</t>
        </is>
      </c>
      <c r="DG264" s="249" t="inlineStr">
        <is>
          <t>10,31x</t>
        </is>
      </c>
      <c r="DH264" s="250" t="inlineStr">
        <is>
          <t>86</t>
        </is>
      </c>
      <c r="DI264" s="251" t="inlineStr">
        <is>
          <t>64,60x</t>
        </is>
      </c>
      <c r="DJ264" s="252" t="inlineStr">
        <is>
          <t>94</t>
        </is>
      </c>
      <c r="DK264" s="253" t="inlineStr">
        <is>
          <t>34,19x</t>
        </is>
      </c>
      <c r="DL264" s="254" t="inlineStr">
        <is>
          <t>95</t>
        </is>
      </c>
      <c r="DM264" s="255" t="inlineStr">
        <is>
          <t>27.889</t>
        </is>
      </c>
      <c r="DN264" s="256" t="inlineStr">
        <is>
          <t>-1.628</t>
        </is>
      </c>
      <c r="DO264" s="257" t="inlineStr">
        <is>
          <t>-5,52%</t>
        </is>
      </c>
      <c r="DP264" s="258" t="inlineStr">
        <is>
          <t>51.600</t>
        </is>
      </c>
      <c r="DQ264" s="259" t="inlineStr">
        <is>
          <t>102</t>
        </is>
      </c>
      <c r="DR264" s="260" t="inlineStr">
        <is>
          <t>0,20%</t>
        </is>
      </c>
      <c r="DS264" s="261" t="inlineStr">
        <is>
          <t>373</t>
        </is>
      </c>
      <c r="DT264" s="262" t="inlineStr">
        <is>
          <t>-5</t>
        </is>
      </c>
      <c r="DU264" s="263" t="inlineStr">
        <is>
          <t>-1,32%</t>
        </is>
      </c>
      <c r="DV264" s="264" t="inlineStr">
        <is>
          <t>11.729</t>
        </is>
      </c>
      <c r="DW264" s="265" t="inlineStr">
        <is>
          <t>4</t>
        </is>
      </c>
      <c r="DX264" s="266" t="inlineStr">
        <is>
          <t>0,03%</t>
        </is>
      </c>
      <c r="DY264" s="267" t="inlineStr">
        <is>
          <t>PitchBook Research</t>
        </is>
      </c>
      <c r="DZ264" s="786">
        <f>HYPERLINK("https://my.pitchbook.com?c=60321-25", "View company online")</f>
      </c>
    </row>
    <row r="265">
      <c r="A265" s="9" t="inlineStr">
        <is>
          <t>109108-81</t>
        </is>
      </c>
      <c r="B265" s="10" t="inlineStr">
        <is>
          <t>Ledger (Bitcoin Security)</t>
        </is>
      </c>
      <c r="C265" s="11" t="inlineStr">
        <is>
          <t/>
        </is>
      </c>
      <c r="D265" s="12" t="inlineStr">
        <is>
          <t/>
        </is>
      </c>
      <c r="E265" s="13" t="inlineStr">
        <is>
          <t>109108-81</t>
        </is>
      </c>
      <c r="F265" s="14" t="inlineStr">
        <is>
          <t>Developer of security products for cryptocurrencies and blockchains designed to provide a trust layer between the blockchain system and the physical world. The company's line of products for the cryptocurrency and blockchain market include hardware wallets for consumers, server appliances for enterprise and embedded technology for connected objects, which are based on its a low-footprint crypto-embedded operating system built for secure elements and secure enclaves which enables full orchestration of code and systems directly from the secure core, enabling secure blockchain applications for enterprises, industrials and consumers.</t>
        </is>
      </c>
      <c r="G265" s="15" t="inlineStr">
        <is>
          <t>Information Technology</t>
        </is>
      </c>
      <c r="H265" s="16" t="inlineStr">
        <is>
          <t>Computer Hardware</t>
        </is>
      </c>
      <c r="I265" s="17" t="inlineStr">
        <is>
          <t>Electronic Equipment and Instruments</t>
        </is>
      </c>
      <c r="J265" s="18" t="inlineStr">
        <is>
          <t>Electronic Equipment and Instruments*; Other Hardware</t>
        </is>
      </c>
      <c r="K265" s="19" t="inlineStr">
        <is>
          <t>Cybersecurity, FinTech</t>
        </is>
      </c>
      <c r="L265" s="20" t="inlineStr">
        <is>
          <t>Venture Capital-Backed</t>
        </is>
      </c>
      <c r="M265" s="21" t="n">
        <v>7.85</v>
      </c>
      <c r="N265" s="22" t="inlineStr">
        <is>
          <t>Generating Revenue</t>
        </is>
      </c>
      <c r="O265" s="23" t="inlineStr">
        <is>
          <t>Privately Held (backing)</t>
        </is>
      </c>
      <c r="P265" s="24" t="inlineStr">
        <is>
          <t>Venture Capital</t>
        </is>
      </c>
      <c r="Q265" s="25" t="inlineStr">
        <is>
          <t>www.ledgerwallet.com</t>
        </is>
      </c>
      <c r="R265" s="26" t="n">
        <v>25.0</v>
      </c>
      <c r="S265" s="27" t="inlineStr">
        <is>
          <t/>
        </is>
      </c>
      <c r="T265" s="28" t="inlineStr">
        <is>
          <t/>
        </is>
      </c>
      <c r="U265" s="29" t="n">
        <v>2014.0</v>
      </c>
      <c r="V265" s="30" t="inlineStr">
        <is>
          <t/>
        </is>
      </c>
      <c r="W265" s="31" t="inlineStr">
        <is>
          <t/>
        </is>
      </c>
      <c r="X265" s="32" t="inlineStr">
        <is>
          <t/>
        </is>
      </c>
      <c r="Y265" s="33" t="n">
        <v>0.51449</v>
      </c>
      <c r="Z265" s="34" t="inlineStr">
        <is>
          <t/>
        </is>
      </c>
      <c r="AA265" s="35" t="n">
        <v>-0.79011</v>
      </c>
      <c r="AB265" s="36" t="inlineStr">
        <is>
          <t/>
        </is>
      </c>
      <c r="AC265" s="37" t="inlineStr">
        <is>
          <t/>
        </is>
      </c>
      <c r="AD265" s="38" t="inlineStr">
        <is>
          <t>FY 2015</t>
        </is>
      </c>
      <c r="AE265" s="39" t="inlineStr">
        <is>
          <t>93753-37P</t>
        </is>
      </c>
      <c r="AF265" s="40" t="inlineStr">
        <is>
          <t>Eric Larchevêque</t>
        </is>
      </c>
      <c r="AG265" s="41" t="inlineStr">
        <is>
          <t>Chief Executive Officer &amp; Board Member</t>
        </is>
      </c>
      <c r="AH265" s="42" t="inlineStr">
        <is>
          <t>eric@ledger.fr</t>
        </is>
      </c>
      <c r="AI265" s="43" t="inlineStr">
        <is>
          <t>+33 (0)9 67 30 01 71</t>
        </is>
      </c>
      <c r="AJ265" s="44" t="inlineStr">
        <is>
          <t>Paris, France</t>
        </is>
      </c>
      <c r="AK265" s="45" t="inlineStr">
        <is>
          <t>35 rue du Caire</t>
        </is>
      </c>
      <c r="AL265" s="46" t="inlineStr">
        <is>
          <t/>
        </is>
      </c>
      <c r="AM265" s="47" t="inlineStr">
        <is>
          <t>Paris</t>
        </is>
      </c>
      <c r="AN265" s="48" t="inlineStr">
        <is>
          <t/>
        </is>
      </c>
      <c r="AO265" s="49" t="inlineStr">
        <is>
          <t>75002</t>
        </is>
      </c>
      <c r="AP265" s="50" t="inlineStr">
        <is>
          <t>France</t>
        </is>
      </c>
      <c r="AQ265" s="51" t="inlineStr">
        <is>
          <t>+33 (0)9 67 30 01 71</t>
        </is>
      </c>
      <c r="AR265" s="52" t="inlineStr">
        <is>
          <t/>
        </is>
      </c>
      <c r="AS265" s="53" t="inlineStr">
        <is>
          <t/>
        </is>
      </c>
      <c r="AT265" s="54" t="inlineStr">
        <is>
          <t>Europe</t>
        </is>
      </c>
      <c r="AU265" s="55" t="inlineStr">
        <is>
          <t>Western Europe</t>
        </is>
      </c>
      <c r="AV265" s="56" t="inlineStr">
        <is>
          <t>The company raised $7 million of Series A venture funding in a deal led by MAIF on March 30, 2017. XAnge Private Equity, Wicklow Capital, GDTRE, Libertus Capital, Digital Currency Group, The Whittemore Collection, Kima Ventures, BHB Network and Nicolas Pinto also participated in the round. The new funding will be used to develop the sales, marketing, engineering and support teams through the recruitment of 20 new collaborators.</t>
        </is>
      </c>
      <c r="AW265" s="57" t="inlineStr">
        <is>
          <t>Alain Tingaud Innovations, Allianz Startups Accelerator, BHB Network, Bpifrance, Digital Currency Group, Fred Potter, GDTRE, Hi-Pay, Kima Ventures, Libertus Capital, MAIF Avenir, Nicolas Pinto, Pascal Gauthier, Siparex Group, The Whittemore Collection, Thibaut Faurès Fustel de Coulanges, Wicklow Capital, XAnge Private Equity</t>
        </is>
      </c>
      <c r="AX265" s="58" t="n">
        <v>18.0</v>
      </c>
      <c r="AY265" s="59" t="inlineStr">
        <is>
          <t/>
        </is>
      </c>
      <c r="AZ265" s="60" t="inlineStr">
        <is>
          <t/>
        </is>
      </c>
      <c r="BA265" s="61" t="inlineStr">
        <is>
          <t/>
        </is>
      </c>
      <c r="BB265" s="62" t="inlineStr">
        <is>
          <t>Alain Tingaud Innovations (www.alaintingaud-innovations.com), Bpifrance (www.bpifrance.fr), Digital Currency Group (www.dcg.co), Kima Ventures (www.kimaventures.com), MAIF Avenir (www.maif-avenir.fr), Siparex Group (www.siparex.com), The Whittemore Collection (www.whittemorecollection.com), XAnge Private Equity (www.xange.fr)</t>
        </is>
      </c>
      <c r="BC265" s="63" t="inlineStr">
        <is>
          <t/>
        </is>
      </c>
      <c r="BD265" s="64" t="inlineStr">
        <is>
          <t/>
        </is>
      </c>
      <c r="BE265" s="65" t="inlineStr">
        <is>
          <t/>
        </is>
      </c>
      <c r="BF265" s="66" t="inlineStr">
        <is>
          <t/>
        </is>
      </c>
      <c r="BG265" s="67" t="n">
        <v>42054.0</v>
      </c>
      <c r="BH265" s="68" t="n">
        <v>1.3</v>
      </c>
      <c r="BI265" s="69" t="inlineStr">
        <is>
          <t>Actual</t>
        </is>
      </c>
      <c r="BJ265" s="70" t="inlineStr">
        <is>
          <t/>
        </is>
      </c>
      <c r="BK265" s="71" t="inlineStr">
        <is>
          <t/>
        </is>
      </c>
      <c r="BL265" s="72" t="inlineStr">
        <is>
          <t>Seed Round</t>
        </is>
      </c>
      <c r="BM265" s="73" t="inlineStr">
        <is>
          <t>Seed</t>
        </is>
      </c>
      <c r="BN265" s="74" t="inlineStr">
        <is>
          <t/>
        </is>
      </c>
      <c r="BO265" s="75" t="inlineStr">
        <is>
          <t>Venture Capital</t>
        </is>
      </c>
      <c r="BP265" s="76" t="inlineStr">
        <is>
          <t/>
        </is>
      </c>
      <c r="BQ265" s="77" t="inlineStr">
        <is>
          <t/>
        </is>
      </c>
      <c r="BR265" s="78" t="inlineStr">
        <is>
          <t/>
        </is>
      </c>
      <c r="BS265" s="79" t="inlineStr">
        <is>
          <t>Completed</t>
        </is>
      </c>
      <c r="BT265" s="80" t="n">
        <v>42824.0</v>
      </c>
      <c r="BU265" s="81" t="n">
        <v>6.55</v>
      </c>
      <c r="BV265" s="82" t="inlineStr">
        <is>
          <t>Actual</t>
        </is>
      </c>
      <c r="BW265" s="83" t="inlineStr">
        <is>
          <t/>
        </is>
      </c>
      <c r="BX265" s="84" t="inlineStr">
        <is>
          <t/>
        </is>
      </c>
      <c r="BY265" s="85" t="inlineStr">
        <is>
          <t>Early Stage VC</t>
        </is>
      </c>
      <c r="BZ265" s="86" t="inlineStr">
        <is>
          <t>Series A</t>
        </is>
      </c>
      <c r="CA265" s="87" t="inlineStr">
        <is>
          <t/>
        </is>
      </c>
      <c r="CB265" s="88" t="inlineStr">
        <is>
          <t>Venture Capital</t>
        </is>
      </c>
      <c r="CC265" s="89" t="inlineStr">
        <is>
          <t/>
        </is>
      </c>
      <c r="CD265" s="90" t="inlineStr">
        <is>
          <t/>
        </is>
      </c>
      <c r="CE265" s="91" t="inlineStr">
        <is>
          <t/>
        </is>
      </c>
      <c r="CF265" s="92" t="inlineStr">
        <is>
          <t>Completed</t>
        </is>
      </c>
      <c r="CG265" s="93" t="inlineStr">
        <is>
          <t>3,78%</t>
        </is>
      </c>
      <c r="CH265" s="94" t="inlineStr">
        <is>
          <t>97</t>
        </is>
      </c>
      <c r="CI265" s="95" t="inlineStr">
        <is>
          <t>0,04%</t>
        </is>
      </c>
      <c r="CJ265" s="96" t="inlineStr">
        <is>
          <t>1,15%</t>
        </is>
      </c>
      <c r="CK265" s="97" t="inlineStr">
        <is>
          <t>2,77%</t>
        </is>
      </c>
      <c r="CL265" s="98" t="inlineStr">
        <is>
          <t>93</t>
        </is>
      </c>
      <c r="CM265" s="99" t="inlineStr">
        <is>
          <t>4,79%</t>
        </is>
      </c>
      <c r="CN265" s="100" t="inlineStr">
        <is>
          <t>100</t>
        </is>
      </c>
      <c r="CO265" s="101" t="inlineStr">
        <is>
          <t>1,76%</t>
        </is>
      </c>
      <c r="CP265" s="102" t="inlineStr">
        <is>
          <t>88</t>
        </is>
      </c>
      <c r="CQ265" s="103" t="inlineStr">
        <is>
          <t>3,77%</t>
        </is>
      </c>
      <c r="CR265" s="104" t="inlineStr">
        <is>
          <t>93</t>
        </is>
      </c>
      <c r="CS265" s="105" t="inlineStr">
        <is>
          <t>3,48%</t>
        </is>
      </c>
      <c r="CT265" s="106" t="inlineStr">
        <is>
          <t>99</t>
        </is>
      </c>
      <c r="CU265" s="107" t="inlineStr">
        <is>
          <t>6,09%</t>
        </is>
      </c>
      <c r="CV265" s="108" t="inlineStr">
        <is>
          <t>100</t>
        </is>
      </c>
      <c r="CW265" s="109" t="inlineStr">
        <is>
          <t>317,60x</t>
        </is>
      </c>
      <c r="CX265" s="110" t="inlineStr">
        <is>
          <t>99</t>
        </is>
      </c>
      <c r="CY265" s="111" t="inlineStr">
        <is>
          <t>1,65x</t>
        </is>
      </c>
      <c r="CZ265" s="112" t="inlineStr">
        <is>
          <t>0,52%</t>
        </is>
      </c>
      <c r="DA265" s="113" t="inlineStr">
        <is>
          <t>612,45x</t>
        </is>
      </c>
      <c r="DB265" s="114" t="inlineStr">
        <is>
          <t>100</t>
        </is>
      </c>
      <c r="DC265" s="115" t="inlineStr">
        <is>
          <t>22,75x</t>
        </is>
      </c>
      <c r="DD265" s="116" t="inlineStr">
        <is>
          <t>91</t>
        </is>
      </c>
      <c r="DE265" s="117" t="inlineStr">
        <is>
          <t>1.158,06x</t>
        </is>
      </c>
      <c r="DF265" s="118" t="inlineStr">
        <is>
          <t>100</t>
        </is>
      </c>
      <c r="DG265" s="119" t="inlineStr">
        <is>
          <t>66,83x</t>
        </is>
      </c>
      <c r="DH265" s="120" t="inlineStr">
        <is>
          <t>98</t>
        </is>
      </c>
      <c r="DI265" s="121" t="inlineStr">
        <is>
          <t>3,19x</t>
        </is>
      </c>
      <c r="DJ265" s="122" t="inlineStr">
        <is>
          <t>69</t>
        </is>
      </c>
      <c r="DK265" s="123" t="inlineStr">
        <is>
          <t>42,32x</t>
        </is>
      </c>
      <c r="DL265" s="124" t="inlineStr">
        <is>
          <t>95</t>
        </is>
      </c>
      <c r="DM265" s="125" t="inlineStr">
        <is>
          <t>699.813</t>
        </is>
      </c>
      <c r="DN265" s="126" t="inlineStr">
        <is>
          <t>37.177</t>
        </is>
      </c>
      <c r="DO265" s="127" t="inlineStr">
        <is>
          <t>5,61%</t>
        </is>
      </c>
      <c r="DP265" s="128" t="inlineStr">
        <is>
          <t>2.522</t>
        </is>
      </c>
      <c r="DQ265" s="129" t="inlineStr">
        <is>
          <t>96</t>
        </is>
      </c>
      <c r="DR265" s="130" t="inlineStr">
        <is>
          <t>3,96%</t>
        </is>
      </c>
      <c r="DS265" s="131" t="inlineStr">
        <is>
          <t>2.381</t>
        </is>
      </c>
      <c r="DT265" s="132" t="inlineStr">
        <is>
          <t>66</t>
        </is>
      </c>
      <c r="DU265" s="133" t="inlineStr">
        <is>
          <t>2,85%</t>
        </is>
      </c>
      <c r="DV265" s="134" t="inlineStr">
        <is>
          <t>14.166</t>
        </is>
      </c>
      <c r="DW265" s="135" t="inlineStr">
        <is>
          <t>718</t>
        </is>
      </c>
      <c r="DX265" s="136" t="inlineStr">
        <is>
          <t>5,34%</t>
        </is>
      </c>
      <c r="DY265" s="137" t="inlineStr">
        <is>
          <t>PitchBook Research</t>
        </is>
      </c>
      <c r="DZ265" s="785">
        <f>HYPERLINK("https://my.pitchbook.com?c=109108-81", "View company online")</f>
      </c>
    </row>
    <row r="266">
      <c r="A266" s="139" t="inlineStr">
        <is>
          <t>163033-39</t>
        </is>
      </c>
      <c r="B266" s="140" t="inlineStr">
        <is>
          <t>LemonCat</t>
        </is>
      </c>
      <c r="C266" s="141" t="inlineStr">
        <is>
          <t/>
        </is>
      </c>
      <c r="D266" s="142" t="inlineStr">
        <is>
          <t/>
        </is>
      </c>
      <c r="E266" s="143" t="inlineStr">
        <is>
          <t>163033-39</t>
        </is>
      </c>
      <c r="F266" s="144" t="inlineStr">
        <is>
          <t>Provider of an online marketplace for business catering intended to simplify the process of finding local dishes for meetings, conferences and events. The company's online marketplace is free for business customers, has a large selection of caterers to choose from, provides a low price guarantee and free cancellations up to 48 hours before an event, enabling businesses in Germany to reduce the stress of organizing business events.</t>
        </is>
      </c>
      <c r="G266" s="145" t="inlineStr">
        <is>
          <t>Information Technology</t>
        </is>
      </c>
      <c r="H266" s="146" t="inlineStr">
        <is>
          <t>Software</t>
        </is>
      </c>
      <c r="I266" s="147" t="inlineStr">
        <is>
          <t>Application Software</t>
        </is>
      </c>
      <c r="J266" s="148" t="inlineStr">
        <is>
          <t>Application Software*; Other Services (B2C Non-Financial)</t>
        </is>
      </c>
      <c r="K266" s="149" t="inlineStr">
        <is>
          <t/>
        </is>
      </c>
      <c r="L266" s="150" t="inlineStr">
        <is>
          <t>Venture Capital-Backed</t>
        </is>
      </c>
      <c r="M266" s="151" t="n">
        <v>9.0</v>
      </c>
      <c r="N266" s="152" t="inlineStr">
        <is>
          <t>Generating Revenue</t>
        </is>
      </c>
      <c r="O266" s="153" t="inlineStr">
        <is>
          <t>Privately Held (backing)</t>
        </is>
      </c>
      <c r="P266" s="154" t="inlineStr">
        <is>
          <t>Venture Capital</t>
        </is>
      </c>
      <c r="Q266" s="155" t="inlineStr">
        <is>
          <t>www.lemoncat.de</t>
        </is>
      </c>
      <c r="R266" s="156" t="n">
        <v>11.0</v>
      </c>
      <c r="S266" s="157" t="inlineStr">
        <is>
          <t/>
        </is>
      </c>
      <c r="T266" s="158" t="inlineStr">
        <is>
          <t/>
        </is>
      </c>
      <c r="U266" s="159" t="n">
        <v>2016.0</v>
      </c>
      <c r="V266" s="160" t="inlineStr">
        <is>
          <t/>
        </is>
      </c>
      <c r="W266" s="161" t="inlineStr">
        <is>
          <t/>
        </is>
      </c>
      <c r="X266" s="162" t="inlineStr">
        <is>
          <t/>
        </is>
      </c>
      <c r="Y266" s="163" t="inlineStr">
        <is>
          <t/>
        </is>
      </c>
      <c r="Z266" s="164" t="inlineStr">
        <is>
          <t/>
        </is>
      </c>
      <c r="AA266" s="165" t="inlineStr">
        <is>
          <t/>
        </is>
      </c>
      <c r="AB266" s="166" t="inlineStr">
        <is>
          <t/>
        </is>
      </c>
      <c r="AC266" s="167" t="inlineStr">
        <is>
          <t/>
        </is>
      </c>
      <c r="AD266" s="168" t="inlineStr">
        <is>
          <t/>
        </is>
      </c>
      <c r="AE266" s="169" t="inlineStr">
        <is>
          <t>47828-26P</t>
        </is>
      </c>
      <c r="AF266" s="170" t="inlineStr">
        <is>
          <t>Doreen Huber</t>
        </is>
      </c>
      <c r="AG266" s="171" t="inlineStr">
        <is>
          <t>Founder &amp; Chief Executive Officer</t>
        </is>
      </c>
      <c r="AH266" s="172" t="inlineStr">
        <is>
          <t>doreen.huber@lemoncat.de</t>
        </is>
      </c>
      <c r="AI266" s="173" t="inlineStr">
        <is>
          <t>+49 (0)30 2295 7010 24</t>
        </is>
      </c>
      <c r="AJ266" s="174" t="inlineStr">
        <is>
          <t>Berlin, Germany</t>
        </is>
      </c>
      <c r="AK266" s="175" t="inlineStr">
        <is>
          <t>Dircksenstr. 47</t>
        </is>
      </c>
      <c r="AL266" s="176" t="inlineStr">
        <is>
          <t/>
        </is>
      </c>
      <c r="AM266" s="177" t="inlineStr">
        <is>
          <t>Berlin</t>
        </is>
      </c>
      <c r="AN266" s="178" t="inlineStr">
        <is>
          <t/>
        </is>
      </c>
      <c r="AO266" s="179" t="inlineStr">
        <is>
          <t>10178</t>
        </is>
      </c>
      <c r="AP266" s="180" t="inlineStr">
        <is>
          <t>Germany</t>
        </is>
      </c>
      <c r="AQ266" s="181" t="inlineStr">
        <is>
          <t>+49 (0)30 2295 7010 24</t>
        </is>
      </c>
      <c r="AR266" s="182" t="inlineStr">
        <is>
          <t/>
        </is>
      </c>
      <c r="AS266" s="183" t="inlineStr">
        <is>
          <t>hello@lemoncat.de</t>
        </is>
      </c>
      <c r="AT266" s="184" t="inlineStr">
        <is>
          <t>Europe</t>
        </is>
      </c>
      <c r="AU266" s="185" t="inlineStr">
        <is>
          <t>Western Europe</t>
        </is>
      </c>
      <c r="AV266" s="186" t="inlineStr">
        <is>
          <t>The company raised EUR 6 million of venture funding in a deal led by Northzone Ventures on April 24, 2017. Point Nine Capital, Convenience Food Group, Target Global and Lukasz Gadowski also participated in the round. The company intends to use the funds to strengthen its position on the German catering portal. Earlier, the company raised EUR 3 million of seed funding from Point Nine Capital, Target Global and Convenience Food Group on May 30, 2016. Lukasz Gadowski also participated in the round.</t>
        </is>
      </c>
      <c r="AW266" s="187" t="inlineStr">
        <is>
          <t>Convenience Food Group, Lukasz Gadowski, Northzone Ventures, Point Nine Capital, Target Global</t>
        </is>
      </c>
      <c r="AX266" s="188" t="n">
        <v>5.0</v>
      </c>
      <c r="AY266" s="189" t="inlineStr">
        <is>
          <t/>
        </is>
      </c>
      <c r="AZ266" s="190" t="inlineStr">
        <is>
          <t/>
        </is>
      </c>
      <c r="BA266" s="191" t="inlineStr">
        <is>
          <t/>
        </is>
      </c>
      <c r="BB266" s="192" t="inlineStr">
        <is>
          <t>Lukasz Gadowski (www.lukaszgadowski.com), Northzone Ventures (www.northzone.com), Point Nine Capital (www.pointninecap.com), Target Global (www.targetglobal.vc)</t>
        </is>
      </c>
      <c r="BC266" s="193" t="inlineStr">
        <is>
          <t/>
        </is>
      </c>
      <c r="BD266" s="194" t="inlineStr">
        <is>
          <t/>
        </is>
      </c>
      <c r="BE266" s="195" t="inlineStr">
        <is>
          <t/>
        </is>
      </c>
      <c r="BF266" s="196" t="inlineStr">
        <is>
          <t/>
        </is>
      </c>
      <c r="BG266" s="197" t="n">
        <v>42520.0</v>
      </c>
      <c r="BH266" s="198" t="n">
        <v>3.0</v>
      </c>
      <c r="BI266" s="199" t="inlineStr">
        <is>
          <t>Actual</t>
        </is>
      </c>
      <c r="BJ266" s="200" t="inlineStr">
        <is>
          <t/>
        </is>
      </c>
      <c r="BK266" s="201" t="inlineStr">
        <is>
          <t/>
        </is>
      </c>
      <c r="BL266" s="202" t="inlineStr">
        <is>
          <t>Seed Round</t>
        </is>
      </c>
      <c r="BM266" s="203" t="inlineStr">
        <is>
          <t>Seed</t>
        </is>
      </c>
      <c r="BN266" s="204" t="inlineStr">
        <is>
          <t/>
        </is>
      </c>
      <c r="BO266" s="205" t="inlineStr">
        <is>
          <t>Venture Capital</t>
        </is>
      </c>
      <c r="BP266" s="206" t="inlineStr">
        <is>
          <t/>
        </is>
      </c>
      <c r="BQ266" s="207" t="inlineStr">
        <is>
          <t/>
        </is>
      </c>
      <c r="BR266" s="208" t="inlineStr">
        <is>
          <t/>
        </is>
      </c>
      <c r="BS266" s="209" t="inlineStr">
        <is>
          <t>Completed</t>
        </is>
      </c>
      <c r="BT266" s="210" t="n">
        <v>42849.0</v>
      </c>
      <c r="BU266" s="211" t="n">
        <v>6.0</v>
      </c>
      <c r="BV266" s="212" t="inlineStr">
        <is>
          <t>Actual</t>
        </is>
      </c>
      <c r="BW266" s="213" t="inlineStr">
        <is>
          <t/>
        </is>
      </c>
      <c r="BX266" s="214" t="inlineStr">
        <is>
          <t/>
        </is>
      </c>
      <c r="BY266" s="215" t="inlineStr">
        <is>
          <t>Early Stage VC</t>
        </is>
      </c>
      <c r="BZ266" s="216" t="inlineStr">
        <is>
          <t/>
        </is>
      </c>
      <c r="CA266" s="217" t="inlineStr">
        <is>
          <t/>
        </is>
      </c>
      <c r="CB266" s="218" t="inlineStr">
        <is>
          <t>Venture Capital</t>
        </is>
      </c>
      <c r="CC266" s="219" t="inlineStr">
        <is>
          <t/>
        </is>
      </c>
      <c r="CD266" s="220" t="inlineStr">
        <is>
          <t/>
        </is>
      </c>
      <c r="CE266" s="221" t="inlineStr">
        <is>
          <t/>
        </is>
      </c>
      <c r="CF266" s="222" t="inlineStr">
        <is>
          <t>Completed</t>
        </is>
      </c>
      <c r="CG266" s="223" t="inlineStr">
        <is>
          <t>1,33%</t>
        </is>
      </c>
      <c r="CH266" s="224" t="inlineStr">
        <is>
          <t>91</t>
        </is>
      </c>
      <c r="CI266" s="225" t="inlineStr">
        <is>
          <t>0,14%</t>
        </is>
      </c>
      <c r="CJ266" s="226" t="inlineStr">
        <is>
          <t>12,21%</t>
        </is>
      </c>
      <c r="CK266" s="227" t="inlineStr">
        <is>
          <t>1,16%</t>
        </is>
      </c>
      <c r="CL266" s="228" t="inlineStr">
        <is>
          <t>87</t>
        </is>
      </c>
      <c r="CM266" s="229" t="inlineStr">
        <is>
          <t>1,49%</t>
        </is>
      </c>
      <c r="CN266" s="230" t="inlineStr">
        <is>
          <t>98</t>
        </is>
      </c>
      <c r="CO266" s="231" t="inlineStr">
        <is>
          <t>2,32%</t>
        </is>
      </c>
      <c r="CP266" s="232" t="inlineStr">
        <is>
          <t>90</t>
        </is>
      </c>
      <c r="CQ266" s="233" t="inlineStr">
        <is>
          <t>0,00%</t>
        </is>
      </c>
      <c r="CR266" s="234" t="inlineStr">
        <is>
          <t>13</t>
        </is>
      </c>
      <c r="CS266" s="235" t="inlineStr">
        <is>
          <t>1,49%</t>
        </is>
      </c>
      <c r="CT266" s="236" t="inlineStr">
        <is>
          <t>97</t>
        </is>
      </c>
      <c r="CU266" s="237" t="inlineStr">
        <is>
          <t/>
        </is>
      </c>
      <c r="CV266" s="238" t="inlineStr">
        <is>
          <t/>
        </is>
      </c>
      <c r="CW266" s="239" t="inlineStr">
        <is>
          <t>4,33x</t>
        </is>
      </c>
      <c r="CX266" s="240" t="inlineStr">
        <is>
          <t>77</t>
        </is>
      </c>
      <c r="CY266" s="241" t="inlineStr">
        <is>
          <t>0,05x</t>
        </is>
      </c>
      <c r="CZ266" s="242" t="inlineStr">
        <is>
          <t>1,14%</t>
        </is>
      </c>
      <c r="DA266" s="243" t="inlineStr">
        <is>
          <t>6,31x</t>
        </is>
      </c>
      <c r="DB266" s="244" t="inlineStr">
        <is>
          <t>83</t>
        </is>
      </c>
      <c r="DC266" s="245" t="inlineStr">
        <is>
          <t>2,34x</t>
        </is>
      </c>
      <c r="DD266" s="246" t="inlineStr">
        <is>
          <t>64</t>
        </is>
      </c>
      <c r="DE266" s="247" t="inlineStr">
        <is>
          <t>10,27x</t>
        </is>
      </c>
      <c r="DF266" s="248" t="inlineStr">
        <is>
          <t>84</t>
        </is>
      </c>
      <c r="DG266" s="249" t="inlineStr">
        <is>
          <t>2,36x</t>
        </is>
      </c>
      <c r="DH266" s="250" t="inlineStr">
        <is>
          <t>67</t>
        </is>
      </c>
      <c r="DI266" s="251" t="inlineStr">
        <is>
          <t>2,34x</t>
        </is>
      </c>
      <c r="DJ266" s="252" t="inlineStr">
        <is>
          <t>64</t>
        </is>
      </c>
      <c r="DK266" s="253" t="inlineStr">
        <is>
          <t/>
        </is>
      </c>
      <c r="DL266" s="254" t="inlineStr">
        <is>
          <t/>
        </is>
      </c>
      <c r="DM266" s="255" t="inlineStr">
        <is>
          <t>6.197</t>
        </is>
      </c>
      <c r="DN266" s="256" t="inlineStr">
        <is>
          <t>350</t>
        </is>
      </c>
      <c r="DO266" s="257" t="inlineStr">
        <is>
          <t>5,99%</t>
        </is>
      </c>
      <c r="DP266" s="258" t="inlineStr">
        <is>
          <t>1.853</t>
        </is>
      </c>
      <c r="DQ266" s="259" t="inlineStr">
        <is>
          <t>45</t>
        </is>
      </c>
      <c r="DR266" s="260" t="inlineStr">
        <is>
          <t>2,49%</t>
        </is>
      </c>
      <c r="DS266" s="261" t="inlineStr">
        <is>
          <t>85</t>
        </is>
      </c>
      <c r="DT266" s="262" t="inlineStr">
        <is>
          <t>-2</t>
        </is>
      </c>
      <c r="DU266" s="263" t="inlineStr">
        <is>
          <t>-2,30%</t>
        </is>
      </c>
      <c r="DV266" s="264" t="inlineStr">
        <is>
          <t/>
        </is>
      </c>
      <c r="DW266" s="265" t="inlineStr">
        <is>
          <t/>
        </is>
      </c>
      <c r="DX266" s="266" t="inlineStr">
        <is>
          <t/>
        </is>
      </c>
      <c r="DY266" s="267" t="inlineStr">
        <is>
          <t>PitchBook Research</t>
        </is>
      </c>
      <c r="DZ266" s="786">
        <f>HYPERLINK("https://my.pitchbook.com?c=163033-39", "View company online")</f>
      </c>
    </row>
    <row r="267">
      <c r="A267" s="9" t="inlineStr">
        <is>
          <t>61099-84</t>
        </is>
      </c>
      <c r="B267" s="10" t="inlineStr">
        <is>
          <t>Lending Works</t>
        </is>
      </c>
      <c r="C267" s="11" t="inlineStr">
        <is>
          <t/>
        </is>
      </c>
      <c r="D267" s="12" t="inlineStr">
        <is>
          <t/>
        </is>
      </c>
      <c r="E267" s="13" t="inlineStr">
        <is>
          <t>61099-84</t>
        </is>
      </c>
      <c r="F267" s="14" t="inlineStr">
        <is>
          <t>Provider of a peer-to-peer lending platform. The company allows lenders to receive higher returns on investments in comparison to a traditional bank whilst borrowers secure funding more cheaply.</t>
        </is>
      </c>
      <c r="G267" s="15" t="inlineStr">
        <is>
          <t>Information Technology</t>
        </is>
      </c>
      <c r="H267" s="16" t="inlineStr">
        <is>
          <t>Software</t>
        </is>
      </c>
      <c r="I267" s="17" t="inlineStr">
        <is>
          <t>Financial Software</t>
        </is>
      </c>
      <c r="J267" s="18" t="inlineStr">
        <is>
          <t>Financial Software*; Social/Platform Software</t>
        </is>
      </c>
      <c r="K267" s="19" t="inlineStr">
        <is>
          <t>FinTech</t>
        </is>
      </c>
      <c r="L267" s="20" t="inlineStr">
        <is>
          <t>Venture Capital-Backed</t>
        </is>
      </c>
      <c r="M267" s="21" t="n">
        <v>7.58</v>
      </c>
      <c r="N267" s="22" t="inlineStr">
        <is>
          <t>Product Development</t>
        </is>
      </c>
      <c r="O267" s="23" t="inlineStr">
        <is>
          <t>Privately Held (backing)</t>
        </is>
      </c>
      <c r="P267" s="24" t="inlineStr">
        <is>
          <t>Venture Capital</t>
        </is>
      </c>
      <c r="Q267" s="25" t="inlineStr">
        <is>
          <t>www.lendingworks.co.uk</t>
        </is>
      </c>
      <c r="R267" s="26" t="n">
        <v>22.0</v>
      </c>
      <c r="S267" s="27" t="inlineStr">
        <is>
          <t/>
        </is>
      </c>
      <c r="T267" s="28" t="inlineStr">
        <is>
          <t/>
        </is>
      </c>
      <c r="U267" s="29" t="n">
        <v>2012.0</v>
      </c>
      <c r="V267" s="30" t="inlineStr">
        <is>
          <t/>
        </is>
      </c>
      <c r="W267" s="31" t="inlineStr">
        <is>
          <t/>
        </is>
      </c>
      <c r="X267" s="32" t="inlineStr">
        <is>
          <t/>
        </is>
      </c>
      <c r="Y267" s="33" t="inlineStr">
        <is>
          <t/>
        </is>
      </c>
      <c r="Z267" s="34" t="inlineStr">
        <is>
          <t/>
        </is>
      </c>
      <c r="AA267" s="35" t="inlineStr">
        <is>
          <t/>
        </is>
      </c>
      <c r="AB267" s="36" t="inlineStr">
        <is>
          <t/>
        </is>
      </c>
      <c r="AC267" s="37" t="inlineStr">
        <is>
          <t/>
        </is>
      </c>
      <c r="AD267" s="38" t="inlineStr">
        <is>
          <t/>
        </is>
      </c>
      <c r="AE267" s="39" t="inlineStr">
        <is>
          <t>95813-74P</t>
        </is>
      </c>
      <c r="AF267" s="40" t="inlineStr">
        <is>
          <t>Nicholas Harding</t>
        </is>
      </c>
      <c r="AG267" s="41" t="inlineStr">
        <is>
          <t>Co-Founder, Board Member, Chief Executive Officer &amp; Executive Director</t>
        </is>
      </c>
      <c r="AH267" s="42" t="inlineStr">
        <is>
          <t>nicholase.harding@lendingworks.co.uk</t>
        </is>
      </c>
      <c r="AI267" s="43" t="inlineStr">
        <is>
          <t>+44 (0)20 7096 8512</t>
        </is>
      </c>
      <c r="AJ267" s="44" t="inlineStr">
        <is>
          <t>London, United Kingdom</t>
        </is>
      </c>
      <c r="AK267" s="45" t="inlineStr">
        <is>
          <t>60 Gray's Inn Road</t>
        </is>
      </c>
      <c r="AL267" s="46" t="inlineStr">
        <is>
          <t/>
        </is>
      </c>
      <c r="AM267" s="47" t="inlineStr">
        <is>
          <t>London</t>
        </is>
      </c>
      <c r="AN267" s="48" t="inlineStr">
        <is>
          <t>England</t>
        </is>
      </c>
      <c r="AO267" s="49" t="inlineStr">
        <is>
          <t>WC1X 8AQ</t>
        </is>
      </c>
      <c r="AP267" s="50" t="inlineStr">
        <is>
          <t>United Kingdom</t>
        </is>
      </c>
      <c r="AQ267" s="51" t="inlineStr">
        <is>
          <t>+44 (0)20 7096 8512</t>
        </is>
      </c>
      <c r="AR267" s="52" t="inlineStr">
        <is>
          <t/>
        </is>
      </c>
      <c r="AS267" s="53" t="inlineStr">
        <is>
          <t>cs@lendingworks.co.uk</t>
        </is>
      </c>
      <c r="AT267" s="54" t="inlineStr">
        <is>
          <t>Europe</t>
        </is>
      </c>
      <c r="AU267" s="55" t="inlineStr">
        <is>
          <t>Western Europe</t>
        </is>
      </c>
      <c r="AV267" s="56" t="inlineStr">
        <is>
          <t>The company raised GBP 2.96 million of Series A venture funding from lead investor NVM Private Equity in early June 2016, putting the pre-money valuation at GBP 8.21 million. Other undisclosed investors also participated in the round. The company will use funds for business scalability, risk and business development.</t>
        </is>
      </c>
      <c r="AW267" s="57" t="inlineStr">
        <is>
          <t>Alex Rogers, David Kyte, Keith Saldanha, Max Ashton, NVM Private Equity</t>
        </is>
      </c>
      <c r="AX267" s="58" t="n">
        <v>5.0</v>
      </c>
      <c r="AY267" s="59" t="inlineStr">
        <is>
          <t/>
        </is>
      </c>
      <c r="AZ267" s="60" t="inlineStr">
        <is>
          <t/>
        </is>
      </c>
      <c r="BA267" s="61" t="inlineStr">
        <is>
          <t/>
        </is>
      </c>
      <c r="BB267" s="62" t="inlineStr">
        <is>
          <t>NVM Private Equity (www.nvm.co.uk)</t>
        </is>
      </c>
      <c r="BC267" s="63" t="inlineStr">
        <is>
          <t/>
        </is>
      </c>
      <c r="BD267" s="64" t="inlineStr">
        <is>
          <t/>
        </is>
      </c>
      <c r="BE267" s="65" t="inlineStr">
        <is>
          <t/>
        </is>
      </c>
      <c r="BF267" s="66" t="inlineStr">
        <is>
          <t/>
        </is>
      </c>
      <c r="BG267" s="67" t="n">
        <v>41640.0</v>
      </c>
      <c r="BH267" s="68" t="n">
        <v>4.23</v>
      </c>
      <c r="BI267" s="69" t="inlineStr">
        <is>
          <t>Actual</t>
        </is>
      </c>
      <c r="BJ267" s="70" t="inlineStr">
        <is>
          <t/>
        </is>
      </c>
      <c r="BK267" s="71" t="inlineStr">
        <is>
          <t/>
        </is>
      </c>
      <c r="BL267" s="72" t="inlineStr">
        <is>
          <t>Seed Round</t>
        </is>
      </c>
      <c r="BM267" s="73" t="inlineStr">
        <is>
          <t>Seed</t>
        </is>
      </c>
      <c r="BN267" s="74" t="inlineStr">
        <is>
          <t/>
        </is>
      </c>
      <c r="BO267" s="75" t="inlineStr">
        <is>
          <t>Venture Capital</t>
        </is>
      </c>
      <c r="BP267" s="76" t="inlineStr">
        <is>
          <t/>
        </is>
      </c>
      <c r="BQ267" s="77" t="inlineStr">
        <is>
          <t/>
        </is>
      </c>
      <c r="BR267" s="78" t="inlineStr">
        <is>
          <t/>
        </is>
      </c>
      <c r="BS267" s="79" t="inlineStr">
        <is>
          <t>Completed</t>
        </is>
      </c>
      <c r="BT267" s="80" t="n">
        <v>42943.0</v>
      </c>
      <c r="BU267" s="81" t="n">
        <v>3.35</v>
      </c>
      <c r="BV267" s="82" t="inlineStr">
        <is>
          <t>Actual</t>
        </is>
      </c>
      <c r="BW267" s="83" t="n">
        <v>12.62</v>
      </c>
      <c r="BX267" s="84" t="inlineStr">
        <is>
          <t>Actual</t>
        </is>
      </c>
      <c r="BY267" s="85" t="inlineStr">
        <is>
          <t>Early Stage VC</t>
        </is>
      </c>
      <c r="BZ267" s="86" t="inlineStr">
        <is>
          <t>Series A</t>
        </is>
      </c>
      <c r="CA267" s="87" t="inlineStr">
        <is>
          <t/>
        </is>
      </c>
      <c r="CB267" s="88" t="inlineStr">
        <is>
          <t>Venture Capital</t>
        </is>
      </c>
      <c r="CC267" s="89" t="inlineStr">
        <is>
          <t/>
        </is>
      </c>
      <c r="CD267" s="90" t="inlineStr">
        <is>
          <t/>
        </is>
      </c>
      <c r="CE267" s="91" t="inlineStr">
        <is>
          <t/>
        </is>
      </c>
      <c r="CF267" s="92" t="inlineStr">
        <is>
          <t>Completed</t>
        </is>
      </c>
      <c r="CG267" s="93" t="inlineStr">
        <is>
          <t>-0,42%</t>
        </is>
      </c>
      <c r="CH267" s="94" t="inlineStr">
        <is>
          <t>9</t>
        </is>
      </c>
      <c r="CI267" s="95" t="inlineStr">
        <is>
          <t>-0,06%</t>
        </is>
      </c>
      <c r="CJ267" s="96" t="inlineStr">
        <is>
          <t>-18,24%</t>
        </is>
      </c>
      <c r="CK267" s="97" t="inlineStr">
        <is>
          <t>-1,18%</t>
        </is>
      </c>
      <c r="CL267" s="98" t="inlineStr">
        <is>
          <t>8</t>
        </is>
      </c>
      <c r="CM267" s="99" t="inlineStr">
        <is>
          <t>0,35%</t>
        </is>
      </c>
      <c r="CN267" s="100" t="inlineStr">
        <is>
          <t>84</t>
        </is>
      </c>
      <c r="CO267" s="101" t="inlineStr">
        <is>
          <t>-2,17%</t>
        </is>
      </c>
      <c r="CP267" s="102" t="inlineStr">
        <is>
          <t>15</t>
        </is>
      </c>
      <c r="CQ267" s="103" t="inlineStr">
        <is>
          <t>-0,18%</t>
        </is>
      </c>
      <c r="CR267" s="104" t="inlineStr">
        <is>
          <t>11</t>
        </is>
      </c>
      <c r="CS267" s="105" t="inlineStr">
        <is>
          <t>0,42%</t>
        </is>
      </c>
      <c r="CT267" s="106" t="inlineStr">
        <is>
          <t>85</t>
        </is>
      </c>
      <c r="CU267" s="107" t="inlineStr">
        <is>
          <t>0,28%</t>
        </is>
      </c>
      <c r="CV267" s="108" t="inlineStr">
        <is>
          <t>83</t>
        </is>
      </c>
      <c r="CW267" s="109" t="inlineStr">
        <is>
          <t>10,18x</t>
        </is>
      </c>
      <c r="CX267" s="110" t="inlineStr">
        <is>
          <t>87</t>
        </is>
      </c>
      <c r="CY267" s="111" t="inlineStr">
        <is>
          <t>0,16x</t>
        </is>
      </c>
      <c r="CZ267" s="112" t="inlineStr">
        <is>
          <t>1,59%</t>
        </is>
      </c>
      <c r="DA267" s="113" t="inlineStr">
        <is>
          <t>17,24x</t>
        </is>
      </c>
      <c r="DB267" s="114" t="inlineStr">
        <is>
          <t>92</t>
        </is>
      </c>
      <c r="DC267" s="115" t="inlineStr">
        <is>
          <t>3,11x</t>
        </is>
      </c>
      <c r="DD267" s="116" t="inlineStr">
        <is>
          <t>69</t>
        </is>
      </c>
      <c r="DE267" s="117" t="inlineStr">
        <is>
          <t>17,72x</t>
        </is>
      </c>
      <c r="DF267" s="118" t="inlineStr">
        <is>
          <t>88</t>
        </is>
      </c>
      <c r="DG267" s="119" t="inlineStr">
        <is>
          <t>16,75x</t>
        </is>
      </c>
      <c r="DH267" s="120" t="inlineStr">
        <is>
          <t>91</t>
        </is>
      </c>
      <c r="DI267" s="121" t="inlineStr">
        <is>
          <t>0,49x</t>
        </is>
      </c>
      <c r="DJ267" s="122" t="inlineStr">
        <is>
          <t>38</t>
        </is>
      </c>
      <c r="DK267" s="123" t="inlineStr">
        <is>
          <t>5,73x</t>
        </is>
      </c>
      <c r="DL267" s="124" t="inlineStr">
        <is>
          <t>80</t>
        </is>
      </c>
      <c r="DM267" s="125" t="inlineStr">
        <is>
          <t>11.243</t>
        </is>
      </c>
      <c r="DN267" s="126" t="inlineStr">
        <is>
          <t>-1.035</t>
        </is>
      </c>
      <c r="DO267" s="127" t="inlineStr">
        <is>
          <t>-8,43%</t>
        </is>
      </c>
      <c r="DP267" s="128" t="inlineStr">
        <is>
          <t>395</t>
        </is>
      </c>
      <c r="DQ267" s="129" t="inlineStr">
        <is>
          <t>2</t>
        </is>
      </c>
      <c r="DR267" s="130" t="inlineStr">
        <is>
          <t>0,51%</t>
        </is>
      </c>
      <c r="DS267" s="131" t="inlineStr">
        <is>
          <t>602</t>
        </is>
      </c>
      <c r="DT267" s="132" t="inlineStr">
        <is>
          <t>1</t>
        </is>
      </c>
      <c r="DU267" s="133" t="inlineStr">
        <is>
          <t>0,17%</t>
        </is>
      </c>
      <c r="DV267" s="134" t="inlineStr">
        <is>
          <t>1.965</t>
        </is>
      </c>
      <c r="DW267" s="135" t="inlineStr">
        <is>
          <t>3</t>
        </is>
      </c>
      <c r="DX267" s="136" t="inlineStr">
        <is>
          <t>0,15%</t>
        </is>
      </c>
      <c r="DY267" s="137" t="inlineStr">
        <is>
          <t>PitchBook Research</t>
        </is>
      </c>
      <c r="DZ267" s="785">
        <f>HYPERLINK("https://my.pitchbook.com?c=61099-84", "View company online")</f>
      </c>
    </row>
    <row r="268">
      <c r="A268" s="139" t="inlineStr">
        <is>
          <t>60567-31</t>
        </is>
      </c>
      <c r="B268" s="140" t="inlineStr">
        <is>
          <t>LendInvest</t>
        </is>
      </c>
      <c r="C268" s="141" t="inlineStr">
        <is>
          <t/>
        </is>
      </c>
      <c r="D268" s="142" t="inlineStr">
        <is>
          <t/>
        </is>
      </c>
      <c r="E268" s="143" t="inlineStr">
        <is>
          <t>60567-31</t>
        </is>
      </c>
      <c r="F268" s="144" t="inlineStr">
        <is>
          <t>Provider of an online lending platform for property. The company matches investors looking for competitive returns with property entrepreneurs seeking finance to buy, build or refurbish properties around the UK.</t>
        </is>
      </c>
      <c r="G268" s="145" t="inlineStr">
        <is>
          <t>Information Technology</t>
        </is>
      </c>
      <c r="H268" s="146" t="inlineStr">
        <is>
          <t>Software</t>
        </is>
      </c>
      <c r="I268" s="147" t="inlineStr">
        <is>
          <t>Financial Software</t>
        </is>
      </c>
      <c r="J268" s="148" t="inlineStr">
        <is>
          <t>Financial Software*; Social/Platform Software</t>
        </is>
      </c>
      <c r="K268" s="149" t="inlineStr">
        <is>
          <t>FinTech</t>
        </is>
      </c>
      <c r="L268" s="150" t="inlineStr">
        <is>
          <t>Venture Capital-Backed</t>
        </is>
      </c>
      <c r="M268" s="151" t="n">
        <v>119.54</v>
      </c>
      <c r="N268" s="152" t="inlineStr">
        <is>
          <t>Profitable</t>
        </is>
      </c>
      <c r="O268" s="153" t="inlineStr">
        <is>
          <t>Privately Held (backing)</t>
        </is>
      </c>
      <c r="P268" s="154" t="inlineStr">
        <is>
          <t>Venture Capital, M&amp;A</t>
        </is>
      </c>
      <c r="Q268" s="155" t="inlineStr">
        <is>
          <t>www.lendinvest.com</t>
        </is>
      </c>
      <c r="R268" s="156" t="n">
        <v>90.0</v>
      </c>
      <c r="S268" s="157" t="inlineStr">
        <is>
          <t/>
        </is>
      </c>
      <c r="T268" s="158" t="inlineStr">
        <is>
          <t/>
        </is>
      </c>
      <c r="U268" s="159" t="n">
        <v>2012.0</v>
      </c>
      <c r="V268" s="160" t="inlineStr">
        <is>
          <t/>
        </is>
      </c>
      <c r="W268" s="161" t="inlineStr">
        <is>
          <t/>
        </is>
      </c>
      <c r="X268" s="162" t="inlineStr">
        <is>
          <t/>
        </is>
      </c>
      <c r="Y268" s="163" t="n">
        <v>26.33658</v>
      </c>
      <c r="Z268" s="164" t="inlineStr">
        <is>
          <t/>
        </is>
      </c>
      <c r="AA268" s="165" t="inlineStr">
        <is>
          <t/>
        </is>
      </c>
      <c r="AB268" s="166" t="inlineStr">
        <is>
          <t/>
        </is>
      </c>
      <c r="AC268" s="167" t="inlineStr">
        <is>
          <t/>
        </is>
      </c>
      <c r="AD268" s="168" t="inlineStr">
        <is>
          <t>FY 2017</t>
        </is>
      </c>
      <c r="AE268" s="169" t="inlineStr">
        <is>
          <t>93360-52P</t>
        </is>
      </c>
      <c r="AF268" s="170" t="inlineStr">
        <is>
          <t>Christian Faes</t>
        </is>
      </c>
      <c r="AG268" s="171" t="inlineStr">
        <is>
          <t>Co-Founder, Chief Executive Officer &amp; Board Member</t>
        </is>
      </c>
      <c r="AH268" s="172" t="inlineStr">
        <is>
          <t/>
        </is>
      </c>
      <c r="AI268" s="173" t="inlineStr">
        <is>
          <t>+44 (0)80 0130 3388</t>
        </is>
      </c>
      <c r="AJ268" s="174" t="inlineStr">
        <is>
          <t>London, United Kingdom</t>
        </is>
      </c>
      <c r="AK268" s="175" t="inlineStr">
        <is>
          <t>Two Fitzroy Place</t>
        </is>
      </c>
      <c r="AL268" s="176" t="inlineStr">
        <is>
          <t>8 Mortimer Street</t>
        </is>
      </c>
      <c r="AM268" s="177" t="inlineStr">
        <is>
          <t>London</t>
        </is>
      </c>
      <c r="AN268" s="178" t="inlineStr">
        <is>
          <t>England</t>
        </is>
      </c>
      <c r="AO268" s="179" t="inlineStr">
        <is>
          <t>W1T 3JJ</t>
        </is>
      </c>
      <c r="AP268" s="180" t="inlineStr">
        <is>
          <t>United Kingdom</t>
        </is>
      </c>
      <c r="AQ268" s="181" t="inlineStr">
        <is>
          <t>+44 (0)80 0130 3388</t>
        </is>
      </c>
      <c r="AR268" s="182" t="inlineStr">
        <is>
          <t/>
        </is>
      </c>
      <c r="AS268" s="183" t="inlineStr">
        <is>
          <t>contact@lendinvest.com</t>
        </is>
      </c>
      <c r="AT268" s="184" t="inlineStr">
        <is>
          <t>Europe</t>
        </is>
      </c>
      <c r="AU268" s="185" t="inlineStr">
        <is>
          <t>Western Europe</t>
        </is>
      </c>
      <c r="AV268" s="186" t="inlineStr">
        <is>
          <t>The company received $25 million of Series B venture funding from lead investor Atomico on March 14, 2016. The company will use the new funding to accelerate its investment in technology and extend its lead in the property finance market.</t>
        </is>
      </c>
      <c r="AW268" s="187" t="inlineStr">
        <is>
          <t>Atomico, Beijing Kunlun Technology Company</t>
        </is>
      </c>
      <c r="AX268" s="188" t="n">
        <v>2.0</v>
      </c>
      <c r="AY268" s="189" t="inlineStr">
        <is>
          <t/>
        </is>
      </c>
      <c r="AZ268" s="190" t="inlineStr">
        <is>
          <t/>
        </is>
      </c>
      <c r="BA268" s="191" t="inlineStr">
        <is>
          <t/>
        </is>
      </c>
      <c r="BB268" s="192" t="inlineStr">
        <is>
          <t>Atomico (www.atomico.com), Beijing Kunlun Technology Company (www.kunlun.com)</t>
        </is>
      </c>
      <c r="BC268" s="193" t="inlineStr">
        <is>
          <t/>
        </is>
      </c>
      <c r="BD268" s="194" t="inlineStr">
        <is>
          <t/>
        </is>
      </c>
      <c r="BE268" s="195" t="inlineStr">
        <is>
          <t>Barclays (General Business Banking)</t>
        </is>
      </c>
      <c r="BF268" s="196" t="inlineStr">
        <is>
          <t>GP Bullhound (Advisor), Osborne Clarke (Legal Advisor)</t>
        </is>
      </c>
      <c r="BG268" s="197" t="n">
        <v>41607.0</v>
      </c>
      <c r="BH268" s="198" t="n">
        <v>10.13</v>
      </c>
      <c r="BI268" s="199" t="inlineStr">
        <is>
          <t>Actual</t>
        </is>
      </c>
      <c r="BJ268" s="200" t="inlineStr">
        <is>
          <t/>
        </is>
      </c>
      <c r="BK268" s="201" t="inlineStr">
        <is>
          <t/>
        </is>
      </c>
      <c r="BL268" s="202" t="inlineStr">
        <is>
          <t>Debt - General</t>
        </is>
      </c>
      <c r="BM268" s="203" t="inlineStr">
        <is>
          <t/>
        </is>
      </c>
      <c r="BN268" s="204" t="inlineStr">
        <is>
          <t/>
        </is>
      </c>
      <c r="BO268" s="205" t="inlineStr">
        <is>
          <t>Debt</t>
        </is>
      </c>
      <c r="BP268" s="206" t="inlineStr">
        <is>
          <t>Loan</t>
        </is>
      </c>
      <c r="BQ268" s="207" t="inlineStr">
        <is>
          <t/>
        </is>
      </c>
      <c r="BR268" s="208" t="inlineStr">
        <is>
          <t/>
        </is>
      </c>
      <c r="BS268" s="209" t="inlineStr">
        <is>
          <t>Completed</t>
        </is>
      </c>
      <c r="BT268" s="210" t="n">
        <v>42443.0</v>
      </c>
      <c r="BU268" s="211" t="n">
        <v>22.5</v>
      </c>
      <c r="BV268" s="212" t="inlineStr">
        <is>
          <t>Actual</t>
        </is>
      </c>
      <c r="BW268" s="213" t="inlineStr">
        <is>
          <t/>
        </is>
      </c>
      <c r="BX268" s="214" t="inlineStr">
        <is>
          <t/>
        </is>
      </c>
      <c r="BY268" s="215" t="inlineStr">
        <is>
          <t>Early Stage VC</t>
        </is>
      </c>
      <c r="BZ268" s="216" t="inlineStr">
        <is>
          <t>Series B</t>
        </is>
      </c>
      <c r="CA268" s="217" t="inlineStr">
        <is>
          <t/>
        </is>
      </c>
      <c r="CB268" s="218" t="inlineStr">
        <is>
          <t>Venture Capital</t>
        </is>
      </c>
      <c r="CC268" s="219" t="inlineStr">
        <is>
          <t/>
        </is>
      </c>
      <c r="CD268" s="220" t="inlineStr">
        <is>
          <t/>
        </is>
      </c>
      <c r="CE268" s="221" t="inlineStr">
        <is>
          <t/>
        </is>
      </c>
      <c r="CF268" s="222" t="inlineStr">
        <is>
          <t>Completed</t>
        </is>
      </c>
      <c r="CG268" s="223" t="inlineStr">
        <is>
          <t>1,29%</t>
        </is>
      </c>
      <c r="CH268" s="224" t="inlineStr">
        <is>
          <t>90</t>
        </is>
      </c>
      <c r="CI268" s="225" t="inlineStr">
        <is>
          <t>0,02%</t>
        </is>
      </c>
      <c r="CJ268" s="226" t="inlineStr">
        <is>
          <t>1,91%</t>
        </is>
      </c>
      <c r="CK268" s="227" t="inlineStr">
        <is>
          <t>2,49%</t>
        </is>
      </c>
      <c r="CL268" s="228" t="inlineStr">
        <is>
          <t>92</t>
        </is>
      </c>
      <c r="CM268" s="229" t="inlineStr">
        <is>
          <t>0,09%</t>
        </is>
      </c>
      <c r="CN268" s="230" t="inlineStr">
        <is>
          <t>59</t>
        </is>
      </c>
      <c r="CO268" s="231" t="inlineStr">
        <is>
          <t>4,75%</t>
        </is>
      </c>
      <c r="CP268" s="232" t="inlineStr">
        <is>
          <t>96</t>
        </is>
      </c>
      <c r="CQ268" s="233" t="inlineStr">
        <is>
          <t>0,22%</t>
        </is>
      </c>
      <c r="CR268" s="234" t="inlineStr">
        <is>
          <t>84</t>
        </is>
      </c>
      <c r="CS268" s="235" t="inlineStr">
        <is>
          <t>0,03%</t>
        </is>
      </c>
      <c r="CT268" s="236" t="inlineStr">
        <is>
          <t>45</t>
        </is>
      </c>
      <c r="CU268" s="237" t="inlineStr">
        <is>
          <t>0,16%</t>
        </is>
      </c>
      <c r="CV268" s="238" t="inlineStr">
        <is>
          <t>74</t>
        </is>
      </c>
      <c r="CW268" s="239" t="inlineStr">
        <is>
          <t>18,78x</t>
        </is>
      </c>
      <c r="CX268" s="240" t="inlineStr">
        <is>
          <t>91</t>
        </is>
      </c>
      <c r="CY268" s="241" t="inlineStr">
        <is>
          <t>0,36x</t>
        </is>
      </c>
      <c r="CZ268" s="242" t="inlineStr">
        <is>
          <t>1,98%</t>
        </is>
      </c>
      <c r="DA268" s="243" t="inlineStr">
        <is>
          <t>20,57x</t>
        </is>
      </c>
      <c r="DB268" s="244" t="inlineStr">
        <is>
          <t>93</t>
        </is>
      </c>
      <c r="DC268" s="245" t="inlineStr">
        <is>
          <t>16,99x</t>
        </is>
      </c>
      <c r="DD268" s="246" t="inlineStr">
        <is>
          <t>89</t>
        </is>
      </c>
      <c r="DE268" s="247" t="inlineStr">
        <is>
          <t>21,93x</t>
        </is>
      </c>
      <c r="DF268" s="248" t="inlineStr">
        <is>
          <t>89</t>
        </is>
      </c>
      <c r="DG268" s="249" t="inlineStr">
        <is>
          <t>19,22x</t>
        </is>
      </c>
      <c r="DH268" s="250" t="inlineStr">
        <is>
          <t>92</t>
        </is>
      </c>
      <c r="DI268" s="251" t="inlineStr">
        <is>
          <t>5,95x</t>
        </is>
      </c>
      <c r="DJ268" s="252" t="inlineStr">
        <is>
          <t>77</t>
        </is>
      </c>
      <c r="DK268" s="253" t="inlineStr">
        <is>
          <t>28,03x</t>
        </is>
      </c>
      <c r="DL268" s="254" t="inlineStr">
        <is>
          <t>94</t>
        </is>
      </c>
      <c r="DM268" s="255" t="inlineStr">
        <is>
          <t>13.379</t>
        </is>
      </c>
      <c r="DN268" s="256" t="inlineStr">
        <is>
          <t>948</t>
        </is>
      </c>
      <c r="DO268" s="257" t="inlineStr">
        <is>
          <t>7,63%</t>
        </is>
      </c>
      <c r="DP268" s="258" t="inlineStr">
        <is>
          <t>4.750</t>
        </is>
      </c>
      <c r="DQ268" s="259" t="inlineStr">
        <is>
          <t>0</t>
        </is>
      </c>
      <c r="DR268" s="260" t="inlineStr">
        <is>
          <t>0,00%</t>
        </is>
      </c>
      <c r="DS268" s="261" t="inlineStr">
        <is>
          <t>688</t>
        </is>
      </c>
      <c r="DT268" s="262" t="inlineStr">
        <is>
          <t>7</t>
        </is>
      </c>
      <c r="DU268" s="263" t="inlineStr">
        <is>
          <t>1,03%</t>
        </is>
      </c>
      <c r="DV268" s="264" t="inlineStr">
        <is>
          <t>9.604</t>
        </is>
      </c>
      <c r="DW268" s="265" t="inlineStr">
        <is>
          <t>9</t>
        </is>
      </c>
      <c r="DX268" s="266" t="inlineStr">
        <is>
          <t>0,09%</t>
        </is>
      </c>
      <c r="DY268" s="267" t="inlineStr">
        <is>
          <t>PitchBook Research</t>
        </is>
      </c>
      <c r="DZ268" s="786">
        <f>HYPERLINK("https://my.pitchbook.com?c=60567-31", "View company online")</f>
      </c>
    </row>
    <row r="269">
      <c r="A269" s="9" t="inlineStr">
        <is>
          <t>99197-11</t>
        </is>
      </c>
      <c r="B269" s="10" t="inlineStr">
        <is>
          <t>Lendix</t>
        </is>
      </c>
      <c r="C269" s="11" t="inlineStr">
        <is>
          <t/>
        </is>
      </c>
      <c r="D269" s="12" t="inlineStr">
        <is>
          <t/>
        </is>
      </c>
      <c r="E269" s="13" t="inlineStr">
        <is>
          <t>99197-11</t>
        </is>
      </c>
      <c r="F269" s="14" t="inlineStr">
        <is>
          <t>Provider of an online crowd-lending platform. The company provides a platform enabling French SMEs (small to medium enterprises) to borrow directly from lenders both private and institutional.</t>
        </is>
      </c>
      <c r="G269" s="15" t="inlineStr">
        <is>
          <t>Information Technology</t>
        </is>
      </c>
      <c r="H269" s="16" t="inlineStr">
        <is>
          <t>Software</t>
        </is>
      </c>
      <c r="I269" s="17" t="inlineStr">
        <is>
          <t>Social/Platform Software</t>
        </is>
      </c>
      <c r="J269" s="18" t="inlineStr">
        <is>
          <t>Social/Platform Software*; Specialized Finance; Vertical Market Software; Financial Software</t>
        </is>
      </c>
      <c r="K269" s="19" t="inlineStr">
        <is>
          <t>FinTech</t>
        </is>
      </c>
      <c r="L269" s="20" t="inlineStr">
        <is>
          <t>Venture Capital-Backed</t>
        </is>
      </c>
      <c r="M269" s="21" t="n">
        <v>22.11</v>
      </c>
      <c r="N269" s="22" t="inlineStr">
        <is>
          <t>Startup</t>
        </is>
      </c>
      <c r="O269" s="23" t="inlineStr">
        <is>
          <t>Privately Held (backing)</t>
        </is>
      </c>
      <c r="P269" s="24" t="inlineStr">
        <is>
          <t>Venture Capital</t>
        </is>
      </c>
      <c r="Q269" s="25" t="inlineStr">
        <is>
          <t>www.lendix.com</t>
        </is>
      </c>
      <c r="R269" s="26" t="n">
        <v>31.0</v>
      </c>
      <c r="S269" s="27" t="inlineStr">
        <is>
          <t/>
        </is>
      </c>
      <c r="T269" s="28" t="inlineStr">
        <is>
          <t/>
        </is>
      </c>
      <c r="U269" s="29" t="n">
        <v>2014.0</v>
      </c>
      <c r="V269" s="30" t="inlineStr">
        <is>
          <t/>
        </is>
      </c>
      <c r="W269" s="31" t="inlineStr">
        <is>
          <t/>
        </is>
      </c>
      <c r="X269" s="32" t="inlineStr">
        <is>
          <t/>
        </is>
      </c>
      <c r="Y269" s="33" t="inlineStr">
        <is>
          <t/>
        </is>
      </c>
      <c r="Z269" s="34" t="inlineStr">
        <is>
          <t/>
        </is>
      </c>
      <c r="AA269" s="35" t="inlineStr">
        <is>
          <t/>
        </is>
      </c>
      <c r="AB269" s="36" t="inlineStr">
        <is>
          <t/>
        </is>
      </c>
      <c r="AC269" s="37" t="inlineStr">
        <is>
          <t/>
        </is>
      </c>
      <c r="AD269" s="38" t="inlineStr">
        <is>
          <t/>
        </is>
      </c>
      <c r="AE269" s="39" t="inlineStr">
        <is>
          <t>14433-31P</t>
        </is>
      </c>
      <c r="AF269" s="40" t="inlineStr">
        <is>
          <t>Olivier Goy</t>
        </is>
      </c>
      <c r="AG269" s="41" t="inlineStr">
        <is>
          <t>Founder, Chief Executive Officer &amp; Chairman</t>
        </is>
      </c>
      <c r="AH269" s="42" t="inlineStr">
        <is>
          <t>goy@lendix.com</t>
        </is>
      </c>
      <c r="AI269" s="43" t="inlineStr">
        <is>
          <t>+33 (0)1 82 83 28 00</t>
        </is>
      </c>
      <c r="AJ269" s="44" t="inlineStr">
        <is>
          <t>Paris, France</t>
        </is>
      </c>
      <c r="AK269" s="45" t="inlineStr">
        <is>
          <t>94 rue de la Victoire</t>
        </is>
      </c>
      <c r="AL269" s="46" t="inlineStr">
        <is>
          <t/>
        </is>
      </c>
      <c r="AM269" s="47" t="inlineStr">
        <is>
          <t>Paris</t>
        </is>
      </c>
      <c r="AN269" s="48" t="inlineStr">
        <is>
          <t/>
        </is>
      </c>
      <c r="AO269" s="49" t="inlineStr">
        <is>
          <t>75009</t>
        </is>
      </c>
      <c r="AP269" s="50" t="inlineStr">
        <is>
          <t>France</t>
        </is>
      </c>
      <c r="AQ269" s="51" t="inlineStr">
        <is>
          <t>+33 (0)1 82 83 28 00</t>
        </is>
      </c>
      <c r="AR269" s="52" t="inlineStr">
        <is>
          <t/>
        </is>
      </c>
      <c r="AS269" s="53" t="inlineStr">
        <is>
          <t>contact@lendix.com</t>
        </is>
      </c>
      <c r="AT269" s="54" t="inlineStr">
        <is>
          <t>Europe</t>
        </is>
      </c>
      <c r="AU269" s="55" t="inlineStr">
        <is>
          <t>Western Europe</t>
        </is>
      </c>
      <c r="AV269" s="56" t="inlineStr">
        <is>
          <t>The company raised $13.5 million of Series B venture funding from lead investor CNP Assurances on April 26, 2016. Matmut, Zencap, Partech Ventures, Decaux Fre`res Investissements, Sycomore Factory and Weber Investissement also participated. Partech Ventures has invested $3.5 million out of the total funding. The capital raise is accompanied by commitments in excess of $22 million to lend on the platform via company's new fund, Lendix SME Loan Fund II.</t>
        </is>
      </c>
      <c r="AW269" s="57" t="inlineStr">
        <is>
          <t>CNP Assurances, Decaux Brothers Investments, Jean-Philippe Cartier, Marc Menasé, Matmut, Partech Ventures, Sycomore Asset Management, Weber Investissements, Wormser Frères Banque, Zencap Asset Management</t>
        </is>
      </c>
      <c r="AX269" s="58" t="n">
        <v>10.0</v>
      </c>
      <c r="AY269" s="59" t="inlineStr">
        <is>
          <t/>
        </is>
      </c>
      <c r="AZ269" s="60" t="inlineStr">
        <is>
          <t/>
        </is>
      </c>
      <c r="BA269" s="61" t="inlineStr">
        <is>
          <t/>
        </is>
      </c>
      <c r="BB269" s="62" t="inlineStr">
        <is>
          <t>CNP Assurances (www.cnp.fr), Matmut (www.matmut.fr), Partech Ventures (www.partechventures.com), Sycomore Asset Management (www.sycomore-am.com), Zencap Asset Management (www.zencap-am.fr)</t>
        </is>
      </c>
      <c r="BC269" s="63" t="inlineStr">
        <is>
          <t/>
        </is>
      </c>
      <c r="BD269" s="64" t="inlineStr">
        <is>
          <t/>
        </is>
      </c>
      <c r="BE269" s="65" t="inlineStr">
        <is>
          <t/>
        </is>
      </c>
      <c r="BF269" s="66" t="inlineStr">
        <is>
          <t/>
        </is>
      </c>
      <c r="BG269" s="67" t="n">
        <v>41947.0</v>
      </c>
      <c r="BH269" s="68" t="n">
        <v>7.0</v>
      </c>
      <c r="BI269" s="69" t="inlineStr">
        <is>
          <t>Actual</t>
        </is>
      </c>
      <c r="BJ269" s="70" t="inlineStr">
        <is>
          <t/>
        </is>
      </c>
      <c r="BK269" s="71" t="inlineStr">
        <is>
          <t/>
        </is>
      </c>
      <c r="BL269" s="72" t="inlineStr">
        <is>
          <t>Early Stage VC</t>
        </is>
      </c>
      <c r="BM269" s="73" t="inlineStr">
        <is>
          <t/>
        </is>
      </c>
      <c r="BN269" s="74" t="inlineStr">
        <is>
          <t/>
        </is>
      </c>
      <c r="BO269" s="75" t="inlineStr">
        <is>
          <t>Venture Capital</t>
        </is>
      </c>
      <c r="BP269" s="76" t="inlineStr">
        <is>
          <t/>
        </is>
      </c>
      <c r="BQ269" s="77" t="inlineStr">
        <is>
          <t/>
        </is>
      </c>
      <c r="BR269" s="78" t="inlineStr">
        <is>
          <t/>
        </is>
      </c>
      <c r="BS269" s="79" t="inlineStr">
        <is>
          <t>Completed</t>
        </is>
      </c>
      <c r="BT269" s="80" t="n">
        <v>42486.0</v>
      </c>
      <c r="BU269" s="81" t="n">
        <v>11.91</v>
      </c>
      <c r="BV269" s="82" t="inlineStr">
        <is>
          <t>Actual</t>
        </is>
      </c>
      <c r="BW269" s="83" t="inlineStr">
        <is>
          <t/>
        </is>
      </c>
      <c r="BX269" s="84" t="inlineStr">
        <is>
          <t/>
        </is>
      </c>
      <c r="BY269" s="85" t="inlineStr">
        <is>
          <t>Early Stage VC</t>
        </is>
      </c>
      <c r="BZ269" s="86" t="inlineStr">
        <is>
          <t>Series B</t>
        </is>
      </c>
      <c r="CA269" s="87" t="inlineStr">
        <is>
          <t/>
        </is>
      </c>
      <c r="CB269" s="88" t="inlineStr">
        <is>
          <t>Venture Capital</t>
        </is>
      </c>
      <c r="CC269" s="89" t="inlineStr">
        <is>
          <t/>
        </is>
      </c>
      <c r="CD269" s="90" t="inlineStr">
        <is>
          <t/>
        </is>
      </c>
      <c r="CE269" s="91" t="inlineStr">
        <is>
          <t/>
        </is>
      </c>
      <c r="CF269" s="92" t="inlineStr">
        <is>
          <t>Completed</t>
        </is>
      </c>
      <c r="CG269" s="93" t="inlineStr">
        <is>
          <t>-0,60%</t>
        </is>
      </c>
      <c r="CH269" s="94" t="inlineStr">
        <is>
          <t>8</t>
        </is>
      </c>
      <c r="CI269" s="95" t="inlineStr">
        <is>
          <t>-0,01%</t>
        </is>
      </c>
      <c r="CJ269" s="96" t="inlineStr">
        <is>
          <t>-2,49%</t>
        </is>
      </c>
      <c r="CK269" s="97" t="inlineStr">
        <is>
          <t>-1,50%</t>
        </is>
      </c>
      <c r="CL269" s="98" t="inlineStr">
        <is>
          <t>7</t>
        </is>
      </c>
      <c r="CM269" s="99" t="inlineStr">
        <is>
          <t>0,30%</t>
        </is>
      </c>
      <c r="CN269" s="100" t="inlineStr">
        <is>
          <t>81</t>
        </is>
      </c>
      <c r="CO269" s="101" t="inlineStr">
        <is>
          <t>-2,99%</t>
        </is>
      </c>
      <c r="CP269" s="102" t="inlineStr">
        <is>
          <t>12</t>
        </is>
      </c>
      <c r="CQ269" s="103" t="inlineStr">
        <is>
          <t>0,00%</t>
        </is>
      </c>
      <c r="CR269" s="104" t="inlineStr">
        <is>
          <t>13</t>
        </is>
      </c>
      <c r="CS269" s="105" t="inlineStr">
        <is>
          <t>0,18%</t>
        </is>
      </c>
      <c r="CT269" s="106" t="inlineStr">
        <is>
          <t>68</t>
        </is>
      </c>
      <c r="CU269" s="107" t="inlineStr">
        <is>
          <t>0,42%</t>
        </is>
      </c>
      <c r="CV269" s="108" t="inlineStr">
        <is>
          <t>89</t>
        </is>
      </c>
      <c r="CW269" s="109" t="inlineStr">
        <is>
          <t>11,12x</t>
        </is>
      </c>
      <c r="CX269" s="110" t="inlineStr">
        <is>
          <t>88</t>
        </is>
      </c>
      <c r="CY269" s="111" t="inlineStr">
        <is>
          <t>0,11x</t>
        </is>
      </c>
      <c r="CZ269" s="112" t="inlineStr">
        <is>
          <t>1,04%</t>
        </is>
      </c>
      <c r="DA269" s="113" t="inlineStr">
        <is>
          <t>12,07x</t>
        </is>
      </c>
      <c r="DB269" s="114" t="inlineStr">
        <is>
          <t>89</t>
        </is>
      </c>
      <c r="DC269" s="115" t="inlineStr">
        <is>
          <t>10,17x</t>
        </is>
      </c>
      <c r="DD269" s="116" t="inlineStr">
        <is>
          <t>84</t>
        </is>
      </c>
      <c r="DE269" s="117" t="inlineStr">
        <is>
          <t>22,40x</t>
        </is>
      </c>
      <c r="DF269" s="118" t="inlineStr">
        <is>
          <t>89</t>
        </is>
      </c>
      <c r="DG269" s="119" t="inlineStr">
        <is>
          <t>1,75x</t>
        </is>
      </c>
      <c r="DH269" s="120" t="inlineStr">
        <is>
          <t>62</t>
        </is>
      </c>
      <c r="DI269" s="121" t="inlineStr">
        <is>
          <t>7,12x</t>
        </is>
      </c>
      <c r="DJ269" s="122" t="inlineStr">
        <is>
          <t>79</t>
        </is>
      </c>
      <c r="DK269" s="123" t="inlineStr">
        <is>
          <t>13,21x</t>
        </is>
      </c>
      <c r="DL269" s="124" t="inlineStr">
        <is>
          <t>89</t>
        </is>
      </c>
      <c r="DM269" s="125" t="inlineStr">
        <is>
          <t>13.973</t>
        </is>
      </c>
      <c r="DN269" s="126" t="inlineStr">
        <is>
          <t>-593</t>
        </is>
      </c>
      <c r="DO269" s="127" t="inlineStr">
        <is>
          <t>-4,07%</t>
        </is>
      </c>
      <c r="DP269" s="128" t="inlineStr">
        <is>
          <t>5.686</t>
        </is>
      </c>
      <c r="DQ269" s="129" t="inlineStr">
        <is>
          <t>9</t>
        </is>
      </c>
      <c r="DR269" s="130" t="inlineStr">
        <is>
          <t>0,16%</t>
        </is>
      </c>
      <c r="DS269" s="131" t="inlineStr">
        <is>
          <t>63</t>
        </is>
      </c>
      <c r="DT269" s="132" t="inlineStr">
        <is>
          <t>-2</t>
        </is>
      </c>
      <c r="DU269" s="133" t="inlineStr">
        <is>
          <t>-3,08%</t>
        </is>
      </c>
      <c r="DV269" s="134" t="inlineStr">
        <is>
          <t>4.525</t>
        </is>
      </c>
      <c r="DW269" s="135" t="inlineStr">
        <is>
          <t>14</t>
        </is>
      </c>
      <c r="DX269" s="136" t="inlineStr">
        <is>
          <t>0,31%</t>
        </is>
      </c>
      <c r="DY269" s="137" t="inlineStr">
        <is>
          <t>PitchBook Research</t>
        </is>
      </c>
      <c r="DZ269" s="785">
        <f>HYPERLINK("https://my.pitchbook.com?c=99197-11", "View company online")</f>
      </c>
    </row>
    <row r="270">
      <c r="A270" s="139" t="inlineStr">
        <is>
          <t>61950-61</t>
        </is>
      </c>
      <c r="B270" s="140" t="inlineStr">
        <is>
          <t>Lesara</t>
        </is>
      </c>
      <c r="C270" s="141" t="inlineStr">
        <is>
          <t/>
        </is>
      </c>
      <c r="D270" s="142" t="inlineStr">
        <is>
          <t/>
        </is>
      </c>
      <c r="E270" s="143" t="inlineStr">
        <is>
          <t>61950-61</t>
        </is>
      </c>
      <c r="F270" s="144" t="inlineStr">
        <is>
          <t>Operator of an online fashion portal designed to offer popular fashion and lifestyle products at competitive prices and with phenomenal discounts. The company's online fashion portal offers clothing, jewelry, electronics, home goods and other consumer items at discounted price with faster delivery options, enabling customers to avail safe and secure online shopping.</t>
        </is>
      </c>
      <c r="G270" s="145" t="inlineStr">
        <is>
          <t>Business Products and Services (B2B)</t>
        </is>
      </c>
      <c r="H270" s="146" t="inlineStr">
        <is>
          <t>Commercial Services</t>
        </is>
      </c>
      <c r="I270" s="147" t="inlineStr">
        <is>
          <t>Media and Information Services (B2B)</t>
        </is>
      </c>
      <c r="J270" s="148" t="inlineStr">
        <is>
          <t>Media and Information Services (B2B)*; Accessories; Clothing; Internet Retail</t>
        </is>
      </c>
      <c r="K270" s="149" t="inlineStr">
        <is>
          <t>E-Commerce</t>
        </is>
      </c>
      <c r="L270" s="150" t="inlineStr">
        <is>
          <t>Venture Capital-Backed</t>
        </is>
      </c>
      <c r="M270" s="151" t="n">
        <v>20.53</v>
      </c>
      <c r="N270" s="152" t="inlineStr">
        <is>
          <t>Generating Revenue</t>
        </is>
      </c>
      <c r="O270" s="153" t="inlineStr">
        <is>
          <t>Privately Held (backing)</t>
        </is>
      </c>
      <c r="P270" s="154" t="inlineStr">
        <is>
          <t>Venture Capital</t>
        </is>
      </c>
      <c r="Q270" s="155" t="inlineStr">
        <is>
          <t>www.lesara.de</t>
        </is>
      </c>
      <c r="R270" s="156" t="n">
        <v>150.0</v>
      </c>
      <c r="S270" s="157" t="inlineStr">
        <is>
          <t/>
        </is>
      </c>
      <c r="T270" s="158" t="inlineStr">
        <is>
          <t/>
        </is>
      </c>
      <c r="U270" s="159" t="n">
        <v>2013.0</v>
      </c>
      <c r="V270" s="160" t="inlineStr">
        <is>
          <t/>
        </is>
      </c>
      <c r="W270" s="161" t="inlineStr">
        <is>
          <t/>
        </is>
      </c>
      <c r="X270" s="162" t="inlineStr">
        <is>
          <t/>
        </is>
      </c>
      <c r="Y270" s="163" t="inlineStr">
        <is>
          <t/>
        </is>
      </c>
      <c r="Z270" s="164" t="inlineStr">
        <is>
          <t/>
        </is>
      </c>
      <c r="AA270" s="165" t="inlineStr">
        <is>
          <t/>
        </is>
      </c>
      <c r="AB270" s="166" t="inlineStr">
        <is>
          <t/>
        </is>
      </c>
      <c r="AC270" s="167" t="inlineStr">
        <is>
          <t/>
        </is>
      </c>
      <c r="AD270" s="168" t="inlineStr">
        <is>
          <t/>
        </is>
      </c>
      <c r="AE270" s="169" t="inlineStr">
        <is>
          <t>40250-98P</t>
        </is>
      </c>
      <c r="AF270" s="170" t="inlineStr">
        <is>
          <t>Roman Kirsch</t>
        </is>
      </c>
      <c r="AG270" s="171" t="inlineStr">
        <is>
          <t>Chief Executive Officer, Managing Director &amp; Co-Founder</t>
        </is>
      </c>
      <c r="AH270" s="172" t="inlineStr">
        <is>
          <t>roman@lesara.de</t>
        </is>
      </c>
      <c r="AI270" s="173" t="inlineStr">
        <is>
          <t>+49 (0)30 9203 3080</t>
        </is>
      </c>
      <c r="AJ270" s="174" t="inlineStr">
        <is>
          <t>Berlin, Germany</t>
        </is>
      </c>
      <c r="AK270" s="175" t="inlineStr">
        <is>
          <t>Schwedter Straße 36a</t>
        </is>
      </c>
      <c r="AL270" s="176" t="inlineStr">
        <is>
          <t/>
        </is>
      </c>
      <c r="AM270" s="177" t="inlineStr">
        <is>
          <t>Berlin</t>
        </is>
      </c>
      <c r="AN270" s="178" t="inlineStr">
        <is>
          <t/>
        </is>
      </c>
      <c r="AO270" s="179" t="inlineStr">
        <is>
          <t>10435</t>
        </is>
      </c>
      <c r="AP270" s="180" t="inlineStr">
        <is>
          <t>Germany</t>
        </is>
      </c>
      <c r="AQ270" s="181" t="inlineStr">
        <is>
          <t>+49 (0)30 9203 3080</t>
        </is>
      </c>
      <c r="AR270" s="182" t="inlineStr">
        <is>
          <t>+49 (0)30 9203 3081</t>
        </is>
      </c>
      <c r="AS270" s="183" t="inlineStr">
        <is>
          <t>service@lesara.de</t>
        </is>
      </c>
      <c r="AT270" s="184" t="inlineStr">
        <is>
          <t>Europe</t>
        </is>
      </c>
      <c r="AU270" s="185" t="inlineStr">
        <is>
          <t>Western Europe</t>
        </is>
      </c>
      <c r="AV270" s="186" t="inlineStr">
        <is>
          <t>The company raised EUR 15 million of Series B venture funding in a deal led by Northzone Ventures and Vorwerk Ventures on September 9, 2015. Hartmann Holdings, Mangrove Capital Partners, FoundersGuild and Paua Ventures also participated in the round. The company will use the funds for its business expansion.</t>
        </is>
      </c>
      <c r="AW270" s="187" t="inlineStr">
        <is>
          <t>42CAP, Cherry Ventures Management, FoundersGuild, Hartmann Holdings, Mangrove Capital Partners, Northzone Ventures, Oskar Hartmann, Partech Ventures, Paua Ventures, Simile Venture Partners, Sina Afra, Taishan Invest, Taishan XD Ventures, Vorwerk Ventures</t>
        </is>
      </c>
      <c r="AX270" s="188" t="n">
        <v>14.0</v>
      </c>
      <c r="AY270" s="189" t="inlineStr">
        <is>
          <t/>
        </is>
      </c>
      <c r="AZ270" s="190" t="inlineStr">
        <is>
          <t/>
        </is>
      </c>
      <c r="BA270" s="191" t="inlineStr">
        <is>
          <t/>
        </is>
      </c>
      <c r="BB270" s="192" t="inlineStr">
        <is>
          <t>42CAP (www.42cap.com), Cherry Ventures Management (cherry.vc), FoundersGuild (www.foundersguild.com), Hartmann Holdings (www.hartmannholdings.com), Mangrove Capital Partners (www.mangrove.vc), Northzone Ventures (www.northzone.com), Partech Ventures (www.partechventures.com), Paua Ventures (www.pauaventures.com), Simile Venture Partners (www.simileventure.com), Sina Afra (www.sinaafra.com), Taishan Invest (www.taishan-invest.com), Taishan XD Ventures (www.txdventures.com)</t>
        </is>
      </c>
      <c r="BC270" s="193" t="inlineStr">
        <is>
          <t/>
        </is>
      </c>
      <c r="BD270" s="194" t="inlineStr">
        <is>
          <t/>
        </is>
      </c>
      <c r="BE270" s="195" t="inlineStr">
        <is>
          <t/>
        </is>
      </c>
      <c r="BF270" s="196" t="inlineStr">
        <is>
          <t/>
        </is>
      </c>
      <c r="BG270" s="197" t="n">
        <v>41640.0</v>
      </c>
      <c r="BH270" s="198" t="n">
        <v>1.5</v>
      </c>
      <c r="BI270" s="199" t="inlineStr">
        <is>
          <t>Actual</t>
        </is>
      </c>
      <c r="BJ270" s="200" t="inlineStr">
        <is>
          <t/>
        </is>
      </c>
      <c r="BK270" s="201" t="inlineStr">
        <is>
          <t/>
        </is>
      </c>
      <c r="BL270" s="202" t="inlineStr">
        <is>
          <t>Seed Round</t>
        </is>
      </c>
      <c r="BM270" s="203" t="inlineStr">
        <is>
          <t>Seed</t>
        </is>
      </c>
      <c r="BN270" s="204" t="inlineStr">
        <is>
          <t/>
        </is>
      </c>
      <c r="BO270" s="205" t="inlineStr">
        <is>
          <t>Venture Capital</t>
        </is>
      </c>
      <c r="BP270" s="206" t="inlineStr">
        <is>
          <t/>
        </is>
      </c>
      <c r="BQ270" s="207" t="inlineStr">
        <is>
          <t/>
        </is>
      </c>
      <c r="BR270" s="208" t="inlineStr">
        <is>
          <t/>
        </is>
      </c>
      <c r="BS270" s="209" t="inlineStr">
        <is>
          <t>Completed</t>
        </is>
      </c>
      <c r="BT270" s="210" t="n">
        <v>42256.0</v>
      </c>
      <c r="BU270" s="211" t="n">
        <v>15.0</v>
      </c>
      <c r="BV270" s="212" t="inlineStr">
        <is>
          <t>Actual</t>
        </is>
      </c>
      <c r="BW270" s="213" t="inlineStr">
        <is>
          <t/>
        </is>
      </c>
      <c r="BX270" s="214" t="inlineStr">
        <is>
          <t/>
        </is>
      </c>
      <c r="BY270" s="215" t="inlineStr">
        <is>
          <t>Early Stage VC</t>
        </is>
      </c>
      <c r="BZ270" s="216" t="inlineStr">
        <is>
          <t>Series B</t>
        </is>
      </c>
      <c r="CA270" s="217" t="inlineStr">
        <is>
          <t/>
        </is>
      </c>
      <c r="CB270" s="218" t="inlineStr">
        <is>
          <t>Venture Capital</t>
        </is>
      </c>
      <c r="CC270" s="219" t="inlineStr">
        <is>
          <t/>
        </is>
      </c>
      <c r="CD270" s="220" t="inlineStr">
        <is>
          <t/>
        </is>
      </c>
      <c r="CE270" s="221" t="inlineStr">
        <is>
          <t/>
        </is>
      </c>
      <c r="CF270" s="222" t="inlineStr">
        <is>
          <t>Completed</t>
        </is>
      </c>
      <c r="CG270" s="223" t="inlineStr">
        <is>
          <t>0,22%</t>
        </is>
      </c>
      <c r="CH270" s="224" t="inlineStr">
        <is>
          <t>79</t>
        </is>
      </c>
      <c r="CI270" s="225" t="inlineStr">
        <is>
          <t>0,15%</t>
        </is>
      </c>
      <c r="CJ270" s="226" t="inlineStr">
        <is>
          <t>207,31%</t>
        </is>
      </c>
      <c r="CK270" s="227" t="inlineStr">
        <is>
          <t>-0,28%</t>
        </is>
      </c>
      <c r="CL270" s="228" t="inlineStr">
        <is>
          <t>14</t>
        </is>
      </c>
      <c r="CM270" s="229" t="inlineStr">
        <is>
          <t>0,72%</t>
        </is>
      </c>
      <c r="CN270" s="230" t="inlineStr">
        <is>
          <t>94</t>
        </is>
      </c>
      <c r="CO270" s="231" t="inlineStr">
        <is>
          <t>-0,64%</t>
        </is>
      </c>
      <c r="CP270" s="232" t="inlineStr">
        <is>
          <t>22</t>
        </is>
      </c>
      <c r="CQ270" s="233" t="inlineStr">
        <is>
          <t>0,08%</t>
        </is>
      </c>
      <c r="CR270" s="234" t="inlineStr">
        <is>
          <t>83</t>
        </is>
      </c>
      <c r="CS270" s="235" t="inlineStr">
        <is>
          <t>1,04%</t>
        </is>
      </c>
      <c r="CT270" s="236" t="inlineStr">
        <is>
          <t>95</t>
        </is>
      </c>
      <c r="CU270" s="237" t="inlineStr">
        <is>
          <t>0,41%</t>
        </is>
      </c>
      <c r="CV270" s="238" t="inlineStr">
        <is>
          <t>89</t>
        </is>
      </c>
      <c r="CW270" s="239" t="inlineStr">
        <is>
          <t>777,43x</t>
        </is>
      </c>
      <c r="CX270" s="240" t="inlineStr">
        <is>
          <t>100</t>
        </is>
      </c>
      <c r="CY270" s="241" t="inlineStr">
        <is>
          <t>19,80x</t>
        </is>
      </c>
      <c r="CZ270" s="242" t="inlineStr">
        <is>
          <t>2,61%</t>
        </is>
      </c>
      <c r="DA270" s="243" t="inlineStr">
        <is>
          <t>196,89x</t>
        </is>
      </c>
      <c r="DB270" s="244" t="inlineStr">
        <is>
          <t>99</t>
        </is>
      </c>
      <c r="DC270" s="245" t="inlineStr">
        <is>
          <t>1.357,98x</t>
        </is>
      </c>
      <c r="DD270" s="246" t="inlineStr">
        <is>
          <t>100</t>
        </is>
      </c>
      <c r="DE270" s="247" t="inlineStr">
        <is>
          <t>379,88x</t>
        </is>
      </c>
      <c r="DF270" s="248" t="inlineStr">
        <is>
          <t>99</t>
        </is>
      </c>
      <c r="DG270" s="249" t="inlineStr">
        <is>
          <t>13,89x</t>
        </is>
      </c>
      <c r="DH270" s="250" t="inlineStr">
        <is>
          <t>90</t>
        </is>
      </c>
      <c r="DI270" s="251" t="inlineStr">
        <is>
          <t>2.713,61x</t>
        </is>
      </c>
      <c r="DJ270" s="252" t="inlineStr">
        <is>
          <t>100</t>
        </is>
      </c>
      <c r="DK270" s="253" t="inlineStr">
        <is>
          <t>2,35x</t>
        </is>
      </c>
      <c r="DL270" s="254" t="inlineStr">
        <is>
          <t>66</t>
        </is>
      </c>
      <c r="DM270" s="255" t="inlineStr">
        <is>
          <t>233.830</t>
        </is>
      </c>
      <c r="DN270" s="256" t="inlineStr">
        <is>
          <t>-609</t>
        </is>
      </c>
      <c r="DO270" s="257" t="inlineStr">
        <is>
          <t>-0,26%</t>
        </is>
      </c>
      <c r="DP270" s="258" t="inlineStr">
        <is>
          <t>2.160.474</t>
        </is>
      </c>
      <c r="DQ270" s="259" t="inlineStr">
        <is>
          <t>18.045</t>
        </is>
      </c>
      <c r="DR270" s="260" t="inlineStr">
        <is>
          <t>0,84%</t>
        </is>
      </c>
      <c r="DS270" s="261" t="inlineStr">
        <is>
          <t>501</t>
        </is>
      </c>
      <c r="DT270" s="262" t="inlineStr">
        <is>
          <t>-2</t>
        </is>
      </c>
      <c r="DU270" s="263" t="inlineStr">
        <is>
          <t>-0,40%</t>
        </is>
      </c>
      <c r="DV270" s="264" t="inlineStr">
        <is>
          <t>805</t>
        </is>
      </c>
      <c r="DW270" s="265" t="inlineStr">
        <is>
          <t>4</t>
        </is>
      </c>
      <c r="DX270" s="266" t="inlineStr">
        <is>
          <t>0,50%</t>
        </is>
      </c>
      <c r="DY270" s="267" t="inlineStr">
        <is>
          <t>PitchBook Research</t>
        </is>
      </c>
      <c r="DZ270" s="786">
        <f>HYPERLINK("https://my.pitchbook.com?c=61950-61", "View company online")</f>
      </c>
    </row>
    <row r="271">
      <c r="A271" s="9" t="inlineStr">
        <is>
          <t>123265-18</t>
        </is>
      </c>
      <c r="B271" s="10" t="inlineStr">
        <is>
          <t>letgo</t>
        </is>
      </c>
      <c r="C271" s="11" t="inlineStr">
        <is>
          <t/>
        </is>
      </c>
      <c r="D271" s="12" t="inlineStr">
        <is>
          <t/>
        </is>
      </c>
      <c r="E271" s="13" t="inlineStr">
        <is>
          <t>123265-18</t>
        </is>
      </c>
      <c r="F271" s="14" t="inlineStr">
        <is>
          <t>Provider of a mobile classifieds application designed to facilitate buying and selling of used goods. The company's mobile classifieds application uses image recognition capabilities to connect buyers and sellers, enabling consumers to post an item for sale and create a custom advertisement, as well as chat instantly and privately with other buyers and sellers nearby.</t>
        </is>
      </c>
      <c r="G271" s="15" t="inlineStr">
        <is>
          <t>Consumer Products and Services (B2C)</t>
        </is>
      </c>
      <c r="H271" s="16" t="inlineStr">
        <is>
          <t>Retail</t>
        </is>
      </c>
      <c r="I271" s="17" t="inlineStr">
        <is>
          <t>Internet Retail</t>
        </is>
      </c>
      <c r="J271" s="18" t="inlineStr">
        <is>
          <t>Internet Retail*; Application Software</t>
        </is>
      </c>
      <c r="K271" s="19" t="inlineStr">
        <is>
          <t>Artificial Intelligence &amp; Machine Learning, E-Commerce, Mobile</t>
        </is>
      </c>
      <c r="L271" s="20" t="inlineStr">
        <is>
          <t>Venture Capital-Backed</t>
        </is>
      </c>
      <c r="M271" s="21" t="n">
        <v>342.22</v>
      </c>
      <c r="N271" s="22" t="inlineStr">
        <is>
          <t>Generating Revenue</t>
        </is>
      </c>
      <c r="O271" s="23" t="inlineStr">
        <is>
          <t>Privately Held (backing)</t>
        </is>
      </c>
      <c r="P271" s="24" t="inlineStr">
        <is>
          <t>Venture Capital</t>
        </is>
      </c>
      <c r="Q271" s="25" t="inlineStr">
        <is>
          <t>us.letgo.com</t>
        </is>
      </c>
      <c r="R271" s="26" t="n">
        <v>105.0</v>
      </c>
      <c r="S271" s="27" t="inlineStr">
        <is>
          <t/>
        </is>
      </c>
      <c r="T271" s="28" t="inlineStr">
        <is>
          <t/>
        </is>
      </c>
      <c r="U271" s="29" t="n">
        <v>2015.0</v>
      </c>
      <c r="V271" s="30" t="inlineStr">
        <is>
          <t/>
        </is>
      </c>
      <c r="W271" s="31" t="inlineStr">
        <is>
          <t/>
        </is>
      </c>
      <c r="X271" s="32" t="inlineStr">
        <is>
          <t/>
        </is>
      </c>
      <c r="Y271" s="33" t="inlineStr">
        <is>
          <t/>
        </is>
      </c>
      <c r="Z271" s="34" t="inlineStr">
        <is>
          <t/>
        </is>
      </c>
      <c r="AA271" s="35" t="inlineStr">
        <is>
          <t/>
        </is>
      </c>
      <c r="AB271" s="36" t="inlineStr">
        <is>
          <t/>
        </is>
      </c>
      <c r="AC271" s="37" t="inlineStr">
        <is>
          <t/>
        </is>
      </c>
      <c r="AD271" s="38" t="inlineStr">
        <is>
          <t/>
        </is>
      </c>
      <c r="AE271" s="39" t="inlineStr">
        <is>
          <t>38896-30P</t>
        </is>
      </c>
      <c r="AF271" s="40" t="inlineStr">
        <is>
          <t>Alec Oxenford</t>
        </is>
      </c>
      <c r="AG271" s="41" t="inlineStr">
        <is>
          <t>Co-Founder &amp; President</t>
        </is>
      </c>
      <c r="AH271" s="42" t="inlineStr">
        <is>
          <t>alec@letgo.com</t>
        </is>
      </c>
      <c r="AI271" s="43" t="inlineStr">
        <is>
          <t/>
        </is>
      </c>
      <c r="AJ271" s="44" t="inlineStr">
        <is>
          <t>Naarden, Netherlands</t>
        </is>
      </c>
      <c r="AK271" s="45" t="inlineStr">
        <is>
          <t>Gooimeer 2-26</t>
        </is>
      </c>
      <c r="AL271" s="46" t="inlineStr">
        <is>
          <t/>
        </is>
      </c>
      <c r="AM271" s="47" t="inlineStr">
        <is>
          <t>Naarden</t>
        </is>
      </c>
      <c r="AN271" s="48" t="inlineStr">
        <is>
          <t/>
        </is>
      </c>
      <c r="AO271" s="49" t="inlineStr">
        <is>
          <t>1411 DC</t>
        </is>
      </c>
      <c r="AP271" s="50" t="inlineStr">
        <is>
          <t>Netherlands</t>
        </is>
      </c>
      <c r="AQ271" s="51" t="inlineStr">
        <is>
          <t/>
        </is>
      </c>
      <c r="AR271" s="52" t="inlineStr">
        <is>
          <t/>
        </is>
      </c>
      <c r="AS271" s="53" t="inlineStr">
        <is>
          <t>info@letgo.com</t>
        </is>
      </c>
      <c r="AT271" s="54" t="inlineStr">
        <is>
          <t>Europe</t>
        </is>
      </c>
      <c r="AU271" s="55" t="inlineStr">
        <is>
          <t>Western Europe</t>
        </is>
      </c>
      <c r="AV271" s="56" t="inlineStr">
        <is>
          <t>The company raised $175 million of Series C venture funding from lead investor Naspers on January 17, 2017, putting the company's pre-money valuation at $825 million. Accel Partners, Insight Venture Partners, New Enterprise Associates, 14W, Eight Roads Ventures, Mangrove Capital Partners, FJ Labs and other undisclosed investors also participated in the round. The company will use the funding to accelerate U.S. and international growth as well as to boost its investment in areas such as artificial intelligence and image recognition. With the round, the company has now raised a total of $375 million in funding to date.</t>
        </is>
      </c>
      <c r="AW271" s="57" t="inlineStr">
        <is>
          <t>14W, Accel, Eight Roads Ventures, FJ Labs, Insight Venture Partners, Mangrove Capital Partners, Naspers, New Enterprise Associates, NextView Ventures, Northzone Ventures</t>
        </is>
      </c>
      <c r="AX271" s="58" t="n">
        <v>10.0</v>
      </c>
      <c r="AY271" s="59" t="inlineStr">
        <is>
          <t/>
        </is>
      </c>
      <c r="AZ271" s="60" t="inlineStr">
        <is>
          <t/>
        </is>
      </c>
      <c r="BA271" s="61" t="inlineStr">
        <is>
          <t/>
        </is>
      </c>
      <c r="BB271" s="62" t="inlineStr">
        <is>
          <t>14W (www.14w.com), Accel (www.accel.com), Eight Roads Ventures (www.eightroads.com), FJ Labs (www.fjlabs.com), Insight Venture Partners (www.insightpartners.com), Mangrove Capital Partners (www.mangrove.vc), Naspers (www.naspers.com), New Enterprise Associates (www.nea.com), NextView Ventures (www.nextviewventures.com), Northzone Ventures (www.northzone.com)</t>
        </is>
      </c>
      <c r="BC271" s="63" t="inlineStr">
        <is>
          <t/>
        </is>
      </c>
      <c r="BD271" s="64" t="inlineStr">
        <is>
          <t/>
        </is>
      </c>
      <c r="BE271" s="65" t="inlineStr">
        <is>
          <t>Morrison &amp; Foerster (Legal Advisor)</t>
        </is>
      </c>
      <c r="BF271" s="66" t="inlineStr">
        <is>
          <t>Morrison &amp; Foerster (Legal Advisor)</t>
        </is>
      </c>
      <c r="BG271" s="67" t="n">
        <v>42250.0</v>
      </c>
      <c r="BH271" s="68" t="n">
        <v>89.0</v>
      </c>
      <c r="BI271" s="69" t="inlineStr">
        <is>
          <t>Actual</t>
        </is>
      </c>
      <c r="BJ271" s="70" t="inlineStr">
        <is>
          <t/>
        </is>
      </c>
      <c r="BK271" s="71" t="inlineStr">
        <is>
          <t/>
        </is>
      </c>
      <c r="BL271" s="72" t="inlineStr">
        <is>
          <t>Early Stage VC</t>
        </is>
      </c>
      <c r="BM271" s="73" t="inlineStr">
        <is>
          <t>Series A</t>
        </is>
      </c>
      <c r="BN271" s="74" t="inlineStr">
        <is>
          <t/>
        </is>
      </c>
      <c r="BO271" s="75" t="inlineStr">
        <is>
          <t>Venture Capital</t>
        </is>
      </c>
      <c r="BP271" s="76" t="inlineStr">
        <is>
          <t/>
        </is>
      </c>
      <c r="BQ271" s="77" t="inlineStr">
        <is>
          <t/>
        </is>
      </c>
      <c r="BR271" s="78" t="inlineStr">
        <is>
          <t/>
        </is>
      </c>
      <c r="BS271" s="79" t="inlineStr">
        <is>
          <t>Completed</t>
        </is>
      </c>
      <c r="BT271" s="80" t="n">
        <v>42752.0</v>
      </c>
      <c r="BU271" s="81" t="n">
        <v>164.8</v>
      </c>
      <c r="BV271" s="82" t="inlineStr">
        <is>
          <t>Actual</t>
        </is>
      </c>
      <c r="BW271" s="83" t="n">
        <v>941.74</v>
      </c>
      <c r="BX271" s="84" t="inlineStr">
        <is>
          <t>Actual</t>
        </is>
      </c>
      <c r="BY271" s="85" t="inlineStr">
        <is>
          <t>Later Stage VC</t>
        </is>
      </c>
      <c r="BZ271" s="86" t="inlineStr">
        <is>
          <t>Series C</t>
        </is>
      </c>
      <c r="CA271" s="87" t="inlineStr">
        <is>
          <t/>
        </is>
      </c>
      <c r="CB271" s="88" t="inlineStr">
        <is>
          <t>Venture Capital</t>
        </is>
      </c>
      <c r="CC271" s="89" t="inlineStr">
        <is>
          <t/>
        </is>
      </c>
      <c r="CD271" s="90" t="inlineStr">
        <is>
          <t/>
        </is>
      </c>
      <c r="CE271" s="91" t="inlineStr">
        <is>
          <t/>
        </is>
      </c>
      <c r="CF271" s="92" t="inlineStr">
        <is>
          <t>Completed</t>
        </is>
      </c>
      <c r="CG271" s="93" t="inlineStr">
        <is>
          <t>3,29%</t>
        </is>
      </c>
      <c r="CH271" s="94" t="inlineStr">
        <is>
          <t>96</t>
        </is>
      </c>
      <c r="CI271" s="95" t="inlineStr">
        <is>
          <t>0,12%</t>
        </is>
      </c>
      <c r="CJ271" s="96" t="inlineStr">
        <is>
          <t>3,89%</t>
        </is>
      </c>
      <c r="CK271" s="97" t="inlineStr">
        <is>
          <t>-1,37%</t>
        </is>
      </c>
      <c r="CL271" s="98" t="inlineStr">
        <is>
          <t>7</t>
        </is>
      </c>
      <c r="CM271" s="99" t="inlineStr">
        <is>
          <t>3,95%</t>
        </is>
      </c>
      <c r="CN271" s="100" t="inlineStr">
        <is>
          <t>100</t>
        </is>
      </c>
      <c r="CO271" s="101" t="inlineStr">
        <is>
          <t>-1,37%</t>
        </is>
      </c>
      <c r="CP271" s="102" t="inlineStr">
        <is>
          <t>18</t>
        </is>
      </c>
      <c r="CQ271" s="103" t="inlineStr">
        <is>
          <t/>
        </is>
      </c>
      <c r="CR271" s="104" t="inlineStr">
        <is>
          <t/>
        </is>
      </c>
      <c r="CS271" s="105" t="inlineStr">
        <is>
          <t>6,19%</t>
        </is>
      </c>
      <c r="CT271" s="106" t="inlineStr">
        <is>
          <t>100</t>
        </is>
      </c>
      <c r="CU271" s="107" t="inlineStr">
        <is>
          <t>1,72%</t>
        </is>
      </c>
      <c r="CV271" s="108" t="inlineStr">
        <is>
          <t>99</t>
        </is>
      </c>
      <c r="CW271" s="109" t="inlineStr">
        <is>
          <t>1.070,76x</t>
        </is>
      </c>
      <c r="CX271" s="110" t="inlineStr">
        <is>
          <t>100</t>
        </is>
      </c>
      <c r="CY271" s="111" t="inlineStr">
        <is>
          <t>48,76x</t>
        </is>
      </c>
      <c r="CZ271" s="112" t="inlineStr">
        <is>
          <t>4,77%</t>
        </is>
      </c>
      <c r="DA271" s="113" t="inlineStr">
        <is>
          <t>1.352,94x</t>
        </is>
      </c>
      <c r="DB271" s="114" t="inlineStr">
        <is>
          <t>100</t>
        </is>
      </c>
      <c r="DC271" s="115" t="inlineStr">
        <is>
          <t>364,17x</t>
        </is>
      </c>
      <c r="DD271" s="116" t="inlineStr">
        <is>
          <t>99</t>
        </is>
      </c>
      <c r="DE271" s="117" t="inlineStr">
        <is>
          <t>1.352,94x</t>
        </is>
      </c>
      <c r="DF271" s="118" t="inlineStr">
        <is>
          <t>100</t>
        </is>
      </c>
      <c r="DG271" s="119" t="inlineStr">
        <is>
          <t/>
        </is>
      </c>
      <c r="DH271" s="120" t="inlineStr">
        <is>
          <t/>
        </is>
      </c>
      <c r="DI271" s="121" t="inlineStr">
        <is>
          <t>585,90x</t>
        </is>
      </c>
      <c r="DJ271" s="122" t="inlineStr">
        <is>
          <t>99</t>
        </is>
      </c>
      <c r="DK271" s="123" t="inlineStr">
        <is>
          <t>142,43x</t>
        </is>
      </c>
      <c r="DL271" s="124" t="inlineStr">
        <is>
          <t>98</t>
        </is>
      </c>
      <c r="DM271" s="125" t="inlineStr">
        <is>
          <t>842.376</t>
        </is>
      </c>
      <c r="DN271" s="126" t="inlineStr">
        <is>
          <t>-30.948</t>
        </is>
      </c>
      <c r="DO271" s="127" t="inlineStr">
        <is>
          <t>-3,54%</t>
        </is>
      </c>
      <c r="DP271" s="128" t="inlineStr">
        <is>
          <t>457.095</t>
        </is>
      </c>
      <c r="DQ271" s="129" t="inlineStr">
        <is>
          <t>23.165</t>
        </is>
      </c>
      <c r="DR271" s="130" t="inlineStr">
        <is>
          <t>5,34%</t>
        </is>
      </c>
      <c r="DS271" s="131" t="inlineStr">
        <is>
          <t/>
        </is>
      </c>
      <c r="DT271" s="132" t="inlineStr">
        <is>
          <t/>
        </is>
      </c>
      <c r="DU271" s="133" t="inlineStr">
        <is>
          <t/>
        </is>
      </c>
      <c r="DV271" s="134" t="inlineStr">
        <is>
          <t>48.731</t>
        </is>
      </c>
      <c r="DW271" s="135" t="inlineStr">
        <is>
          <t>462</t>
        </is>
      </c>
      <c r="DX271" s="136" t="inlineStr">
        <is>
          <t>0,96%</t>
        </is>
      </c>
      <c r="DY271" s="137" t="inlineStr">
        <is>
          <t>PitchBook Research</t>
        </is>
      </c>
      <c r="DZ271" s="785">
        <f>HYPERLINK("https://my.pitchbook.com?c=123265-18", "View company online")</f>
      </c>
    </row>
    <row r="272">
      <c r="A272" s="139" t="inlineStr">
        <is>
          <t>168744-43</t>
        </is>
      </c>
      <c r="B272" s="140" t="inlineStr">
        <is>
          <t>Leveris</t>
        </is>
      </c>
      <c r="C272" s="141" t="inlineStr">
        <is>
          <t/>
        </is>
      </c>
      <c r="D272" s="142" t="inlineStr">
        <is>
          <t/>
        </is>
      </c>
      <c r="E272" s="143" t="inlineStr">
        <is>
          <t>168744-43</t>
        </is>
      </c>
      <c r="F272" s="144" t="inlineStr">
        <is>
          <t>Developer of a banking and lending platform designed to built for revenue-positive or cost-neutral operations. The company's banking and lending platform is an all in one integrated platform that offers full service, end-to-end digital retail banking and full-spectrum lending services, enabling traditional banks, new market entrants, and any consumer brand who wants to enter the banking and lending space to offer core banking systems and services through this platform.</t>
        </is>
      </c>
      <c r="G272" s="145" t="inlineStr">
        <is>
          <t>Information Technology</t>
        </is>
      </c>
      <c r="H272" s="146" t="inlineStr">
        <is>
          <t>Software</t>
        </is>
      </c>
      <c r="I272" s="147" t="inlineStr">
        <is>
          <t>Financial Software</t>
        </is>
      </c>
      <c r="J272" s="148" t="inlineStr">
        <is>
          <t>Financial Software*; Application Software</t>
        </is>
      </c>
      <c r="K272" s="149" t="inlineStr">
        <is>
          <t>FinTech</t>
        </is>
      </c>
      <c r="L272" s="150" t="inlineStr">
        <is>
          <t>Venture Capital-Backed</t>
        </is>
      </c>
      <c r="M272" s="151" t="n">
        <v>15.08</v>
      </c>
      <c r="N272" s="152" t="inlineStr">
        <is>
          <t>Generating Revenue</t>
        </is>
      </c>
      <c r="O272" s="153" t="inlineStr">
        <is>
          <t>Privately Held (backing)</t>
        </is>
      </c>
      <c r="P272" s="154" t="inlineStr">
        <is>
          <t>Venture Capital</t>
        </is>
      </c>
      <c r="Q272" s="155" t="inlineStr">
        <is>
          <t>www.leveris.com</t>
        </is>
      </c>
      <c r="R272" s="156" t="n">
        <v>200.0</v>
      </c>
      <c r="S272" s="157" t="inlineStr">
        <is>
          <t/>
        </is>
      </c>
      <c r="T272" s="158" t="inlineStr">
        <is>
          <t/>
        </is>
      </c>
      <c r="U272" s="159" t="n">
        <v>2014.0</v>
      </c>
      <c r="V272" s="160" t="inlineStr">
        <is>
          <t/>
        </is>
      </c>
      <c r="W272" s="161" t="inlineStr">
        <is>
          <t/>
        </is>
      </c>
      <c r="X272" s="162" t="inlineStr">
        <is>
          <t/>
        </is>
      </c>
      <c r="Y272" s="163" t="inlineStr">
        <is>
          <t/>
        </is>
      </c>
      <c r="Z272" s="164" t="inlineStr">
        <is>
          <t/>
        </is>
      </c>
      <c r="AA272" s="165" t="inlineStr">
        <is>
          <t/>
        </is>
      </c>
      <c r="AB272" s="166" t="inlineStr">
        <is>
          <t/>
        </is>
      </c>
      <c r="AC272" s="167" t="inlineStr">
        <is>
          <t/>
        </is>
      </c>
      <c r="AD272" s="168" t="inlineStr">
        <is>
          <t/>
        </is>
      </c>
      <c r="AE272" s="169" t="inlineStr">
        <is>
          <t>151689-25P</t>
        </is>
      </c>
      <c r="AF272" s="170" t="inlineStr">
        <is>
          <t>Conor Fennelly</t>
        </is>
      </c>
      <c r="AG272" s="171" t="inlineStr">
        <is>
          <t>Chief Executive Officer &amp; Founder</t>
        </is>
      </c>
      <c r="AH272" s="172" t="inlineStr">
        <is>
          <t>conor.fennelly@leveris.com</t>
        </is>
      </c>
      <c r="AI272" s="173" t="inlineStr">
        <is>
          <t/>
        </is>
      </c>
      <c r="AJ272" s="174" t="inlineStr">
        <is>
          <t>Dublin, Ireland</t>
        </is>
      </c>
      <c r="AK272" s="175" t="inlineStr">
        <is>
          <t>6 Dublin, Leinster</t>
        </is>
      </c>
      <c r="AL272" s="176" t="inlineStr">
        <is>
          <t/>
        </is>
      </c>
      <c r="AM272" s="177" t="inlineStr">
        <is>
          <t>Dublin</t>
        </is>
      </c>
      <c r="AN272" s="178" t="inlineStr">
        <is>
          <t/>
        </is>
      </c>
      <c r="AO272" s="179" t="inlineStr">
        <is>
          <t/>
        </is>
      </c>
      <c r="AP272" s="180" t="inlineStr">
        <is>
          <t>Ireland</t>
        </is>
      </c>
      <c r="AQ272" s="181" t="inlineStr">
        <is>
          <t/>
        </is>
      </c>
      <c r="AR272" s="182" t="inlineStr">
        <is>
          <t/>
        </is>
      </c>
      <c r="AS272" s="183" t="inlineStr">
        <is>
          <t>hello@leveris.com</t>
        </is>
      </c>
      <c r="AT272" s="184" t="inlineStr">
        <is>
          <t>Europe</t>
        </is>
      </c>
      <c r="AU272" s="185" t="inlineStr">
        <is>
          <t>Western Europe</t>
        </is>
      </c>
      <c r="AV272" s="186" t="inlineStr">
        <is>
          <t>The company raised $15.9 million of Series A venture funding from Conor Fennelly and other undisclosed investors on December 5, 2016.</t>
        </is>
      </c>
      <c r="AW272" s="187" t="inlineStr">
        <is>
          <t/>
        </is>
      </c>
      <c r="AX272" s="188" t="inlineStr">
        <is>
          <t/>
        </is>
      </c>
      <c r="AY272" s="189" t="inlineStr">
        <is>
          <t/>
        </is>
      </c>
      <c r="AZ272" s="190" t="inlineStr">
        <is>
          <t/>
        </is>
      </c>
      <c r="BA272" s="191" t="inlineStr">
        <is>
          <t/>
        </is>
      </c>
      <c r="BB272" s="192" t="inlineStr">
        <is>
          <t/>
        </is>
      </c>
      <c r="BC272" s="193" t="inlineStr">
        <is>
          <t/>
        </is>
      </c>
      <c r="BD272" s="194" t="inlineStr">
        <is>
          <t/>
        </is>
      </c>
      <c r="BE272" s="195" t="inlineStr">
        <is>
          <t/>
        </is>
      </c>
      <c r="BF272" s="196" t="inlineStr">
        <is>
          <t>Davy (Lead Manager or Arranger)</t>
        </is>
      </c>
      <c r="BG272" s="197" t="n">
        <v>42709.0</v>
      </c>
      <c r="BH272" s="198" t="n">
        <v>15.08</v>
      </c>
      <c r="BI272" s="199" t="inlineStr">
        <is>
          <t>Actual</t>
        </is>
      </c>
      <c r="BJ272" s="200" t="inlineStr">
        <is>
          <t/>
        </is>
      </c>
      <c r="BK272" s="201" t="inlineStr">
        <is>
          <t/>
        </is>
      </c>
      <c r="BL272" s="202" t="inlineStr">
        <is>
          <t>Early Stage VC</t>
        </is>
      </c>
      <c r="BM272" s="203" t="inlineStr">
        <is>
          <t/>
        </is>
      </c>
      <c r="BN272" s="204" t="inlineStr">
        <is>
          <t/>
        </is>
      </c>
      <c r="BO272" s="205" t="inlineStr">
        <is>
          <t>Venture Capital</t>
        </is>
      </c>
      <c r="BP272" s="206" t="inlineStr">
        <is>
          <t/>
        </is>
      </c>
      <c r="BQ272" s="207" t="inlineStr">
        <is>
          <t/>
        </is>
      </c>
      <c r="BR272" s="208" t="inlineStr">
        <is>
          <t/>
        </is>
      </c>
      <c r="BS272" s="209" t="inlineStr">
        <is>
          <t>Completed</t>
        </is>
      </c>
      <c r="BT272" s="210" t="n">
        <v>42709.0</v>
      </c>
      <c r="BU272" s="211" t="n">
        <v>15.08</v>
      </c>
      <c r="BV272" s="212" t="inlineStr">
        <is>
          <t>Actual</t>
        </is>
      </c>
      <c r="BW272" s="213" t="inlineStr">
        <is>
          <t/>
        </is>
      </c>
      <c r="BX272" s="214" t="inlineStr">
        <is>
          <t/>
        </is>
      </c>
      <c r="BY272" s="215" t="inlineStr">
        <is>
          <t>Early Stage VC</t>
        </is>
      </c>
      <c r="BZ272" s="216" t="inlineStr">
        <is>
          <t/>
        </is>
      </c>
      <c r="CA272" s="217" t="inlineStr">
        <is>
          <t/>
        </is>
      </c>
      <c r="CB272" s="218" t="inlineStr">
        <is>
          <t>Venture Capital</t>
        </is>
      </c>
      <c r="CC272" s="219" t="inlineStr">
        <is>
          <t/>
        </is>
      </c>
      <c r="CD272" s="220" t="inlineStr">
        <is>
          <t/>
        </is>
      </c>
      <c r="CE272" s="221" t="inlineStr">
        <is>
          <t/>
        </is>
      </c>
      <c r="CF272" s="222" t="inlineStr">
        <is>
          <t>Completed</t>
        </is>
      </c>
      <c r="CG272" s="223" t="inlineStr">
        <is>
          <t>0,22%</t>
        </is>
      </c>
      <c r="CH272" s="224" t="inlineStr">
        <is>
          <t>79</t>
        </is>
      </c>
      <c r="CI272" s="225" t="inlineStr">
        <is>
          <t>0,00%</t>
        </is>
      </c>
      <c r="CJ272" s="226" t="inlineStr">
        <is>
          <t>-0,89%</t>
        </is>
      </c>
      <c r="CK272" s="227" t="inlineStr">
        <is>
          <t>0,00%</t>
        </is>
      </c>
      <c r="CL272" s="228" t="inlineStr">
        <is>
          <t>18</t>
        </is>
      </c>
      <c r="CM272" s="229" t="inlineStr">
        <is>
          <t>0,45%</t>
        </is>
      </c>
      <c r="CN272" s="230" t="inlineStr">
        <is>
          <t>88</t>
        </is>
      </c>
      <c r="CO272" s="231" t="inlineStr">
        <is>
          <t>0,00%</t>
        </is>
      </c>
      <c r="CP272" s="232" t="inlineStr">
        <is>
          <t>26</t>
        </is>
      </c>
      <c r="CQ272" s="233" t="inlineStr">
        <is>
          <t>0,00%</t>
        </is>
      </c>
      <c r="CR272" s="234" t="inlineStr">
        <is>
          <t>13</t>
        </is>
      </c>
      <c r="CS272" s="235" t="inlineStr">
        <is>
          <t/>
        </is>
      </c>
      <c r="CT272" s="236" t="inlineStr">
        <is>
          <t/>
        </is>
      </c>
      <c r="CU272" s="237" t="inlineStr">
        <is>
          <t>0,45%</t>
        </is>
      </c>
      <c r="CV272" s="238" t="inlineStr">
        <is>
          <t>90</t>
        </is>
      </c>
      <c r="CW272" s="239" t="inlineStr">
        <is>
          <t>0,70x</t>
        </is>
      </c>
      <c r="CX272" s="240" t="inlineStr">
        <is>
          <t>41</t>
        </is>
      </c>
      <c r="CY272" s="241" t="inlineStr">
        <is>
          <t>0,01x</t>
        </is>
      </c>
      <c r="CZ272" s="242" t="inlineStr">
        <is>
          <t>2,10%</t>
        </is>
      </c>
      <c r="DA272" s="243" t="inlineStr">
        <is>
          <t>0,40x</t>
        </is>
      </c>
      <c r="DB272" s="244" t="inlineStr">
        <is>
          <t>32</t>
        </is>
      </c>
      <c r="DC272" s="245" t="inlineStr">
        <is>
          <t>1,00x</t>
        </is>
      </c>
      <c r="DD272" s="246" t="inlineStr">
        <is>
          <t>48</t>
        </is>
      </c>
      <c r="DE272" s="247" t="inlineStr">
        <is>
          <t>0,78x</t>
        </is>
      </c>
      <c r="DF272" s="248" t="inlineStr">
        <is>
          <t>45</t>
        </is>
      </c>
      <c r="DG272" s="249" t="inlineStr">
        <is>
          <t>0,03x</t>
        </is>
      </c>
      <c r="DH272" s="250" t="inlineStr">
        <is>
          <t>1</t>
        </is>
      </c>
      <c r="DI272" s="251" t="inlineStr">
        <is>
          <t/>
        </is>
      </c>
      <c r="DJ272" s="252" t="inlineStr">
        <is>
          <t/>
        </is>
      </c>
      <c r="DK272" s="253" t="inlineStr">
        <is>
          <t>1,00x</t>
        </is>
      </c>
      <c r="DL272" s="254" t="inlineStr">
        <is>
          <t>50</t>
        </is>
      </c>
      <c r="DM272" s="255" t="inlineStr">
        <is>
          <t>503</t>
        </is>
      </c>
      <c r="DN272" s="256" t="inlineStr">
        <is>
          <t>-71</t>
        </is>
      </c>
      <c r="DO272" s="257" t="inlineStr">
        <is>
          <t>-12,37%</t>
        </is>
      </c>
      <c r="DP272" s="258" t="inlineStr">
        <is>
          <t/>
        </is>
      </c>
      <c r="DQ272" s="259" t="inlineStr">
        <is>
          <t/>
        </is>
      </c>
      <c r="DR272" s="260" t="inlineStr">
        <is>
          <t/>
        </is>
      </c>
      <c r="DS272" s="261" t="inlineStr">
        <is>
          <t>1</t>
        </is>
      </c>
      <c r="DT272" s="262" t="inlineStr">
        <is>
          <t>0</t>
        </is>
      </c>
      <c r="DU272" s="263" t="inlineStr">
        <is>
          <t>0,00%</t>
        </is>
      </c>
      <c r="DV272" s="264" t="inlineStr">
        <is>
          <t>342</t>
        </is>
      </c>
      <c r="DW272" s="265" t="inlineStr">
        <is>
          <t>3</t>
        </is>
      </c>
      <c r="DX272" s="266" t="inlineStr">
        <is>
          <t>0,88%</t>
        </is>
      </c>
      <c r="DY272" s="267" t="inlineStr">
        <is>
          <t>PitchBook Research</t>
        </is>
      </c>
      <c r="DZ272" s="786">
        <f>HYPERLINK("https://my.pitchbook.com?c=168744-43", "View company online")</f>
      </c>
    </row>
    <row r="273">
      <c r="A273" s="9" t="inlineStr">
        <is>
          <t>166354-57</t>
        </is>
      </c>
      <c r="B273" s="10" t="inlineStr">
        <is>
          <t>Lightneer</t>
        </is>
      </c>
      <c r="C273" s="11" t="inlineStr">
        <is>
          <t/>
        </is>
      </c>
      <c r="D273" s="12" t="inlineStr">
        <is>
          <t/>
        </is>
      </c>
      <c r="E273" s="13" t="inlineStr">
        <is>
          <t>166354-57</t>
        </is>
      </c>
      <c r="F273" s="14" t="inlineStr">
        <is>
          <t>Developer of mobile-based learning games designed to make learning accessible and engaging to everybody in the world. The company's learning game Big Bang Legends integrates both casual and fun game-play with educational content about particle physics as well as features a learning model called "Learn To Play, including more in-depth learning content, with 30 second mini-lectures from scientists, enabling kids to learn the elements of the periodic table, their composition and the basic ideas of particle physics and deepen this knowledge with concepts.</t>
        </is>
      </c>
      <c r="G273" s="15" t="inlineStr">
        <is>
          <t>Information Technology</t>
        </is>
      </c>
      <c r="H273" s="16" t="inlineStr">
        <is>
          <t>Software</t>
        </is>
      </c>
      <c r="I273" s="17" t="inlineStr">
        <is>
          <t>Application Software</t>
        </is>
      </c>
      <c r="J273" s="18" t="inlineStr">
        <is>
          <t>Application Software*; Educational Software; Entertainment Software</t>
        </is>
      </c>
      <c r="K273" s="19" t="inlineStr">
        <is>
          <t>EdTech, Mobile</t>
        </is>
      </c>
      <c r="L273" s="20" t="inlineStr">
        <is>
          <t>Venture Capital-Backed</t>
        </is>
      </c>
      <c r="M273" s="21" t="n">
        <v>7.74</v>
      </c>
      <c r="N273" s="22" t="inlineStr">
        <is>
          <t>Generating Revenue</t>
        </is>
      </c>
      <c r="O273" s="23" t="inlineStr">
        <is>
          <t>Privately Held (backing)</t>
        </is>
      </c>
      <c r="P273" s="24" t="inlineStr">
        <is>
          <t>Venture Capital</t>
        </is>
      </c>
      <c r="Q273" s="25" t="inlineStr">
        <is>
          <t>www.lightneer.com</t>
        </is>
      </c>
      <c r="R273" s="26" t="n">
        <v>10.0</v>
      </c>
      <c r="S273" s="27" t="inlineStr">
        <is>
          <t/>
        </is>
      </c>
      <c r="T273" s="28" t="inlineStr">
        <is>
          <t/>
        </is>
      </c>
      <c r="U273" s="29" t="n">
        <v>2015.0</v>
      </c>
      <c r="V273" s="30" t="inlineStr">
        <is>
          <t/>
        </is>
      </c>
      <c r="W273" s="31" t="inlineStr">
        <is>
          <t/>
        </is>
      </c>
      <c r="X273" s="32" t="inlineStr">
        <is>
          <t/>
        </is>
      </c>
      <c r="Y273" s="33" t="inlineStr">
        <is>
          <t/>
        </is>
      </c>
      <c r="Z273" s="34" t="inlineStr">
        <is>
          <t/>
        </is>
      </c>
      <c r="AA273" s="35" t="inlineStr">
        <is>
          <t/>
        </is>
      </c>
      <c r="AB273" s="36" t="inlineStr">
        <is>
          <t/>
        </is>
      </c>
      <c r="AC273" s="37" t="inlineStr">
        <is>
          <t/>
        </is>
      </c>
      <c r="AD273" s="38" t="inlineStr">
        <is>
          <t/>
        </is>
      </c>
      <c r="AE273" s="39" t="inlineStr">
        <is>
          <t>145626-67P</t>
        </is>
      </c>
      <c r="AF273" s="40" t="inlineStr">
        <is>
          <t>Marja Konttinen</t>
        </is>
      </c>
      <c r="AG273" s="41" t="inlineStr">
        <is>
          <t>Chief Marketing Officer &amp; Brand Director</t>
        </is>
      </c>
      <c r="AH273" s="42" t="inlineStr">
        <is>
          <t>marja@lightneer.com</t>
        </is>
      </c>
      <c r="AI273" s="43" t="inlineStr">
        <is>
          <t/>
        </is>
      </c>
      <c r="AJ273" s="44" t="inlineStr">
        <is>
          <t>Helsinki, Finland</t>
        </is>
      </c>
      <c r="AK273" s="45" t="inlineStr">
        <is>
          <t>Fredrikinkatu 34 A 9</t>
        </is>
      </c>
      <c r="AL273" s="46" t="inlineStr">
        <is>
          <t/>
        </is>
      </c>
      <c r="AM273" s="47" t="inlineStr">
        <is>
          <t>Helsinki</t>
        </is>
      </c>
      <c r="AN273" s="48" t="inlineStr">
        <is>
          <t/>
        </is>
      </c>
      <c r="AO273" s="49" t="inlineStr">
        <is>
          <t>00100</t>
        </is>
      </c>
      <c r="AP273" s="50" t="inlineStr">
        <is>
          <t>Finland</t>
        </is>
      </c>
      <c r="AQ273" s="51" t="inlineStr">
        <is>
          <t/>
        </is>
      </c>
      <c r="AR273" s="52" t="inlineStr">
        <is>
          <t/>
        </is>
      </c>
      <c r="AS273" s="53" t="inlineStr">
        <is>
          <t>info@lightneer.com</t>
        </is>
      </c>
      <c r="AT273" s="54" t="inlineStr">
        <is>
          <t>Europe</t>
        </is>
      </c>
      <c r="AU273" s="55" t="inlineStr">
        <is>
          <t>Northern Europe</t>
        </is>
      </c>
      <c r="AV273" s="56" t="inlineStr">
        <is>
          <t>The company raised $5 million of seed funding in a deal led by GSV Acceleration on August 15, 2017. IPR.VC, Brighteye Ventures and Reach Capital also participated in the round. The company raised $7.8 million in total funding. Previously, the company raised EUR 2.8 of seed funding in a deal led by GSV Ventures and IPR Venture Capital on September 14, 2016.</t>
        </is>
      </c>
      <c r="AW273" s="57" t="inlineStr">
        <is>
          <t>Brighteye Ventures, Deborah Quazzo, Founders Factory, GSV Acceleration, GSV Equity, IPR.VC, Reach Capital, Tekes</t>
        </is>
      </c>
      <c r="AX273" s="58" t="n">
        <v>8.0</v>
      </c>
      <c r="AY273" s="59" t="inlineStr">
        <is>
          <t/>
        </is>
      </c>
      <c r="AZ273" s="60" t="inlineStr">
        <is>
          <t/>
        </is>
      </c>
      <c r="BA273" s="61" t="inlineStr">
        <is>
          <t/>
        </is>
      </c>
      <c r="BB273" s="62" t="inlineStr">
        <is>
          <t>Brighteye Ventures (www.brighteyevc.com), Founders Factory (www.foundersfactory.com), GSV Acceleration (www.gsvacceleration.com), IPR.VC (www.ipr.vc), Reach Capital (www.reachcap.com), Tekes (www.tekes.fi)</t>
        </is>
      </c>
      <c r="BC273" s="63" t="inlineStr">
        <is>
          <t/>
        </is>
      </c>
      <c r="BD273" s="64" t="inlineStr">
        <is>
          <t/>
        </is>
      </c>
      <c r="BE273" s="65" t="inlineStr">
        <is>
          <t/>
        </is>
      </c>
      <c r="BF273" s="66" t="inlineStr">
        <is>
          <t/>
        </is>
      </c>
      <c r="BG273" s="67" t="n">
        <v>42278.0</v>
      </c>
      <c r="BH273" s="68" t="n">
        <v>0.07</v>
      </c>
      <c r="BI273" s="69" t="inlineStr">
        <is>
          <t>Actual</t>
        </is>
      </c>
      <c r="BJ273" s="70" t="inlineStr">
        <is>
          <t/>
        </is>
      </c>
      <c r="BK273" s="71" t="inlineStr">
        <is>
          <t/>
        </is>
      </c>
      <c r="BL273" s="72" t="inlineStr">
        <is>
          <t>Angel (individual)</t>
        </is>
      </c>
      <c r="BM273" s="73" t="inlineStr">
        <is>
          <t>Angel</t>
        </is>
      </c>
      <c r="BN273" s="74" t="inlineStr">
        <is>
          <t/>
        </is>
      </c>
      <c r="BO273" s="75" t="inlineStr">
        <is>
          <t>Individual</t>
        </is>
      </c>
      <c r="BP273" s="76" t="inlineStr">
        <is>
          <t/>
        </is>
      </c>
      <c r="BQ273" s="77" t="inlineStr">
        <is>
          <t/>
        </is>
      </c>
      <c r="BR273" s="78" t="inlineStr">
        <is>
          <t/>
        </is>
      </c>
      <c r="BS273" s="79" t="inlineStr">
        <is>
          <t>Completed</t>
        </is>
      </c>
      <c r="BT273" s="80" t="n">
        <v>42962.0</v>
      </c>
      <c r="BU273" s="81" t="n">
        <v>4.23</v>
      </c>
      <c r="BV273" s="82" t="inlineStr">
        <is>
          <t>Actual</t>
        </is>
      </c>
      <c r="BW273" s="83" t="inlineStr">
        <is>
          <t/>
        </is>
      </c>
      <c r="BX273" s="84" t="inlineStr">
        <is>
          <t/>
        </is>
      </c>
      <c r="BY273" s="85" t="inlineStr">
        <is>
          <t>Seed Round</t>
        </is>
      </c>
      <c r="BZ273" s="86" t="inlineStr">
        <is>
          <t>Seed</t>
        </is>
      </c>
      <c r="CA273" s="87" t="inlineStr">
        <is>
          <t/>
        </is>
      </c>
      <c r="CB273" s="88" t="inlineStr">
        <is>
          <t>Venture Capital</t>
        </is>
      </c>
      <c r="CC273" s="89" t="inlineStr">
        <is>
          <t/>
        </is>
      </c>
      <c r="CD273" s="90" t="inlineStr">
        <is>
          <t/>
        </is>
      </c>
      <c r="CE273" s="91" t="inlineStr">
        <is>
          <t/>
        </is>
      </c>
      <c r="CF273" s="92" t="inlineStr">
        <is>
          <t>Completed</t>
        </is>
      </c>
      <c r="CG273" s="93" t="inlineStr">
        <is>
          <t>2,53%</t>
        </is>
      </c>
      <c r="CH273" s="94" t="inlineStr">
        <is>
          <t>95</t>
        </is>
      </c>
      <c r="CI273" s="95" t="inlineStr">
        <is>
          <t>0,05%</t>
        </is>
      </c>
      <c r="CJ273" s="96" t="inlineStr">
        <is>
          <t>2,17%</t>
        </is>
      </c>
      <c r="CK273" s="97" t="inlineStr">
        <is>
          <t>4,06%</t>
        </is>
      </c>
      <c r="CL273" s="98" t="inlineStr">
        <is>
          <t>95</t>
        </is>
      </c>
      <c r="CM273" s="99" t="inlineStr">
        <is>
          <t>1,00%</t>
        </is>
      </c>
      <c r="CN273" s="100" t="inlineStr">
        <is>
          <t>96</t>
        </is>
      </c>
      <c r="CO273" s="101" t="inlineStr">
        <is>
          <t>5,10%</t>
        </is>
      </c>
      <c r="CP273" s="102" t="inlineStr">
        <is>
          <t>96</t>
        </is>
      </c>
      <c r="CQ273" s="103" t="inlineStr">
        <is>
          <t>3,01%</t>
        </is>
      </c>
      <c r="CR273" s="104" t="inlineStr">
        <is>
          <t>93</t>
        </is>
      </c>
      <c r="CS273" s="105" t="inlineStr">
        <is>
          <t>0,90%</t>
        </is>
      </c>
      <c r="CT273" s="106" t="inlineStr">
        <is>
          <t>94</t>
        </is>
      </c>
      <c r="CU273" s="107" t="inlineStr">
        <is>
          <t>1,09%</t>
        </is>
      </c>
      <c r="CV273" s="108" t="inlineStr">
        <is>
          <t>97</t>
        </is>
      </c>
      <c r="CW273" s="109" t="inlineStr">
        <is>
          <t>3,98x</t>
        </is>
      </c>
      <c r="CX273" s="110" t="inlineStr">
        <is>
          <t>76</t>
        </is>
      </c>
      <c r="CY273" s="111" t="inlineStr">
        <is>
          <t>0,08x</t>
        </is>
      </c>
      <c r="CZ273" s="112" t="inlineStr">
        <is>
          <t>2,15%</t>
        </is>
      </c>
      <c r="DA273" s="113" t="inlineStr">
        <is>
          <t>4,17x</t>
        </is>
      </c>
      <c r="DB273" s="114" t="inlineStr">
        <is>
          <t>78</t>
        </is>
      </c>
      <c r="DC273" s="115" t="inlineStr">
        <is>
          <t>3,78x</t>
        </is>
      </c>
      <c r="DD273" s="116" t="inlineStr">
        <is>
          <t>72</t>
        </is>
      </c>
      <c r="DE273" s="117" t="inlineStr">
        <is>
          <t>4,23x</t>
        </is>
      </c>
      <c r="DF273" s="118" t="inlineStr">
        <is>
          <t>74</t>
        </is>
      </c>
      <c r="DG273" s="119" t="inlineStr">
        <is>
          <t>4,11x</t>
        </is>
      </c>
      <c r="DH273" s="120" t="inlineStr">
        <is>
          <t>76</t>
        </is>
      </c>
      <c r="DI273" s="121" t="inlineStr">
        <is>
          <t>2,66x</t>
        </is>
      </c>
      <c r="DJ273" s="122" t="inlineStr">
        <is>
          <t>66</t>
        </is>
      </c>
      <c r="DK273" s="123" t="inlineStr">
        <is>
          <t>4,91x</t>
        </is>
      </c>
      <c r="DL273" s="124" t="inlineStr">
        <is>
          <t>78</t>
        </is>
      </c>
      <c r="DM273" s="125" t="inlineStr">
        <is>
          <t>2.559</t>
        </is>
      </c>
      <c r="DN273" s="126" t="inlineStr">
        <is>
          <t>126</t>
        </is>
      </c>
      <c r="DO273" s="127" t="inlineStr">
        <is>
          <t>5,18%</t>
        </is>
      </c>
      <c r="DP273" s="128" t="inlineStr">
        <is>
          <t>2.115</t>
        </is>
      </c>
      <c r="DQ273" s="129" t="inlineStr">
        <is>
          <t>3</t>
        </is>
      </c>
      <c r="DR273" s="130" t="inlineStr">
        <is>
          <t>0,14%</t>
        </is>
      </c>
      <c r="DS273" s="131" t="inlineStr">
        <is>
          <t>148</t>
        </is>
      </c>
      <c r="DT273" s="132" t="inlineStr">
        <is>
          <t>3</t>
        </is>
      </c>
      <c r="DU273" s="133" t="inlineStr">
        <is>
          <t>2,07%</t>
        </is>
      </c>
      <c r="DV273" s="134" t="inlineStr">
        <is>
          <t>1.672</t>
        </is>
      </c>
      <c r="DW273" s="135" t="inlineStr">
        <is>
          <t>16</t>
        </is>
      </c>
      <c r="DX273" s="136" t="inlineStr">
        <is>
          <t>0,97%</t>
        </is>
      </c>
      <c r="DY273" s="137" t="inlineStr">
        <is>
          <t>PitchBook Research</t>
        </is>
      </c>
      <c r="DZ273" s="785">
        <f>HYPERLINK("https://my.pitchbook.com?c=166354-57", "View company online")</f>
      </c>
    </row>
    <row r="274">
      <c r="A274" s="139" t="inlineStr">
        <is>
          <t>107480-98</t>
        </is>
      </c>
      <c r="B274" s="140" t="inlineStr">
        <is>
          <t>Lilium</t>
        </is>
      </c>
      <c r="C274" s="141" t="inlineStr">
        <is>
          <t/>
        </is>
      </c>
      <c r="D274" s="142" t="inlineStr">
        <is>
          <t/>
        </is>
      </c>
      <c r="E274" s="143" t="inlineStr">
        <is>
          <t>107480-98</t>
        </is>
      </c>
      <c r="F274" s="144" t="inlineStr">
        <is>
          <t>Provider of on-demand air transportation services designed to help people fly anywhere and anytime. The company's on-demand air transportation services include convenient daily flight for underdeveloped regions with poor road infrastructure as well as the developed world with traffic congestion and sprawl, providing users with efficient and environmentally friendly means of transportation.</t>
        </is>
      </c>
      <c r="G274" s="145" t="inlineStr">
        <is>
          <t>Consumer Products and Services (B2C)</t>
        </is>
      </c>
      <c r="H274" s="146" t="inlineStr">
        <is>
          <t>Transportation</t>
        </is>
      </c>
      <c r="I274" s="147" t="inlineStr">
        <is>
          <t>Air</t>
        </is>
      </c>
      <c r="J274" s="148" t="inlineStr">
        <is>
          <t>Air*; Air</t>
        </is>
      </c>
      <c r="K274" s="149" t="inlineStr">
        <is>
          <t>Manufacturing</t>
        </is>
      </c>
      <c r="L274" s="150" t="inlineStr">
        <is>
          <t>Venture Capital-Backed</t>
        </is>
      </c>
      <c r="M274" s="151" t="n">
        <v>87.01</v>
      </c>
      <c r="N274" s="152" t="inlineStr">
        <is>
          <t>Startup</t>
        </is>
      </c>
      <c r="O274" s="153" t="inlineStr">
        <is>
          <t>Privately Held (backing)</t>
        </is>
      </c>
      <c r="P274" s="154" t="inlineStr">
        <is>
          <t>Venture Capital</t>
        </is>
      </c>
      <c r="Q274" s="155" t="inlineStr">
        <is>
          <t>www.lilium.com</t>
        </is>
      </c>
      <c r="R274" s="156" t="n">
        <v>70.0</v>
      </c>
      <c r="S274" s="157" t="inlineStr">
        <is>
          <t/>
        </is>
      </c>
      <c r="T274" s="158" t="inlineStr">
        <is>
          <t/>
        </is>
      </c>
      <c r="U274" s="159" t="n">
        <v>2014.0</v>
      </c>
      <c r="V274" s="160" t="inlineStr">
        <is>
          <t/>
        </is>
      </c>
      <c r="W274" s="161" t="inlineStr">
        <is>
          <t/>
        </is>
      </c>
      <c r="X274" s="162" t="inlineStr">
        <is>
          <r>
            <rPr>
              <b/>
              <color rgb="ff26854d"/>
              <rFont val="Arial"/>
              <sz val="8.0"/>
            </rPr>
            <t>Deal</t>
          </r>
          <r>
            <rPr>
              <color rgb="ff707070"/>
              <rFont val="Arial"/>
              <sz val="7.0"/>
            </rPr>
            <t xml:space="preserve"> NEW  </t>
          </r>
          <r>
            <rPr>
              <color rgb="ff000000"/>
              <rFont val="Arial"/>
              <sz val="8.0"/>
            </rPr>
            <t>Early Stage VC (Series B), 2017</t>
          </r>
          <r>
            <rPr>
              <color rgb="ff707070"/>
              <rFont val="Arial"/>
              <sz val="7.0"/>
            </rPr>
            <t xml:space="preserve"> Completed</t>
          </r>
          <r>
            <rPr>
              <color rgb="ff000000"/>
              <rFont val="Arial"/>
              <sz val="8.0"/>
            </rPr>
            <t xml:space="preserve">
</t>
          </r>
          <r>
            <rPr>
              <b/>
              <color rgb="ff26854d"/>
              <rFont val="Arial"/>
              <sz val="8.0"/>
            </rPr>
            <t>People</t>
          </r>
          <r>
            <rPr>
              <color rgb="ff707070"/>
              <rFont val="Arial"/>
              <sz val="7.0"/>
            </rPr>
            <t xml:space="preserve"> NEW  </t>
          </r>
          <r>
            <rPr>
              <color rgb="ff000000"/>
              <rFont val="Arial"/>
              <sz val="8.0"/>
            </rPr>
            <t>Matthias Meiner, Co-Founder &amp; Head of Flight Control</t>
          </r>
          <r>
            <rPr>
              <color rgb="ff000000"/>
              <rFont val="Arial"/>
              <sz val="8.0"/>
            </rPr>
            <t xml:space="preserve">
</t>
          </r>
          <r>
            <rPr>
              <b/>
              <color rgb="ff26854d"/>
              <rFont val="Arial"/>
              <sz val="8.0"/>
            </rPr>
            <t>People</t>
          </r>
          <r>
            <rPr>
              <color rgb="ff707070"/>
              <rFont val="Arial"/>
              <sz val="7.0"/>
            </rPr>
            <t xml:space="preserve"> NEW  </t>
          </r>
          <r>
            <rPr>
              <color rgb="ff000000"/>
              <rFont val="Arial"/>
              <sz val="8.0"/>
            </rPr>
            <t>Patrick Nathen, Co-Founder &amp; Head of Calculation &amp; Design</t>
          </r>
          <r>
            <rPr>
              <color rgb="ff000000"/>
              <rFont val="Arial"/>
              <sz val="8.0"/>
            </rPr>
            <t xml:space="preserve">
</t>
          </r>
          <r>
            <rPr>
              <b/>
              <color rgb="ff26854d"/>
              <rFont val="Arial"/>
              <sz val="8.0"/>
            </rPr>
            <t>People</t>
          </r>
          <r>
            <rPr>
              <color rgb="ff707070"/>
              <rFont val="Arial"/>
              <sz val="7.0"/>
            </rPr>
            <t xml:space="preserve"> NEW  </t>
          </r>
          <r>
            <rPr>
              <color rgb="ff000000"/>
              <rFont val="Arial"/>
              <sz val="8.0"/>
            </rPr>
            <t>Sebastian Born, Co-Founder &amp; Head of Mechanical Engineering</t>
          </r>
          <r>
            <rPr>
              <color rgb="ff000000"/>
              <rFont val="Arial"/>
              <sz val="8.0"/>
            </rPr>
            <t xml:space="preserve">
</t>
          </r>
          <r>
            <rPr>
              <b/>
              <color rgb="ff26854d"/>
              <rFont val="Arial"/>
              <sz val="8.0"/>
            </rPr>
            <t>Promotion</t>
          </r>
          <r>
            <rPr>
              <color rgb="ff707070"/>
              <rFont val="Arial"/>
              <sz val="7.0"/>
            </rPr>
            <t xml:space="preserve"> NEW  </t>
          </r>
          <r>
            <rPr>
              <color rgb="ff000000"/>
              <rFont val="Arial"/>
              <sz val="8.0"/>
            </rPr>
            <t>Daniel Wiegand, Co-Founder, Managing Director &amp; Chief Executive Officer</t>
          </r>
        </is>
      </c>
      <c r="Y274" s="163" t="inlineStr">
        <is>
          <t/>
        </is>
      </c>
      <c r="Z274" s="164" t="inlineStr">
        <is>
          <t/>
        </is>
      </c>
      <c r="AA274" s="165" t="inlineStr">
        <is>
          <t/>
        </is>
      </c>
      <c r="AB274" s="166" t="inlineStr">
        <is>
          <t/>
        </is>
      </c>
      <c r="AC274" s="167" t="inlineStr">
        <is>
          <t/>
        </is>
      </c>
      <c r="AD274" s="168" t="inlineStr">
        <is>
          <t/>
        </is>
      </c>
      <c r="AE274" s="169" t="inlineStr">
        <is>
          <t>91608-40P</t>
        </is>
      </c>
      <c r="AF274" s="170" t="inlineStr">
        <is>
          <t>Matthias Meiner</t>
        </is>
      </c>
      <c r="AG274" s="171" t="inlineStr">
        <is>
          <t>Co-Founder &amp; Head of Flight Control</t>
        </is>
      </c>
      <c r="AH274" s="172" t="inlineStr">
        <is>
          <t>meiner@lilium-aviation.com</t>
        </is>
      </c>
      <c r="AI274" s="173" t="inlineStr">
        <is>
          <t>+49 (0)15 1253 8867 6</t>
        </is>
      </c>
      <c r="AJ274" s="174" t="inlineStr">
        <is>
          <t>Gilching, Germany</t>
        </is>
      </c>
      <c r="AK274" s="175" t="inlineStr">
        <is>
          <t>Friedrichshafener Straße 1</t>
        </is>
      </c>
      <c r="AL274" s="176" t="inlineStr">
        <is>
          <t/>
        </is>
      </c>
      <c r="AM274" s="177" t="inlineStr">
        <is>
          <t>Gilching</t>
        </is>
      </c>
      <c r="AN274" s="178" t="inlineStr">
        <is>
          <t/>
        </is>
      </c>
      <c r="AO274" s="179" t="inlineStr">
        <is>
          <t>82205</t>
        </is>
      </c>
      <c r="AP274" s="180" t="inlineStr">
        <is>
          <t>Germany</t>
        </is>
      </c>
      <c r="AQ274" s="181" t="inlineStr">
        <is>
          <t>+49 (0)15 1253 8867 6</t>
        </is>
      </c>
      <c r="AR274" s="182" t="inlineStr">
        <is>
          <t/>
        </is>
      </c>
      <c r="AS274" s="183" t="inlineStr">
        <is>
          <t>info@lilium-aviation.com</t>
        </is>
      </c>
      <c r="AT274" s="184" t="inlineStr">
        <is>
          <t>Europe</t>
        </is>
      </c>
      <c r="AU274" s="185" t="inlineStr">
        <is>
          <t>Western Europe</t>
        </is>
      </c>
      <c r="AV274" s="186" t="inlineStr">
        <is>
          <t>The company raised $90 million of Series B venture funding from lead investor Tencent on September 5, 2017. Atomico, Obvious Ventures and LGT Group also participated in this round. The investment will be used for the development of the five-seat Lilium Jet that will fly commercially, as well as to grow the company's current team of more than 70. Previously, the company raised $11.4 million of Series A venture funding in a deal led by Atomico on December 5, 2016.</t>
        </is>
      </c>
      <c r="AW274" s="187" t="inlineStr">
        <is>
          <t>Alexander Asseily, Atomico, Climate-KIC, e24, e42 Ventures, ESA Business Incubation Centre Bavaria, European Space Agency, Hello Tomorrow, LGT Group, Obvious Ventures, Tencent, UnternehmerTUM</t>
        </is>
      </c>
      <c r="AX274" s="188" t="n">
        <v>12.0</v>
      </c>
      <c r="AY274" s="189" t="inlineStr">
        <is>
          <t/>
        </is>
      </c>
      <c r="AZ274" s="190" t="inlineStr">
        <is>
          <t/>
        </is>
      </c>
      <c r="BA274" s="191" t="inlineStr">
        <is>
          <t/>
        </is>
      </c>
      <c r="BB274" s="192" t="inlineStr">
        <is>
          <t>Atomico (www.atomico.com), Climate-KIC (www.climate-kic.org), e24 (www.e-24.ch), e42 Ventures (www.e42.com), ESA Business Incubation Centre Bavaria (www.esa-bic.de), European Space Agency (www.esa.int), Hello Tomorrow (www.challenge.hello-tomorrow.org), LGT Group (www.lgt.com), Obvious Ventures (www.obvious.com), Tencent (www.tencent.com), UnternehmerTUM (www.unternehmertum.de)</t>
        </is>
      </c>
      <c r="BC274" s="193" t="inlineStr">
        <is>
          <t/>
        </is>
      </c>
      <c r="BD274" s="194" t="inlineStr">
        <is>
          <t/>
        </is>
      </c>
      <c r="BE274" s="195" t="inlineStr">
        <is>
          <t/>
        </is>
      </c>
      <c r="BF274" s="196" t="inlineStr">
        <is>
          <t/>
        </is>
      </c>
      <c r="BG274" s="197" t="n">
        <v>42036.0</v>
      </c>
      <c r="BH274" s="198" t="inlineStr">
        <is>
          <t/>
        </is>
      </c>
      <c r="BI274" s="199" t="inlineStr">
        <is>
          <t/>
        </is>
      </c>
      <c r="BJ274" s="200" t="inlineStr">
        <is>
          <t/>
        </is>
      </c>
      <c r="BK274" s="201" t="inlineStr">
        <is>
          <t/>
        </is>
      </c>
      <c r="BL274" s="202" t="inlineStr">
        <is>
          <t>Accelerator/Incubator</t>
        </is>
      </c>
      <c r="BM274" s="203" t="inlineStr">
        <is>
          <t/>
        </is>
      </c>
      <c r="BN274" s="204" t="inlineStr">
        <is>
          <t/>
        </is>
      </c>
      <c r="BO274" s="205" t="inlineStr">
        <is>
          <t>Other</t>
        </is>
      </c>
      <c r="BP274" s="206" t="inlineStr">
        <is>
          <t/>
        </is>
      </c>
      <c r="BQ274" s="207" t="inlineStr">
        <is>
          <t/>
        </is>
      </c>
      <c r="BR274" s="208" t="inlineStr">
        <is>
          <t/>
        </is>
      </c>
      <c r="BS274" s="209" t="inlineStr">
        <is>
          <t>Completed</t>
        </is>
      </c>
      <c r="BT274" s="210" t="n">
        <v>42983.0</v>
      </c>
      <c r="BU274" s="211" t="n">
        <v>76.19</v>
      </c>
      <c r="BV274" s="212" t="inlineStr">
        <is>
          <t>Actual</t>
        </is>
      </c>
      <c r="BW274" s="213" t="inlineStr">
        <is>
          <t/>
        </is>
      </c>
      <c r="BX274" s="214" t="inlineStr">
        <is>
          <t/>
        </is>
      </c>
      <c r="BY274" s="215" t="inlineStr">
        <is>
          <t>Early Stage VC</t>
        </is>
      </c>
      <c r="BZ274" s="216" t="inlineStr">
        <is>
          <t>Series B</t>
        </is>
      </c>
      <c r="CA274" s="217" t="inlineStr">
        <is>
          <t/>
        </is>
      </c>
      <c r="CB274" s="218" t="inlineStr">
        <is>
          <t>Venture Capital</t>
        </is>
      </c>
      <c r="CC274" s="219" t="inlineStr">
        <is>
          <t/>
        </is>
      </c>
      <c r="CD274" s="220" t="inlineStr">
        <is>
          <t/>
        </is>
      </c>
      <c r="CE274" s="221" t="inlineStr">
        <is>
          <t/>
        </is>
      </c>
      <c r="CF274" s="222" t="inlineStr">
        <is>
          <t>Completed</t>
        </is>
      </c>
      <c r="CG274" s="223" t="inlineStr">
        <is>
          <t>1,70%</t>
        </is>
      </c>
      <c r="CH274" s="224" t="inlineStr">
        <is>
          <t>92</t>
        </is>
      </c>
      <c r="CI274" s="225" t="inlineStr">
        <is>
          <t>0,04%</t>
        </is>
      </c>
      <c r="CJ274" s="226" t="inlineStr">
        <is>
          <t>2,61%</t>
        </is>
      </c>
      <c r="CK274" s="227" t="inlineStr">
        <is>
          <t>2,09%</t>
        </is>
      </c>
      <c r="CL274" s="228" t="inlineStr">
        <is>
          <t>91</t>
        </is>
      </c>
      <c r="CM274" s="229" t="inlineStr">
        <is>
          <t>1,31%</t>
        </is>
      </c>
      <c r="CN274" s="230" t="inlineStr">
        <is>
          <t>97</t>
        </is>
      </c>
      <c r="CO274" s="231" t="inlineStr">
        <is>
          <t>2,09%</t>
        </is>
      </c>
      <c r="CP274" s="232" t="inlineStr">
        <is>
          <t>89</t>
        </is>
      </c>
      <c r="CQ274" s="233" t="inlineStr">
        <is>
          <t/>
        </is>
      </c>
      <c r="CR274" s="234" t="inlineStr">
        <is>
          <t/>
        </is>
      </c>
      <c r="CS274" s="235" t="inlineStr">
        <is>
          <t/>
        </is>
      </c>
      <c r="CT274" s="236" t="inlineStr">
        <is>
          <t/>
        </is>
      </c>
      <c r="CU274" s="237" t="inlineStr">
        <is>
          <t>1,31%</t>
        </is>
      </c>
      <c r="CV274" s="238" t="inlineStr">
        <is>
          <t>98</t>
        </is>
      </c>
      <c r="CW274" s="239" t="inlineStr">
        <is>
          <t>23,54x</t>
        </is>
      </c>
      <c r="CX274" s="240" t="inlineStr">
        <is>
          <t>93</t>
        </is>
      </c>
      <c r="CY274" s="241" t="inlineStr">
        <is>
          <t>0,01x</t>
        </is>
      </c>
      <c r="CZ274" s="242" t="inlineStr">
        <is>
          <t>0,06%</t>
        </is>
      </c>
      <c r="DA274" s="243" t="inlineStr">
        <is>
          <t>46,68x</t>
        </is>
      </c>
      <c r="DB274" s="244" t="inlineStr">
        <is>
          <t>96</t>
        </is>
      </c>
      <c r="DC274" s="245" t="inlineStr">
        <is>
          <t>0,40x</t>
        </is>
      </c>
      <c r="DD274" s="246" t="inlineStr">
        <is>
          <t>32</t>
        </is>
      </c>
      <c r="DE274" s="247" t="inlineStr">
        <is>
          <t>46,68x</t>
        </is>
      </c>
      <c r="DF274" s="248" t="inlineStr">
        <is>
          <t>93</t>
        </is>
      </c>
      <c r="DG274" s="249" t="inlineStr">
        <is>
          <t/>
        </is>
      </c>
      <c r="DH274" s="250" t="inlineStr">
        <is>
          <t/>
        </is>
      </c>
      <c r="DI274" s="251" t="inlineStr">
        <is>
          <t/>
        </is>
      </c>
      <c r="DJ274" s="252" t="inlineStr">
        <is>
          <t/>
        </is>
      </c>
      <c r="DK274" s="253" t="inlineStr">
        <is>
          <t>0,40x</t>
        </is>
      </c>
      <c r="DL274" s="254" t="inlineStr">
        <is>
          <t>35</t>
        </is>
      </c>
      <c r="DM274" s="255" t="inlineStr">
        <is>
          <t>28.001</t>
        </is>
      </c>
      <c r="DN274" s="256" t="inlineStr">
        <is>
          <t>2.128</t>
        </is>
      </c>
      <c r="DO274" s="257" t="inlineStr">
        <is>
          <t>8,22%</t>
        </is>
      </c>
      <c r="DP274" s="258" t="inlineStr">
        <is>
          <t/>
        </is>
      </c>
      <c r="DQ274" s="259" t="inlineStr">
        <is>
          <t/>
        </is>
      </c>
      <c r="DR274" s="260" t="inlineStr">
        <is>
          <t/>
        </is>
      </c>
      <c r="DS274" s="261" t="inlineStr">
        <is>
          <t/>
        </is>
      </c>
      <c r="DT274" s="262" t="inlineStr">
        <is>
          <t/>
        </is>
      </c>
      <c r="DU274" s="263" t="inlineStr">
        <is>
          <t/>
        </is>
      </c>
      <c r="DV274" s="264" t="inlineStr">
        <is>
          <t>132</t>
        </is>
      </c>
      <c r="DW274" s="265" t="inlineStr">
        <is>
          <t>2</t>
        </is>
      </c>
      <c r="DX274" s="266" t="inlineStr">
        <is>
          <t>1,54%</t>
        </is>
      </c>
      <c r="DY274" s="267" t="inlineStr">
        <is>
          <t>PitchBook Research</t>
        </is>
      </c>
      <c r="DZ274" s="786">
        <f>HYPERLINK("https://my.pitchbook.com?c=107480-98", "View company online")</f>
      </c>
    </row>
    <row r="275">
      <c r="A275" s="9" t="inlineStr">
        <is>
          <t>99404-11</t>
        </is>
      </c>
      <c r="B275" s="10" t="inlineStr">
        <is>
          <t>Limejump</t>
        </is>
      </c>
      <c r="C275" s="11" t="inlineStr">
        <is>
          <t/>
        </is>
      </c>
      <c r="D275" s="12" t="inlineStr">
        <is>
          <t/>
        </is>
      </c>
      <c r="E275" s="13" t="inlineStr">
        <is>
          <t>99404-11</t>
        </is>
      </c>
      <c r="F275" s="14" t="inlineStr">
        <is>
          <t>Developer of an energy management platform designed to provide smart, simple and transparent access to energy markets. The company's software connects smart meters, smart control devices, weather data, relevant market prices and market mechanisms as well as integrates batteries and a mixture of other assets in its Virtual Power Plant to take advantage of price arbitrage, ancillary services and real-time optimization opportunities, enabling businesses to regulate and manage their electricity usage and on-site generation.</t>
        </is>
      </c>
      <c r="G275" s="15" t="inlineStr">
        <is>
          <t>Information Technology</t>
        </is>
      </c>
      <c r="H275" s="16" t="inlineStr">
        <is>
          <t>Software</t>
        </is>
      </c>
      <c r="I275" s="17" t="inlineStr">
        <is>
          <t>Business/Productivity Software</t>
        </is>
      </c>
      <c r="J275" s="18" t="inlineStr">
        <is>
          <t>Business/Productivity Software*; Other Energy Services</t>
        </is>
      </c>
      <c r="K275" s="19" t="inlineStr">
        <is>
          <t>Artificial Intelligence &amp; Machine Learning, Big Data, SaaS</t>
        </is>
      </c>
      <c r="L275" s="20" t="inlineStr">
        <is>
          <t>Venture Capital-Backed</t>
        </is>
      </c>
      <c r="M275" s="21" t="n">
        <v>7.18</v>
      </c>
      <c r="N275" s="22" t="inlineStr">
        <is>
          <t>Generating Revenue</t>
        </is>
      </c>
      <c r="O275" s="23" t="inlineStr">
        <is>
          <t>Privately Held (backing)</t>
        </is>
      </c>
      <c r="P275" s="24" t="inlineStr">
        <is>
          <t>Venture Capital</t>
        </is>
      </c>
      <c r="Q275" s="25" t="inlineStr">
        <is>
          <t>www.limejump.com</t>
        </is>
      </c>
      <c r="R275" s="26" t="n">
        <v>11.0</v>
      </c>
      <c r="S275" s="27" t="inlineStr">
        <is>
          <t/>
        </is>
      </c>
      <c r="T275" s="28" t="inlineStr">
        <is>
          <t/>
        </is>
      </c>
      <c r="U275" s="29" t="n">
        <v>2012.0</v>
      </c>
      <c r="V275" s="30" t="inlineStr">
        <is>
          <t/>
        </is>
      </c>
      <c r="W275" s="31" t="inlineStr">
        <is>
          <t/>
        </is>
      </c>
      <c r="X275" s="32" t="inlineStr">
        <is>
          <t/>
        </is>
      </c>
      <c r="Y275" s="33" t="inlineStr">
        <is>
          <t/>
        </is>
      </c>
      <c r="Z275" s="34" t="inlineStr">
        <is>
          <t/>
        </is>
      </c>
      <c r="AA275" s="35" t="inlineStr">
        <is>
          <t/>
        </is>
      </c>
      <c r="AB275" s="36" t="inlineStr">
        <is>
          <t/>
        </is>
      </c>
      <c r="AC275" s="37" t="inlineStr">
        <is>
          <t/>
        </is>
      </c>
      <c r="AD275" s="38" t="inlineStr">
        <is>
          <t/>
        </is>
      </c>
      <c r="AE275" s="39" t="inlineStr">
        <is>
          <t>100672-66P</t>
        </is>
      </c>
      <c r="AF275" s="40" t="inlineStr">
        <is>
          <t>Erik Nygard</t>
        </is>
      </c>
      <c r="AG275" s="41" t="inlineStr">
        <is>
          <t>Co-Founder and Chief Executive Officer</t>
        </is>
      </c>
      <c r="AH275" s="42" t="inlineStr">
        <is>
          <t>erik.nygard@limejump.com</t>
        </is>
      </c>
      <c r="AI275" s="43" t="inlineStr">
        <is>
          <t>+44 (0)20 8396 6848</t>
        </is>
      </c>
      <c r="AJ275" s="44" t="inlineStr">
        <is>
          <t>London, United Kingdom</t>
        </is>
      </c>
      <c r="AK275" s="45" t="inlineStr">
        <is>
          <t>Elizabeth House</t>
        </is>
      </c>
      <c r="AL275" s="46" t="inlineStr">
        <is>
          <t>39 York Road</t>
        </is>
      </c>
      <c r="AM275" s="47" t="inlineStr">
        <is>
          <t>London</t>
        </is>
      </c>
      <c r="AN275" s="48" t="inlineStr">
        <is>
          <t>England</t>
        </is>
      </c>
      <c r="AO275" s="49" t="inlineStr">
        <is>
          <t>SE1 7NQ</t>
        </is>
      </c>
      <c r="AP275" s="50" t="inlineStr">
        <is>
          <t>United Kingdom</t>
        </is>
      </c>
      <c r="AQ275" s="51" t="inlineStr">
        <is>
          <t>+44 (0)20 8396 6848</t>
        </is>
      </c>
      <c r="AR275" s="52" t="inlineStr">
        <is>
          <t/>
        </is>
      </c>
      <c r="AS275" s="53" t="inlineStr">
        <is>
          <t>info@limejump.com</t>
        </is>
      </c>
      <c r="AT275" s="54" t="inlineStr">
        <is>
          <t>Europe</t>
        </is>
      </c>
      <c r="AU275" s="55" t="inlineStr">
        <is>
          <t>Western Europe</t>
        </is>
      </c>
      <c r="AV275" s="56" t="inlineStr">
        <is>
          <t>The company raised GBP 2.84 million of Series A venture funding in a deal led by Statkraft Ventures on July 26, 2017, putting the pre-money valuation at GBP 10 million. Passion Capital and Angel CoFund also participated in the round. The funds will be used to scale the company's customer base and further commercialize its Virtual Power Plant technology. Previously, the company raised GBP 1.47 million of venture funding from undisclosed investors on November 15, 2016, putting the pre-money valuation at GBP 6.89 million.</t>
        </is>
      </c>
      <c r="AW275" s="57" t="inlineStr">
        <is>
          <t>Angel CoFund, JamJar Investments, Passion Capital, Statkraft Ventures</t>
        </is>
      </c>
      <c r="AX275" s="58" t="n">
        <v>4.0</v>
      </c>
      <c r="AY275" s="59" t="inlineStr">
        <is>
          <t/>
        </is>
      </c>
      <c r="AZ275" s="60" t="inlineStr">
        <is>
          <t/>
        </is>
      </c>
      <c r="BA275" s="61" t="inlineStr">
        <is>
          <t/>
        </is>
      </c>
      <c r="BB275" s="62" t="inlineStr">
        <is>
          <t>Angel CoFund (www.angelcofund.co.uk), JamJar Investments (www.jamjarinvestments.com), Passion Capital (www.passioncapital.com), Statkraft Ventures (www.statkraftventures.com)</t>
        </is>
      </c>
      <c r="BC275" s="63" t="inlineStr">
        <is>
          <t/>
        </is>
      </c>
      <c r="BD275" s="64" t="inlineStr">
        <is>
          <t/>
        </is>
      </c>
      <c r="BE275" s="65" t="inlineStr">
        <is>
          <t/>
        </is>
      </c>
      <c r="BF275" s="66" t="inlineStr">
        <is>
          <t/>
        </is>
      </c>
      <c r="BG275" s="67" t="n">
        <v>41736.0</v>
      </c>
      <c r="BH275" s="68" t="n">
        <v>0.41</v>
      </c>
      <c r="BI275" s="69" t="inlineStr">
        <is>
          <t>Actual</t>
        </is>
      </c>
      <c r="BJ275" s="70" t="n">
        <v>1.12</v>
      </c>
      <c r="BK275" s="71" t="inlineStr">
        <is>
          <t>Actual</t>
        </is>
      </c>
      <c r="BL275" s="72" t="inlineStr">
        <is>
          <t>Early Stage VC</t>
        </is>
      </c>
      <c r="BM275" s="73" t="inlineStr">
        <is>
          <t/>
        </is>
      </c>
      <c r="BN275" s="74" t="inlineStr">
        <is>
          <t/>
        </is>
      </c>
      <c r="BO275" s="75" t="inlineStr">
        <is>
          <t>Venture Capital</t>
        </is>
      </c>
      <c r="BP275" s="76" t="inlineStr">
        <is>
          <t/>
        </is>
      </c>
      <c r="BQ275" s="77" t="inlineStr">
        <is>
          <t/>
        </is>
      </c>
      <c r="BR275" s="78" t="inlineStr">
        <is>
          <t/>
        </is>
      </c>
      <c r="BS275" s="79" t="inlineStr">
        <is>
          <t>Completed</t>
        </is>
      </c>
      <c r="BT275" s="80" t="n">
        <v>42942.0</v>
      </c>
      <c r="BU275" s="81" t="n">
        <v>3.2</v>
      </c>
      <c r="BV275" s="82" t="inlineStr">
        <is>
          <t>Actual</t>
        </is>
      </c>
      <c r="BW275" s="83" t="n">
        <v>14.54</v>
      </c>
      <c r="BX275" s="84" t="inlineStr">
        <is>
          <t>Actual</t>
        </is>
      </c>
      <c r="BY275" s="85" t="inlineStr">
        <is>
          <t>Early Stage VC</t>
        </is>
      </c>
      <c r="BZ275" s="86" t="inlineStr">
        <is>
          <t>Series A</t>
        </is>
      </c>
      <c r="CA275" s="87" t="inlineStr">
        <is>
          <t/>
        </is>
      </c>
      <c r="CB275" s="88" t="inlineStr">
        <is>
          <t>Venture Capital</t>
        </is>
      </c>
      <c r="CC275" s="89" t="inlineStr">
        <is>
          <t/>
        </is>
      </c>
      <c r="CD275" s="90" t="inlineStr">
        <is>
          <t/>
        </is>
      </c>
      <c r="CE275" s="91" t="inlineStr">
        <is>
          <t/>
        </is>
      </c>
      <c r="CF275" s="92" t="inlineStr">
        <is>
          <t>Completed</t>
        </is>
      </c>
      <c r="CG275" s="93" t="inlineStr">
        <is>
          <t>1,17%</t>
        </is>
      </c>
      <c r="CH275" s="94" t="inlineStr">
        <is>
          <t>90</t>
        </is>
      </c>
      <c r="CI275" s="95" t="inlineStr">
        <is>
          <t>-0,01%</t>
        </is>
      </c>
      <c r="CJ275" s="96" t="inlineStr">
        <is>
          <t>-0,59%</t>
        </is>
      </c>
      <c r="CK275" s="97" t="inlineStr">
        <is>
          <t>2,07%</t>
        </is>
      </c>
      <c r="CL275" s="98" t="inlineStr">
        <is>
          <t>91</t>
        </is>
      </c>
      <c r="CM275" s="99" t="inlineStr">
        <is>
          <t>0,28%</t>
        </is>
      </c>
      <c r="CN275" s="100" t="inlineStr">
        <is>
          <t>80</t>
        </is>
      </c>
      <c r="CO275" s="101" t="inlineStr">
        <is>
          <t>4,14%</t>
        </is>
      </c>
      <c r="CP275" s="102" t="inlineStr">
        <is>
          <t>95</t>
        </is>
      </c>
      <c r="CQ275" s="103" t="inlineStr">
        <is>
          <t>0,00%</t>
        </is>
      </c>
      <c r="CR275" s="104" t="inlineStr">
        <is>
          <t>13</t>
        </is>
      </c>
      <c r="CS275" s="105" t="inlineStr">
        <is>
          <t>0,00%</t>
        </is>
      </c>
      <c r="CT275" s="106" t="inlineStr">
        <is>
          <t>18</t>
        </is>
      </c>
      <c r="CU275" s="107" t="inlineStr">
        <is>
          <t>0,56%</t>
        </is>
      </c>
      <c r="CV275" s="108" t="inlineStr">
        <is>
          <t>93</t>
        </is>
      </c>
      <c r="CW275" s="109" t="inlineStr">
        <is>
          <t>2,07x</t>
        </is>
      </c>
      <c r="CX275" s="110" t="inlineStr">
        <is>
          <t>65</t>
        </is>
      </c>
      <c r="CY275" s="111" t="inlineStr">
        <is>
          <t>0,01x</t>
        </is>
      </c>
      <c r="CZ275" s="112" t="inlineStr">
        <is>
          <t>0,40%</t>
        </is>
      </c>
      <c r="DA275" s="113" t="inlineStr">
        <is>
          <t>2,72x</t>
        </is>
      </c>
      <c r="DB275" s="114" t="inlineStr">
        <is>
          <t>72</t>
        </is>
      </c>
      <c r="DC275" s="115" t="inlineStr">
        <is>
          <t>1,42x</t>
        </is>
      </c>
      <c r="DD275" s="116" t="inlineStr">
        <is>
          <t>55</t>
        </is>
      </c>
      <c r="DE275" s="117" t="inlineStr">
        <is>
          <t>3,52x</t>
        </is>
      </c>
      <c r="DF275" s="118" t="inlineStr">
        <is>
          <t>72</t>
        </is>
      </c>
      <c r="DG275" s="119" t="inlineStr">
        <is>
          <t>1,92x</t>
        </is>
      </c>
      <c r="DH275" s="120" t="inlineStr">
        <is>
          <t>63</t>
        </is>
      </c>
      <c r="DI275" s="121" t="inlineStr">
        <is>
          <t>0,02x</t>
        </is>
      </c>
      <c r="DJ275" s="122" t="inlineStr">
        <is>
          <t>4</t>
        </is>
      </c>
      <c r="DK275" s="123" t="inlineStr">
        <is>
          <t>2,81x</t>
        </is>
      </c>
      <c r="DL275" s="124" t="inlineStr">
        <is>
          <t>69</t>
        </is>
      </c>
      <c r="DM275" s="125" t="inlineStr">
        <is>
          <t>2.072</t>
        </is>
      </c>
      <c r="DN275" s="126" t="inlineStr">
        <is>
          <t>275</t>
        </is>
      </c>
      <c r="DO275" s="127" t="inlineStr">
        <is>
          <t>15,30%</t>
        </is>
      </c>
      <c r="DP275" s="128" t="inlineStr">
        <is>
          <t>17</t>
        </is>
      </c>
      <c r="DQ275" s="129" t="inlineStr">
        <is>
          <t>0</t>
        </is>
      </c>
      <c r="DR275" s="130" t="inlineStr">
        <is>
          <t>0,00%</t>
        </is>
      </c>
      <c r="DS275" s="131" t="inlineStr">
        <is>
          <t>70</t>
        </is>
      </c>
      <c r="DT275" s="132" t="inlineStr">
        <is>
          <t>-2</t>
        </is>
      </c>
      <c r="DU275" s="133" t="inlineStr">
        <is>
          <t>-2,78%</t>
        </is>
      </c>
      <c r="DV275" s="134" t="inlineStr">
        <is>
          <t>963</t>
        </is>
      </c>
      <c r="DW275" s="135" t="inlineStr">
        <is>
          <t>1</t>
        </is>
      </c>
      <c r="DX275" s="136" t="inlineStr">
        <is>
          <t>0,10%</t>
        </is>
      </c>
      <c r="DY275" s="137" t="inlineStr">
        <is>
          <t>PitchBook Research</t>
        </is>
      </c>
      <c r="DZ275" s="785">
        <f>HYPERLINK("https://my.pitchbook.com?c=99404-11", "View company online")</f>
      </c>
    </row>
    <row r="276">
      <c r="A276" s="139" t="inlineStr">
        <is>
          <t>57648-97</t>
        </is>
      </c>
      <c r="B276" s="140" t="inlineStr">
        <is>
          <t>Lingoda</t>
        </is>
      </c>
      <c r="C276" s="141" t="inlineStr">
        <is>
          <t/>
        </is>
      </c>
      <c r="D276" s="142" t="inlineStr">
        <is>
          <t/>
        </is>
      </c>
      <c r="E276" s="143" t="inlineStr">
        <is>
          <t>57648-97</t>
        </is>
      </c>
      <c r="F276" s="144" t="inlineStr">
        <is>
          <t>Provider of online English language courses. The company offers interactive tasks, group courses and one-on-one teaching via video conferences to students. It charges monthly fee and provides live group classes, interactive learning materials, personal adviser and certificate.</t>
        </is>
      </c>
      <c r="G276" s="145" t="inlineStr">
        <is>
          <t>Consumer Products and Services (B2C)</t>
        </is>
      </c>
      <c r="H276" s="146" t="inlineStr">
        <is>
          <t>Services (Non-Financial)</t>
        </is>
      </c>
      <c r="I276" s="147" t="inlineStr">
        <is>
          <t>Educational and Training Services (B2C)</t>
        </is>
      </c>
      <c r="J276" s="148" t="inlineStr">
        <is>
          <t>Educational and Training Services (B2C)*; Other Services (B2C Non-Financial)</t>
        </is>
      </c>
      <c r="K276" s="149" t="inlineStr">
        <is>
          <t>EdTech</t>
        </is>
      </c>
      <c r="L276" s="150" t="inlineStr">
        <is>
          <t>Venture Capital-Backed</t>
        </is>
      </c>
      <c r="M276" s="151" t="n">
        <v>6.2</v>
      </c>
      <c r="N276" s="152" t="inlineStr">
        <is>
          <t>Startup</t>
        </is>
      </c>
      <c r="O276" s="153" t="inlineStr">
        <is>
          <t>Privately Held (backing)</t>
        </is>
      </c>
      <c r="P276" s="154" t="inlineStr">
        <is>
          <t>Venture Capital</t>
        </is>
      </c>
      <c r="Q276" s="155" t="inlineStr">
        <is>
          <t>www.lingoda.com</t>
        </is>
      </c>
      <c r="R276" s="156" t="n">
        <v>17.0</v>
      </c>
      <c r="S276" s="157" t="inlineStr">
        <is>
          <t/>
        </is>
      </c>
      <c r="T276" s="158" t="inlineStr">
        <is>
          <t/>
        </is>
      </c>
      <c r="U276" s="159" t="n">
        <v>2012.0</v>
      </c>
      <c r="V276" s="160" t="inlineStr">
        <is>
          <t/>
        </is>
      </c>
      <c r="W276" s="161" t="inlineStr">
        <is>
          <t/>
        </is>
      </c>
      <c r="X276" s="162" t="inlineStr">
        <is>
          <t/>
        </is>
      </c>
      <c r="Y276" s="163" t="inlineStr">
        <is>
          <t/>
        </is>
      </c>
      <c r="Z276" s="164" t="inlineStr">
        <is>
          <t/>
        </is>
      </c>
      <c r="AA276" s="165" t="inlineStr">
        <is>
          <t/>
        </is>
      </c>
      <c r="AB276" s="166" t="inlineStr">
        <is>
          <t/>
        </is>
      </c>
      <c r="AC276" s="167" t="inlineStr">
        <is>
          <t/>
        </is>
      </c>
      <c r="AD276" s="168" t="inlineStr">
        <is>
          <t/>
        </is>
      </c>
      <c r="AE276" s="169" t="inlineStr">
        <is>
          <t>53249-68P</t>
        </is>
      </c>
      <c r="AF276" s="170" t="inlineStr">
        <is>
          <t>Fabian Wunderlich</t>
        </is>
      </c>
      <c r="AG276" s="171" t="inlineStr">
        <is>
          <t>Managing Director &amp; Co-Founder</t>
        </is>
      </c>
      <c r="AH276" s="172" t="inlineStr">
        <is>
          <t>fabian.wunderlich@lingoda.com</t>
        </is>
      </c>
      <c r="AI276" s="173" t="inlineStr">
        <is>
          <t>+49 (0)30 9190 7195</t>
        </is>
      </c>
      <c r="AJ276" s="174" t="inlineStr">
        <is>
          <t>Berlin, Germany</t>
        </is>
      </c>
      <c r="AK276" s="175" t="inlineStr">
        <is>
          <t>Charlottenstraße 18</t>
        </is>
      </c>
      <c r="AL276" s="176" t="inlineStr">
        <is>
          <t/>
        </is>
      </c>
      <c r="AM276" s="177" t="inlineStr">
        <is>
          <t>Berlin</t>
        </is>
      </c>
      <c r="AN276" s="178" t="inlineStr">
        <is>
          <t/>
        </is>
      </c>
      <c r="AO276" s="179" t="inlineStr">
        <is>
          <t>10117</t>
        </is>
      </c>
      <c r="AP276" s="180" t="inlineStr">
        <is>
          <t>Germany</t>
        </is>
      </c>
      <c r="AQ276" s="181" t="inlineStr">
        <is>
          <t>+49 (0)30 9190 7195</t>
        </is>
      </c>
      <c r="AR276" s="182" t="inlineStr">
        <is>
          <t/>
        </is>
      </c>
      <c r="AS276" s="183" t="inlineStr">
        <is>
          <t>contact@lingoda.com</t>
        </is>
      </c>
      <c r="AT276" s="184" t="inlineStr">
        <is>
          <t>Europe</t>
        </is>
      </c>
      <c r="AU276" s="185" t="inlineStr">
        <is>
          <t>Western Europe</t>
        </is>
      </c>
      <c r="AV276" s="186" t="inlineStr">
        <is>
          <t>The company raised EUR 3.7 million of venture funding from lead investor Grazia Equity on March 2016. Mountain Partners and German Startups Group also participated. The company will use the funding to further strengthen its growth and market.</t>
        </is>
      </c>
      <c r="AW276" s="187" t="inlineStr">
        <is>
          <t>Avala Capital, Dr. Oetker, Erik Byrenius, Fugger, German Startups Group, Global Founders Capital, Grazia Equity, HOWZAT Partners, Monkfish Equity, Mountain Partners</t>
        </is>
      </c>
      <c r="AX276" s="188" t="n">
        <v>10.0</v>
      </c>
      <c r="AY276" s="189" t="inlineStr">
        <is>
          <t/>
        </is>
      </c>
      <c r="AZ276" s="190" t="inlineStr">
        <is>
          <t/>
        </is>
      </c>
      <c r="BA276" s="191" t="inlineStr">
        <is>
          <t/>
        </is>
      </c>
      <c r="BB276" s="192" t="inlineStr">
        <is>
          <t>Avala Capital (www.avalacapital.com), Dr. Oetker (www.oetker.com), German Startups Group (www.german-startups.com), Global Founders Capital (www.globalfounders.vc), Grazia Equity (www.grazia.com), HOWZAT Partners (www.howzatpartners.com), Monkfish Equity (www.monkfish-equity.com)</t>
        </is>
      </c>
      <c r="BC276" s="193" t="inlineStr">
        <is>
          <t/>
        </is>
      </c>
      <c r="BD276" s="194" t="inlineStr">
        <is>
          <t/>
        </is>
      </c>
      <c r="BE276" s="195" t="inlineStr">
        <is>
          <t/>
        </is>
      </c>
      <c r="BF276" s="196" t="inlineStr">
        <is>
          <t/>
        </is>
      </c>
      <c r="BG276" s="197" t="n">
        <v>41449.0</v>
      </c>
      <c r="BH276" s="198" t="inlineStr">
        <is>
          <t/>
        </is>
      </c>
      <c r="BI276" s="199" t="inlineStr">
        <is>
          <t/>
        </is>
      </c>
      <c r="BJ276" s="200" t="inlineStr">
        <is>
          <t/>
        </is>
      </c>
      <c r="BK276" s="201" t="inlineStr">
        <is>
          <t/>
        </is>
      </c>
      <c r="BL276" s="202" t="inlineStr">
        <is>
          <t>Early Stage VC</t>
        </is>
      </c>
      <c r="BM276" s="203" t="inlineStr">
        <is>
          <t/>
        </is>
      </c>
      <c r="BN276" s="204" t="inlineStr">
        <is>
          <t/>
        </is>
      </c>
      <c r="BO276" s="205" t="inlineStr">
        <is>
          <t>Venture Capital</t>
        </is>
      </c>
      <c r="BP276" s="206" t="inlineStr">
        <is>
          <t/>
        </is>
      </c>
      <c r="BQ276" s="207" t="inlineStr">
        <is>
          <t/>
        </is>
      </c>
      <c r="BR276" s="208" t="inlineStr">
        <is>
          <t/>
        </is>
      </c>
      <c r="BS276" s="209" t="inlineStr">
        <is>
          <t>Completed</t>
        </is>
      </c>
      <c r="BT276" s="210" t="n">
        <v>42430.0</v>
      </c>
      <c r="BU276" s="211" t="n">
        <v>3.7</v>
      </c>
      <c r="BV276" s="212" t="inlineStr">
        <is>
          <t>Actual</t>
        </is>
      </c>
      <c r="BW276" s="213" t="inlineStr">
        <is>
          <t/>
        </is>
      </c>
      <c r="BX276" s="214" t="inlineStr">
        <is>
          <t/>
        </is>
      </c>
      <c r="BY276" s="215" t="inlineStr">
        <is>
          <t>Early Stage VC</t>
        </is>
      </c>
      <c r="BZ276" s="216" t="inlineStr">
        <is>
          <t/>
        </is>
      </c>
      <c r="CA276" s="217" t="inlineStr">
        <is>
          <t/>
        </is>
      </c>
      <c r="CB276" s="218" t="inlineStr">
        <is>
          <t>Venture Capital</t>
        </is>
      </c>
      <c r="CC276" s="219" t="inlineStr">
        <is>
          <t/>
        </is>
      </c>
      <c r="CD276" s="220" t="inlineStr">
        <is>
          <t/>
        </is>
      </c>
      <c r="CE276" s="221" t="inlineStr">
        <is>
          <t/>
        </is>
      </c>
      <c r="CF276" s="222" t="inlineStr">
        <is>
          <t>Completed</t>
        </is>
      </c>
      <c r="CG276" s="223" t="inlineStr">
        <is>
          <t>2,27%</t>
        </is>
      </c>
      <c r="CH276" s="224" t="inlineStr">
        <is>
          <t>94</t>
        </is>
      </c>
      <c r="CI276" s="225" t="inlineStr">
        <is>
          <t>0,20%</t>
        </is>
      </c>
      <c r="CJ276" s="226" t="inlineStr">
        <is>
          <t>9,84%</t>
        </is>
      </c>
      <c r="CK276" s="227" t="inlineStr">
        <is>
          <t>4,13%</t>
        </is>
      </c>
      <c r="CL276" s="228" t="inlineStr">
        <is>
          <t>95</t>
        </is>
      </c>
      <c r="CM276" s="229" t="inlineStr">
        <is>
          <t>0,41%</t>
        </is>
      </c>
      <c r="CN276" s="230" t="inlineStr">
        <is>
          <t>87</t>
        </is>
      </c>
      <c r="CO276" s="231" t="inlineStr">
        <is>
          <t>4,40%</t>
        </is>
      </c>
      <c r="CP276" s="232" t="inlineStr">
        <is>
          <t>95</t>
        </is>
      </c>
      <c r="CQ276" s="233" t="inlineStr">
        <is>
          <t>3,86%</t>
        </is>
      </c>
      <c r="CR276" s="234" t="inlineStr">
        <is>
          <t>94</t>
        </is>
      </c>
      <c r="CS276" s="235" t="inlineStr">
        <is>
          <t>0,15%</t>
        </is>
      </c>
      <c r="CT276" s="236" t="inlineStr">
        <is>
          <t>65</t>
        </is>
      </c>
      <c r="CU276" s="237" t="inlineStr">
        <is>
          <t>0,67%</t>
        </is>
      </c>
      <c r="CV276" s="238" t="inlineStr">
        <is>
          <t>94</t>
        </is>
      </c>
      <c r="CW276" s="239" t="inlineStr">
        <is>
          <t>92,35x</t>
        </is>
      </c>
      <c r="CX276" s="240" t="inlineStr">
        <is>
          <t>97</t>
        </is>
      </c>
      <c r="CY276" s="241" t="inlineStr">
        <is>
          <t>0,91x</t>
        </is>
      </c>
      <c r="CZ276" s="242" t="inlineStr">
        <is>
          <t>1,00%</t>
        </is>
      </c>
      <c r="DA276" s="243" t="inlineStr">
        <is>
          <t>126,98x</t>
        </is>
      </c>
      <c r="DB276" s="244" t="inlineStr">
        <is>
          <t>98</t>
        </is>
      </c>
      <c r="DC276" s="245" t="inlineStr">
        <is>
          <t>57,73x</t>
        </is>
      </c>
      <c r="DD276" s="246" t="inlineStr">
        <is>
          <t>95</t>
        </is>
      </c>
      <c r="DE276" s="247" t="inlineStr">
        <is>
          <t>241,52x</t>
        </is>
      </c>
      <c r="DF276" s="248" t="inlineStr">
        <is>
          <t>98</t>
        </is>
      </c>
      <c r="DG276" s="249" t="inlineStr">
        <is>
          <t>12,44x</t>
        </is>
      </c>
      <c r="DH276" s="250" t="inlineStr">
        <is>
          <t>89</t>
        </is>
      </c>
      <c r="DI276" s="251" t="inlineStr">
        <is>
          <t>113,31x</t>
        </is>
      </c>
      <c r="DJ276" s="252" t="inlineStr">
        <is>
          <t>96</t>
        </is>
      </c>
      <c r="DK276" s="253" t="inlineStr">
        <is>
          <t>2,15x</t>
        </is>
      </c>
      <c r="DL276" s="254" t="inlineStr">
        <is>
          <t>64</t>
        </is>
      </c>
      <c r="DM276" s="255" t="inlineStr">
        <is>
          <t>147.433</t>
        </is>
      </c>
      <c r="DN276" s="256" t="inlineStr">
        <is>
          <t>3.306</t>
        </is>
      </c>
      <c r="DO276" s="257" t="inlineStr">
        <is>
          <t>2,29%</t>
        </is>
      </c>
      <c r="DP276" s="258" t="inlineStr">
        <is>
          <t>90.472</t>
        </is>
      </c>
      <c r="DQ276" s="259" t="inlineStr">
        <is>
          <t>138</t>
        </is>
      </c>
      <c r="DR276" s="260" t="inlineStr">
        <is>
          <t>0,15%</t>
        </is>
      </c>
      <c r="DS276" s="261" t="inlineStr">
        <is>
          <t>436</t>
        </is>
      </c>
      <c r="DT276" s="262" t="inlineStr">
        <is>
          <t>28</t>
        </is>
      </c>
      <c r="DU276" s="263" t="inlineStr">
        <is>
          <t>6,86%</t>
        </is>
      </c>
      <c r="DV276" s="264" t="inlineStr">
        <is>
          <t>735</t>
        </is>
      </c>
      <c r="DW276" s="265" t="inlineStr">
        <is>
          <t>5</t>
        </is>
      </c>
      <c r="DX276" s="266" t="inlineStr">
        <is>
          <t>0,68%</t>
        </is>
      </c>
      <c r="DY276" s="267" t="inlineStr">
        <is>
          <t>PitchBook Research</t>
        </is>
      </c>
      <c r="DZ276" s="786">
        <f>HYPERLINK("https://my.pitchbook.com?c=57648-97", "View company online")</f>
      </c>
    </row>
    <row r="277">
      <c r="A277" s="9" t="inlineStr">
        <is>
          <t>62192-08</t>
        </is>
      </c>
      <c r="B277" s="10" t="inlineStr">
        <is>
          <t>Lingvist</t>
        </is>
      </c>
      <c r="C277" s="11" t="inlineStr">
        <is>
          <t/>
        </is>
      </c>
      <c r="D277" s="12" t="inlineStr">
        <is>
          <t/>
        </is>
      </c>
      <c r="E277" s="13" t="inlineStr">
        <is>
          <t>62192-08</t>
        </is>
      </c>
      <c r="F277" s="14" t="inlineStr">
        <is>
          <t>Provider of a language-learning platform designed to help people learn languages through e-learning tools. The company's language-learning platform provides language learning acceleration by mathematical modelling and statistical analysis, providing users with the capacity to better express and understand each other.</t>
        </is>
      </c>
      <c r="G277" s="15" t="inlineStr">
        <is>
          <t>Information Technology</t>
        </is>
      </c>
      <c r="H277" s="16" t="inlineStr">
        <is>
          <t>Software</t>
        </is>
      </c>
      <c r="I277" s="17" t="inlineStr">
        <is>
          <t>Educational Software</t>
        </is>
      </c>
      <c r="J277" s="18" t="inlineStr">
        <is>
          <t>Educational Software*; Educational and Training Services (B2C); Application Software; Communication Software</t>
        </is>
      </c>
      <c r="K277" s="19" t="inlineStr">
        <is>
          <t>EdTech, Mobile, SaaS</t>
        </is>
      </c>
      <c r="L277" s="20" t="inlineStr">
        <is>
          <t>Venture Capital-Backed</t>
        </is>
      </c>
      <c r="M277" s="21" t="n">
        <v>8.51</v>
      </c>
      <c r="N277" s="22" t="inlineStr">
        <is>
          <t>Generating Revenue</t>
        </is>
      </c>
      <c r="O277" s="23" t="inlineStr">
        <is>
          <t>Privately Held (backing)</t>
        </is>
      </c>
      <c r="P277" s="24" t="inlineStr">
        <is>
          <t>Venture Capital</t>
        </is>
      </c>
      <c r="Q277" s="25" t="inlineStr">
        <is>
          <t>www.lingvist.com</t>
        </is>
      </c>
      <c r="R277" s="26" t="n">
        <v>25.0</v>
      </c>
      <c r="S277" s="27" t="inlineStr">
        <is>
          <t/>
        </is>
      </c>
      <c r="T277" s="28" t="inlineStr">
        <is>
          <t/>
        </is>
      </c>
      <c r="U277" s="29" t="n">
        <v>2013.0</v>
      </c>
      <c r="V277" s="30" t="inlineStr">
        <is>
          <t/>
        </is>
      </c>
      <c r="W277" s="31" t="inlineStr">
        <is>
          <t/>
        </is>
      </c>
      <c r="X277" s="32" t="inlineStr">
        <is>
          <t/>
        </is>
      </c>
      <c r="Y277" s="33" t="inlineStr">
        <is>
          <t/>
        </is>
      </c>
      <c r="Z277" s="34" t="inlineStr">
        <is>
          <t/>
        </is>
      </c>
      <c r="AA277" s="35" t="inlineStr">
        <is>
          <t/>
        </is>
      </c>
      <c r="AB277" s="36" t="inlineStr">
        <is>
          <t/>
        </is>
      </c>
      <c r="AC277" s="37" t="inlineStr">
        <is>
          <t/>
        </is>
      </c>
      <c r="AD277" s="38" t="inlineStr">
        <is>
          <t/>
        </is>
      </c>
      <c r="AE277" s="39" t="inlineStr">
        <is>
          <t>64236-97P</t>
        </is>
      </c>
      <c r="AF277" s="40" t="inlineStr">
        <is>
          <t>Mait Muntel</t>
        </is>
      </c>
      <c r="AG277" s="41" t="inlineStr">
        <is>
          <t>Co-Founder &amp; Chief Executive Officer</t>
        </is>
      </c>
      <c r="AH277" s="42" t="inlineStr">
        <is>
          <t>mait@lingvist.io</t>
        </is>
      </c>
      <c r="AI277" s="43" t="inlineStr">
        <is>
          <t/>
        </is>
      </c>
      <c r="AJ277" s="44" t="inlineStr">
        <is>
          <t>Tallinn, Estonia</t>
        </is>
      </c>
      <c r="AK277" s="45" t="inlineStr">
        <is>
          <t>Veerenni 24</t>
        </is>
      </c>
      <c r="AL277" s="46" t="inlineStr">
        <is>
          <t/>
        </is>
      </c>
      <c r="AM277" s="47" t="inlineStr">
        <is>
          <t>Tallinn</t>
        </is>
      </c>
      <c r="AN277" s="48" t="inlineStr">
        <is>
          <t/>
        </is>
      </c>
      <c r="AO277" s="49" t="inlineStr">
        <is>
          <t>10135</t>
        </is>
      </c>
      <c r="AP277" s="50" t="inlineStr">
        <is>
          <t>Estonia</t>
        </is>
      </c>
      <c r="AQ277" s="51" t="inlineStr">
        <is>
          <t/>
        </is>
      </c>
      <c r="AR277" s="52" t="inlineStr">
        <is>
          <t/>
        </is>
      </c>
      <c r="AS277" s="53" t="inlineStr">
        <is>
          <t>hello@lingvist.io</t>
        </is>
      </c>
      <c r="AT277" s="54" t="inlineStr">
        <is>
          <t>Europe</t>
        </is>
      </c>
      <c r="AU277" s="55" t="inlineStr">
        <is>
          <t>Northern Europe</t>
        </is>
      </c>
      <c r="AV277" s="56" t="inlineStr">
        <is>
          <t>The company raised $8 million of Series A venture funding in a deal led by Rakuten on November 10, 2015. Smartcap, Inventure, HardGamma Ventures, Jaan Tallinn, Indrek Kasela and Geoff Prentice also participated in this round. Prior to that, the company received $1.6 million of grant funding from Horizon 2020 on March 1, 2015.</t>
        </is>
      </c>
      <c r="AW277" s="57" t="inlineStr">
        <is>
          <t>Geoff Prentice, HardGamma Ventures, Horizon 2020, Incubator Tallinn, Individual Investor, Indrek Kasela, Inventure, Jaan Tallinn, Prototron, Rakuten, SmartCap, Techstars</t>
        </is>
      </c>
      <c r="AX277" s="58" t="n">
        <v>12.0</v>
      </c>
      <c r="AY277" s="59" t="inlineStr">
        <is>
          <t/>
        </is>
      </c>
      <c r="AZ277" s="60" t="inlineStr">
        <is>
          <t/>
        </is>
      </c>
      <c r="BA277" s="61" t="inlineStr">
        <is>
          <t/>
        </is>
      </c>
      <c r="BB277" s="62" t="inlineStr">
        <is>
          <t>HardGamma Ventures (www.hardgamma.com), Incubator Tallinn (inkubaator.tallinn.ee), Inventure (www.inventure.fi), Prototron (www.prototron.ee), Rakuten (global.rakuten.com), SmartCap (www.smartcap.ee), Techstars (www.techstars.com)</t>
        </is>
      </c>
      <c r="BC277" s="63" t="inlineStr">
        <is>
          <t/>
        </is>
      </c>
      <c r="BD277" s="64" t="inlineStr">
        <is>
          <t/>
        </is>
      </c>
      <c r="BE277" s="65" t="inlineStr">
        <is>
          <t>LHV Group (General Business Banking), Skandinaviska Enskilda Banken (General Business Banking), Upscale UK (Consulting), Cooley (Legal Advisor), Eversheds International (Legal Advisor), Silicon Valley Bank (General Business Banking)</t>
        </is>
      </c>
      <c r="BF277" s="66" t="inlineStr">
        <is>
          <t>Cooley (Legal Advisor), Eversheds International (Legal Advisor)</t>
        </is>
      </c>
      <c r="BG277" s="67" t="n">
        <v>41380.0</v>
      </c>
      <c r="BH277" s="68" t="n">
        <v>0.01</v>
      </c>
      <c r="BI277" s="69" t="inlineStr">
        <is>
          <t>Actual</t>
        </is>
      </c>
      <c r="BJ277" s="70" t="inlineStr">
        <is>
          <t/>
        </is>
      </c>
      <c r="BK277" s="71" t="inlineStr">
        <is>
          <t/>
        </is>
      </c>
      <c r="BL277" s="72" t="inlineStr">
        <is>
          <t>Grant</t>
        </is>
      </c>
      <c r="BM277" s="73" t="inlineStr">
        <is>
          <t/>
        </is>
      </c>
      <c r="BN277" s="74" t="inlineStr">
        <is>
          <t/>
        </is>
      </c>
      <c r="BO277" s="75" t="inlineStr">
        <is>
          <t>Other</t>
        </is>
      </c>
      <c r="BP277" s="76" t="inlineStr">
        <is>
          <t/>
        </is>
      </c>
      <c r="BQ277" s="77" t="inlineStr">
        <is>
          <t/>
        </is>
      </c>
      <c r="BR277" s="78" t="inlineStr">
        <is>
          <t/>
        </is>
      </c>
      <c r="BS277" s="79" t="inlineStr">
        <is>
          <t>Completed</t>
        </is>
      </c>
      <c r="BT277" s="80" t="n">
        <v>42318.0</v>
      </c>
      <c r="BU277" s="81" t="n">
        <v>7.44</v>
      </c>
      <c r="BV277" s="82" t="inlineStr">
        <is>
          <t>Actual</t>
        </is>
      </c>
      <c r="BW277" s="83" t="inlineStr">
        <is>
          <t/>
        </is>
      </c>
      <c r="BX277" s="84" t="inlineStr">
        <is>
          <t/>
        </is>
      </c>
      <c r="BY277" s="85" t="inlineStr">
        <is>
          <t>Early Stage VC</t>
        </is>
      </c>
      <c r="BZ277" s="86" t="inlineStr">
        <is>
          <t>Series A</t>
        </is>
      </c>
      <c r="CA277" s="87" t="inlineStr">
        <is>
          <t/>
        </is>
      </c>
      <c r="CB277" s="88" t="inlineStr">
        <is>
          <t>Venture Capital</t>
        </is>
      </c>
      <c r="CC277" s="89" t="inlineStr">
        <is>
          <t/>
        </is>
      </c>
      <c r="CD277" s="90" t="inlineStr">
        <is>
          <t/>
        </is>
      </c>
      <c r="CE277" s="91" t="inlineStr">
        <is>
          <t/>
        </is>
      </c>
      <c r="CF277" s="92" t="inlineStr">
        <is>
          <t>Completed</t>
        </is>
      </c>
      <c r="CG277" s="93" t="inlineStr">
        <is>
          <t>2,65%</t>
        </is>
      </c>
      <c r="CH277" s="94" t="inlineStr">
        <is>
          <t>95</t>
        </is>
      </c>
      <c r="CI277" s="95" t="inlineStr">
        <is>
          <t>-0,31%</t>
        </is>
      </c>
      <c r="CJ277" s="96" t="inlineStr">
        <is>
          <t>-10,38%</t>
        </is>
      </c>
      <c r="CK277" s="97" t="inlineStr">
        <is>
          <t>0,29%</t>
        </is>
      </c>
      <c r="CL277" s="98" t="inlineStr">
        <is>
          <t>82</t>
        </is>
      </c>
      <c r="CM277" s="99" t="inlineStr">
        <is>
          <t>0,95%</t>
        </is>
      </c>
      <c r="CN277" s="100" t="inlineStr">
        <is>
          <t>96</t>
        </is>
      </c>
      <c r="CO277" s="101" t="inlineStr">
        <is>
          <t>0,29%</t>
        </is>
      </c>
      <c r="CP277" s="102" t="inlineStr">
        <is>
          <t>80</t>
        </is>
      </c>
      <c r="CQ277" s="103" t="inlineStr">
        <is>
          <t/>
        </is>
      </c>
      <c r="CR277" s="104" t="inlineStr">
        <is>
          <t/>
        </is>
      </c>
      <c r="CS277" s="105" t="inlineStr">
        <is>
          <t>1,51%</t>
        </is>
      </c>
      <c r="CT277" s="106" t="inlineStr">
        <is>
          <t>97</t>
        </is>
      </c>
      <c r="CU277" s="107" t="inlineStr">
        <is>
          <t>0,39%</t>
        </is>
      </c>
      <c r="CV277" s="108" t="inlineStr">
        <is>
          <t>89</t>
        </is>
      </c>
      <c r="CW277" s="109" t="inlineStr">
        <is>
          <t>34,70x</t>
        </is>
      </c>
      <c r="CX277" s="110" t="inlineStr">
        <is>
          <t>94</t>
        </is>
      </c>
      <c r="CY277" s="111" t="inlineStr">
        <is>
          <t>0,27x</t>
        </is>
      </c>
      <c r="CZ277" s="112" t="inlineStr">
        <is>
          <t>0,80%</t>
        </is>
      </c>
      <c r="DA277" s="113" t="inlineStr">
        <is>
          <t>91,36x</t>
        </is>
      </c>
      <c r="DB277" s="114" t="inlineStr">
        <is>
          <t>98</t>
        </is>
      </c>
      <c r="DC277" s="115" t="inlineStr">
        <is>
          <t>8,54x</t>
        </is>
      </c>
      <c r="DD277" s="116" t="inlineStr">
        <is>
          <t>82</t>
        </is>
      </c>
      <c r="DE277" s="117" t="inlineStr">
        <is>
          <t>91,36x</t>
        </is>
      </c>
      <c r="DF277" s="118" t="inlineStr">
        <is>
          <t>96</t>
        </is>
      </c>
      <c r="DG277" s="119" t="inlineStr">
        <is>
          <t/>
        </is>
      </c>
      <c r="DH277" s="120" t="inlineStr">
        <is>
          <t/>
        </is>
      </c>
      <c r="DI277" s="121" t="inlineStr">
        <is>
          <t>11,72x</t>
        </is>
      </c>
      <c r="DJ277" s="122" t="inlineStr">
        <is>
          <t>83</t>
        </is>
      </c>
      <c r="DK277" s="123" t="inlineStr">
        <is>
          <t>5,37x</t>
        </is>
      </c>
      <c r="DL277" s="124" t="inlineStr">
        <is>
          <t>79</t>
        </is>
      </c>
      <c r="DM277" s="125" t="inlineStr">
        <is>
          <t>57.496</t>
        </is>
      </c>
      <c r="DN277" s="126" t="inlineStr">
        <is>
          <t>-3.933</t>
        </is>
      </c>
      <c r="DO277" s="127" t="inlineStr">
        <is>
          <t>-6,40%</t>
        </is>
      </c>
      <c r="DP277" s="128" t="inlineStr">
        <is>
          <t>9.251</t>
        </is>
      </c>
      <c r="DQ277" s="129" t="inlineStr">
        <is>
          <t>754</t>
        </is>
      </c>
      <c r="DR277" s="130" t="inlineStr">
        <is>
          <t>8,87%</t>
        </is>
      </c>
      <c r="DS277" s="131" t="inlineStr">
        <is>
          <t/>
        </is>
      </c>
      <c r="DT277" s="132" t="inlineStr">
        <is>
          <t/>
        </is>
      </c>
      <c r="DU277" s="133" t="inlineStr">
        <is>
          <t/>
        </is>
      </c>
      <c r="DV277" s="134" t="inlineStr">
        <is>
          <t>1.837</t>
        </is>
      </c>
      <c r="DW277" s="135" t="inlineStr">
        <is>
          <t>6</t>
        </is>
      </c>
      <c r="DX277" s="136" t="inlineStr">
        <is>
          <t>0,33%</t>
        </is>
      </c>
      <c r="DY277" s="137" t="inlineStr">
        <is>
          <t>PitchBook Research</t>
        </is>
      </c>
      <c r="DZ277" s="785">
        <f>HYPERLINK("https://my.pitchbook.com?c=62192-08", "View company online")</f>
      </c>
    </row>
    <row r="278">
      <c r="A278" s="139" t="inlineStr">
        <is>
          <t>178264-90</t>
        </is>
      </c>
      <c r="B278" s="140" t="inlineStr">
        <is>
          <t>Logtown Studios</t>
        </is>
      </c>
      <c r="C278" s="141" t="inlineStr">
        <is>
          <t/>
        </is>
      </c>
      <c r="D278" s="142" t="inlineStr">
        <is>
          <t/>
        </is>
      </c>
      <c r="E278" s="143" t="inlineStr">
        <is>
          <t>178264-90</t>
        </is>
      </c>
      <c r="F278" s="144" t="inlineStr">
        <is>
          <t>Provider of a gaming technology platform intended to develop virtual reality games. The company's gaming technology platform develops games which can be accessed through oculus touch and PlayStation VR, enabling users with an optimum quality gaming experience.</t>
        </is>
      </c>
      <c r="G278" s="145" t="inlineStr">
        <is>
          <t>Information Technology</t>
        </is>
      </c>
      <c r="H278" s="146" t="inlineStr">
        <is>
          <t>Software</t>
        </is>
      </c>
      <c r="I278" s="147" t="inlineStr">
        <is>
          <t>Entertainment Software</t>
        </is>
      </c>
      <c r="J278" s="148" t="inlineStr">
        <is>
          <t>Entertainment Software*; Movies, Music and Entertainment</t>
        </is>
      </c>
      <c r="K278" s="149" t="inlineStr">
        <is>
          <t>Virtual Reality</t>
        </is>
      </c>
      <c r="L278" s="150" t="inlineStr">
        <is>
          <t>Venture Capital-Backed</t>
        </is>
      </c>
      <c r="M278" s="151" t="n">
        <v>6.0</v>
      </c>
      <c r="N278" s="152" t="inlineStr">
        <is>
          <t>Generating Revenue</t>
        </is>
      </c>
      <c r="O278" s="153" t="inlineStr">
        <is>
          <t>Privately Held (backing)</t>
        </is>
      </c>
      <c r="P278" s="154" t="inlineStr">
        <is>
          <t>Venture Capital, M&amp;A</t>
        </is>
      </c>
      <c r="Q278" s="155" t="inlineStr">
        <is>
          <t>www.logtownstudios.com</t>
        </is>
      </c>
      <c r="R278" s="156" t="inlineStr">
        <is>
          <t/>
        </is>
      </c>
      <c r="S278" s="157" t="inlineStr">
        <is>
          <t/>
        </is>
      </c>
      <c r="T278" s="158" t="inlineStr">
        <is>
          <t/>
        </is>
      </c>
      <c r="U278" s="159" t="n">
        <v>2016.0</v>
      </c>
      <c r="V278" s="160" t="inlineStr">
        <is>
          <t/>
        </is>
      </c>
      <c r="W278" s="161" t="inlineStr">
        <is>
          <t/>
        </is>
      </c>
      <c r="X278" s="162" t="inlineStr">
        <is>
          <t/>
        </is>
      </c>
      <c r="Y278" s="163" t="inlineStr">
        <is>
          <t/>
        </is>
      </c>
      <c r="Z278" s="164" t="inlineStr">
        <is>
          <t/>
        </is>
      </c>
      <c r="AA278" s="165" t="inlineStr">
        <is>
          <t/>
        </is>
      </c>
      <c r="AB278" s="166" t="inlineStr">
        <is>
          <t/>
        </is>
      </c>
      <c r="AC278" s="167" t="inlineStr">
        <is>
          <t/>
        </is>
      </c>
      <c r="AD278" s="168" t="inlineStr">
        <is>
          <t/>
        </is>
      </c>
      <c r="AE278" s="169" t="inlineStr">
        <is>
          <t>161740-09P</t>
        </is>
      </c>
      <c r="AF278" s="170" t="inlineStr">
        <is>
          <t>Per Wahlfridsson</t>
        </is>
      </c>
      <c r="AG278" s="171" t="inlineStr">
        <is>
          <t>Chief Executive Officer &amp; Co-Founder</t>
        </is>
      </c>
      <c r="AH278" s="172" t="inlineStr">
        <is>
          <t>per.wahlfridsson@logtownstudios.com</t>
        </is>
      </c>
      <c r="AI278" s="173" t="inlineStr">
        <is>
          <t>+46 (0)46 70 87 76390</t>
        </is>
      </c>
      <c r="AJ278" s="174" t="inlineStr">
        <is>
          <t>Stockholm, Sweden</t>
        </is>
      </c>
      <c r="AK278" s="175" t="inlineStr">
        <is>
          <t>Tegelbacken 4a</t>
        </is>
      </c>
      <c r="AL278" s="176" t="inlineStr">
        <is>
          <t/>
        </is>
      </c>
      <c r="AM278" s="177" t="inlineStr">
        <is>
          <t>Stockholm</t>
        </is>
      </c>
      <c r="AN278" s="178" t="inlineStr">
        <is>
          <t/>
        </is>
      </c>
      <c r="AO278" s="179" t="inlineStr">
        <is>
          <t>111 52</t>
        </is>
      </c>
      <c r="AP278" s="180" t="inlineStr">
        <is>
          <t>Sweden</t>
        </is>
      </c>
      <c r="AQ278" s="181" t="inlineStr">
        <is>
          <t>+46 (0)46 70 87 76390</t>
        </is>
      </c>
      <c r="AR278" s="182" t="inlineStr">
        <is>
          <t/>
        </is>
      </c>
      <c r="AS278" s="183" t="inlineStr">
        <is>
          <t>info@logtownstudios.com</t>
        </is>
      </c>
      <c r="AT278" s="184" t="inlineStr">
        <is>
          <t>Europe</t>
        </is>
      </c>
      <c r="AU278" s="185" t="inlineStr">
        <is>
          <t>Northern Europe</t>
        </is>
      </c>
      <c r="AV278" s="186" t="inlineStr">
        <is>
          <t>The company raised SEK 6 million of venture funding from Alexander Björkman, Tomas Björkman and other undisclosed investors on February 23, 2017, putting the company's pre-money valuation at SEK 27 million. Previously, the company was formed as a joint venture between Svrvive, Daniel Nyberg, Alberto Amigo, Per Wahlfridsson and Jonas Malm in November 2016.</t>
        </is>
      </c>
      <c r="AW278" s="187" t="inlineStr">
        <is>
          <t>Alberto Amigo, Alexander Björkman, Daniel Nyberg, Svrvive, Tomas Björkman</t>
        </is>
      </c>
      <c r="AX278" s="188" t="n">
        <v>5.0</v>
      </c>
      <c r="AY278" s="189" t="inlineStr">
        <is>
          <t/>
        </is>
      </c>
      <c r="AZ278" s="190" t="inlineStr">
        <is>
          <t/>
        </is>
      </c>
      <c r="BA278" s="191" t="inlineStr">
        <is>
          <t/>
        </is>
      </c>
      <c r="BB278" s="192" t="inlineStr">
        <is>
          <t>Svrvive (www.svrvive.com)</t>
        </is>
      </c>
      <c r="BC278" s="193" t="inlineStr">
        <is>
          <t/>
        </is>
      </c>
      <c r="BD278" s="194" t="inlineStr">
        <is>
          <t/>
        </is>
      </c>
      <c r="BE278" s="195" t="inlineStr">
        <is>
          <t/>
        </is>
      </c>
      <c r="BF278" s="196" t="inlineStr">
        <is>
          <t/>
        </is>
      </c>
      <c r="BG278" s="197" t="n">
        <v>42675.0</v>
      </c>
      <c r="BH278" s="198" t="inlineStr">
        <is>
          <t/>
        </is>
      </c>
      <c r="BI278" s="199" t="inlineStr">
        <is>
          <t/>
        </is>
      </c>
      <c r="BJ278" s="200" t="inlineStr">
        <is>
          <t/>
        </is>
      </c>
      <c r="BK278" s="201" t="inlineStr">
        <is>
          <t/>
        </is>
      </c>
      <c r="BL278" s="202" t="inlineStr">
        <is>
          <t>Joint Venture</t>
        </is>
      </c>
      <c r="BM278" s="203" t="inlineStr">
        <is>
          <t/>
        </is>
      </c>
      <c r="BN278" s="204" t="inlineStr">
        <is>
          <t/>
        </is>
      </c>
      <c r="BO278" s="205" t="inlineStr">
        <is>
          <t>Other</t>
        </is>
      </c>
      <c r="BP278" s="206" t="inlineStr">
        <is>
          <t/>
        </is>
      </c>
      <c r="BQ278" s="207" t="inlineStr">
        <is>
          <t/>
        </is>
      </c>
      <c r="BR278" s="208" t="inlineStr">
        <is>
          <t/>
        </is>
      </c>
      <c r="BS278" s="209" t="inlineStr">
        <is>
          <t>Completed</t>
        </is>
      </c>
      <c r="BT278" s="210" t="n">
        <v>42789.0</v>
      </c>
      <c r="BU278" s="211" t="n">
        <v>6.0</v>
      </c>
      <c r="BV278" s="212" t="inlineStr">
        <is>
          <t>Actual</t>
        </is>
      </c>
      <c r="BW278" s="213" t="n">
        <v>33.0</v>
      </c>
      <c r="BX278" s="214" t="inlineStr">
        <is>
          <t>Actual</t>
        </is>
      </c>
      <c r="BY278" s="215" t="inlineStr">
        <is>
          <t>Early Stage VC</t>
        </is>
      </c>
      <c r="BZ278" s="216" t="inlineStr">
        <is>
          <t/>
        </is>
      </c>
      <c r="CA278" s="217" t="inlineStr">
        <is>
          <t/>
        </is>
      </c>
      <c r="CB278" s="218" t="inlineStr">
        <is>
          <t>Venture Capital</t>
        </is>
      </c>
      <c r="CC278" s="219" t="inlineStr">
        <is>
          <t/>
        </is>
      </c>
      <c r="CD278" s="220" t="inlineStr">
        <is>
          <t/>
        </is>
      </c>
      <c r="CE278" s="221" t="inlineStr">
        <is>
          <t/>
        </is>
      </c>
      <c r="CF278" s="222" t="inlineStr">
        <is>
          <t>Completed</t>
        </is>
      </c>
      <c r="CG278" s="223" t="inlineStr">
        <is>
          <t>1,08%</t>
        </is>
      </c>
      <c r="CH278" s="224" t="inlineStr">
        <is>
          <t>89</t>
        </is>
      </c>
      <c r="CI278" s="225" t="inlineStr">
        <is>
          <t>-0,04%</t>
        </is>
      </c>
      <c r="CJ278" s="226" t="inlineStr">
        <is>
          <t>-3,93%</t>
        </is>
      </c>
      <c r="CK278" s="227" t="inlineStr">
        <is>
          <t>0,00%</t>
        </is>
      </c>
      <c r="CL278" s="228" t="inlineStr">
        <is>
          <t>18</t>
        </is>
      </c>
      <c r="CM278" s="229" t="inlineStr">
        <is>
          <t>2,17%</t>
        </is>
      </c>
      <c r="CN278" s="230" t="inlineStr">
        <is>
          <t>99</t>
        </is>
      </c>
      <c r="CO278" s="231" t="inlineStr">
        <is>
          <t>0,00%</t>
        </is>
      </c>
      <c r="CP278" s="232" t="inlineStr">
        <is>
          <t>26</t>
        </is>
      </c>
      <c r="CQ278" s="233" t="inlineStr">
        <is>
          <t>0,00%</t>
        </is>
      </c>
      <c r="CR278" s="234" t="inlineStr">
        <is>
          <t>13</t>
        </is>
      </c>
      <c r="CS278" s="235" t="inlineStr">
        <is>
          <t>1,12%</t>
        </is>
      </c>
      <c r="CT278" s="236" t="inlineStr">
        <is>
          <t>95</t>
        </is>
      </c>
      <c r="CU278" s="237" t="inlineStr">
        <is>
          <t>3,22%</t>
        </is>
      </c>
      <c r="CV278" s="238" t="inlineStr">
        <is>
          <t>100</t>
        </is>
      </c>
      <c r="CW278" s="239" t="inlineStr">
        <is>
          <t>1,97x</t>
        </is>
      </c>
      <c r="CX278" s="240" t="inlineStr">
        <is>
          <t>64</t>
        </is>
      </c>
      <c r="CY278" s="241" t="inlineStr">
        <is>
          <t>0,38x</t>
        </is>
      </c>
      <c r="CZ278" s="242" t="inlineStr">
        <is>
          <t>23,92%</t>
        </is>
      </c>
      <c r="DA278" s="243" t="inlineStr">
        <is>
          <t>1,23x</t>
        </is>
      </c>
      <c r="DB278" s="244" t="inlineStr">
        <is>
          <t>56</t>
        </is>
      </c>
      <c r="DC278" s="245" t="inlineStr">
        <is>
          <t>2,71x</t>
        </is>
      </c>
      <c r="DD278" s="246" t="inlineStr">
        <is>
          <t>67</t>
        </is>
      </c>
      <c r="DE278" s="247" t="inlineStr">
        <is>
          <t>0,47x</t>
        </is>
      </c>
      <c r="DF278" s="248" t="inlineStr">
        <is>
          <t>35</t>
        </is>
      </c>
      <c r="DG278" s="249" t="inlineStr">
        <is>
          <t>2,00x</t>
        </is>
      </c>
      <c r="DH278" s="250" t="inlineStr">
        <is>
          <t>64</t>
        </is>
      </c>
      <c r="DI278" s="251" t="inlineStr">
        <is>
          <t>2,02x</t>
        </is>
      </c>
      <c r="DJ278" s="252" t="inlineStr">
        <is>
          <t>62</t>
        </is>
      </c>
      <c r="DK278" s="253" t="inlineStr">
        <is>
          <t>3,41x</t>
        </is>
      </c>
      <c r="DL278" s="254" t="inlineStr">
        <is>
          <t>72</t>
        </is>
      </c>
      <c r="DM278" s="255" t="inlineStr">
        <is>
          <t>280</t>
        </is>
      </c>
      <c r="DN278" s="256" t="inlineStr">
        <is>
          <t>20</t>
        </is>
      </c>
      <c r="DO278" s="257" t="inlineStr">
        <is>
          <t>7,69%</t>
        </is>
      </c>
      <c r="DP278" s="258" t="inlineStr">
        <is>
          <t>1.600</t>
        </is>
      </c>
      <c r="DQ278" s="259" t="inlineStr">
        <is>
          <t>91</t>
        </is>
      </c>
      <c r="DR278" s="260" t="inlineStr">
        <is>
          <t>6,03%</t>
        </is>
      </c>
      <c r="DS278" s="261" t="inlineStr">
        <is>
          <t>53</t>
        </is>
      </c>
      <c r="DT278" s="262" t="inlineStr">
        <is>
          <t>33</t>
        </is>
      </c>
      <c r="DU278" s="263" t="inlineStr">
        <is>
          <t>165,00%</t>
        </is>
      </c>
      <c r="DV278" s="264" t="inlineStr">
        <is>
          <t>1.163</t>
        </is>
      </c>
      <c r="DW278" s="265" t="inlineStr">
        <is>
          <t>53</t>
        </is>
      </c>
      <c r="DX278" s="266" t="inlineStr">
        <is>
          <t>4,77%</t>
        </is>
      </c>
      <c r="DY278" s="267" t="inlineStr">
        <is>
          <t>PitchBook Research</t>
        </is>
      </c>
      <c r="DZ278" s="786">
        <f>HYPERLINK("https://my.pitchbook.com?c=178264-90", "View company online")</f>
      </c>
    </row>
    <row r="279">
      <c r="A279" s="9" t="inlineStr">
        <is>
          <t>55938-70</t>
        </is>
      </c>
      <c r="B279" s="10" t="inlineStr">
        <is>
          <t>LoopMe</t>
        </is>
      </c>
      <c r="C279" s="11" t="inlineStr">
        <is>
          <t/>
        </is>
      </c>
      <c r="D279" s="12" t="inlineStr">
        <is>
          <t/>
        </is>
      </c>
      <c r="E279" s="13" t="inlineStr">
        <is>
          <t>55938-70</t>
        </is>
      </c>
      <c r="F279" s="14" t="inlineStr">
        <is>
          <t>Developer of a mobile video platform designed to improve mobile advertising for advertisers, publishers and end-users. The company's digital advertising platform is driven by Artificial Intelligence, employing algorithms that optimize ad placements in real-time and deliver provably better results and is complemented by its Data Management Platform, which underpins targeting and re-targeting through customizable audience segmentation, enabling the advertisers and publishers to improve the end-user experience as well as deliver better performance and results.</t>
        </is>
      </c>
      <c r="G279" s="15" t="inlineStr">
        <is>
          <t>Information Technology</t>
        </is>
      </c>
      <c r="H279" s="16" t="inlineStr">
        <is>
          <t>Software</t>
        </is>
      </c>
      <c r="I279" s="17" t="inlineStr">
        <is>
          <t>Business/Productivity Software</t>
        </is>
      </c>
      <c r="J279" s="18" t="inlineStr">
        <is>
          <t>Business/Productivity Software*; Media and Information Services (B2B); Application Software</t>
        </is>
      </c>
      <c r="K279" s="19" t="inlineStr">
        <is>
          <t>AdTech, Marketing Tech, Mobile</t>
        </is>
      </c>
      <c r="L279" s="20" t="inlineStr">
        <is>
          <t>Venture Capital-Backed</t>
        </is>
      </c>
      <c r="M279" s="21" t="n">
        <v>15.13</v>
      </c>
      <c r="N279" s="22" t="inlineStr">
        <is>
          <t>Profitable</t>
        </is>
      </c>
      <c r="O279" s="23" t="inlineStr">
        <is>
          <t>Privately Held (backing)</t>
        </is>
      </c>
      <c r="P279" s="24" t="inlineStr">
        <is>
          <t>Venture Capital</t>
        </is>
      </c>
      <c r="Q279" s="25" t="inlineStr">
        <is>
          <t>loopme.com</t>
        </is>
      </c>
      <c r="R279" s="26" t="n">
        <v>60.0</v>
      </c>
      <c r="S279" s="27" t="inlineStr">
        <is>
          <t/>
        </is>
      </c>
      <c r="T279" s="28" t="inlineStr">
        <is>
          <t/>
        </is>
      </c>
      <c r="U279" s="29" t="n">
        <v>2012.0</v>
      </c>
      <c r="V279" s="30" t="inlineStr">
        <is>
          <t/>
        </is>
      </c>
      <c r="W279" s="31" t="inlineStr">
        <is>
          <t/>
        </is>
      </c>
      <c r="X279" s="32" t="inlineStr">
        <is>
          <t/>
        </is>
      </c>
      <c r="Y279" s="33" t="n">
        <v>15.18693</v>
      </c>
      <c r="Z279" s="34" t="n">
        <v>6.23224</v>
      </c>
      <c r="AA279" s="35" t="n">
        <v>-2.07741</v>
      </c>
      <c r="AB279" s="36" t="inlineStr">
        <is>
          <t/>
        </is>
      </c>
      <c r="AC279" s="37" t="n">
        <v>-2.26713</v>
      </c>
      <c r="AD279" s="38" t="inlineStr">
        <is>
          <t>FY 2016</t>
        </is>
      </c>
      <c r="AE279" s="39" t="inlineStr">
        <is>
          <t>45970-03P</t>
        </is>
      </c>
      <c r="AF279" s="40" t="inlineStr">
        <is>
          <t>Stephen Upstone</t>
        </is>
      </c>
      <c r="AG279" s="41" t="inlineStr">
        <is>
          <t>Co-Founder, Board Member &amp; Chief Executive Officer</t>
        </is>
      </c>
      <c r="AH279" s="42" t="inlineStr">
        <is>
          <t>su@loopmemedia.com</t>
        </is>
      </c>
      <c r="AI279" s="43" t="inlineStr">
        <is>
          <t>+44 (0)20 7404 3743</t>
        </is>
      </c>
      <c r="AJ279" s="44" t="inlineStr">
        <is>
          <t>London, United Kingdom</t>
        </is>
      </c>
      <c r="AK279" s="45" t="inlineStr">
        <is>
          <t>Ground Floor</t>
        </is>
      </c>
      <c r="AL279" s="46" t="inlineStr">
        <is>
          <t>32-38 Saffron Hill</t>
        </is>
      </c>
      <c r="AM279" s="47" t="inlineStr">
        <is>
          <t>London</t>
        </is>
      </c>
      <c r="AN279" s="48" t="inlineStr">
        <is>
          <t>England</t>
        </is>
      </c>
      <c r="AO279" s="49" t="inlineStr">
        <is>
          <t>EC1N 8FH</t>
        </is>
      </c>
      <c r="AP279" s="50" t="inlineStr">
        <is>
          <t>United Kingdom</t>
        </is>
      </c>
      <c r="AQ279" s="51" t="inlineStr">
        <is>
          <t>+44 (0)20 7404 3743</t>
        </is>
      </c>
      <c r="AR279" s="52" t="inlineStr">
        <is>
          <t/>
        </is>
      </c>
      <c r="AS279" s="53" t="inlineStr">
        <is>
          <t>info@loopmemedia.com</t>
        </is>
      </c>
      <c r="AT279" s="54" t="inlineStr">
        <is>
          <t>Europe</t>
        </is>
      </c>
      <c r="AU279" s="55" t="inlineStr">
        <is>
          <t>Western Europe</t>
        </is>
      </c>
      <c r="AV279" s="56" t="inlineStr">
        <is>
          <t>The company raised $10 million of Series B venture funding in a deal co-led by ImpulseVC and Harbert Management on March 7, 2017. Holzbrinck Ventures and Open Ocean Capital also participated in the round. The funds will be used to continue its global growth and for the continued investment in artificial intelligence technology.</t>
        </is>
      </c>
      <c r="AW279" s="57" t="inlineStr">
        <is>
          <t>Ballpark Ventures, Barbod Namini, Harbert Management, Holtzbrinck Ventures, ImpulseVC, John Taysom, Kristian Segerstrale, Mobile Value Partners, Open Ocean Partners, Peter Barry, Russell Buckley, Tom Henriksson, Torben Maajaard</t>
        </is>
      </c>
      <c r="AX279" s="58" t="n">
        <v>13.0</v>
      </c>
      <c r="AY279" s="59" t="inlineStr">
        <is>
          <t/>
        </is>
      </c>
      <c r="AZ279" s="60" t="inlineStr">
        <is>
          <t/>
        </is>
      </c>
      <c r="BA279" s="61" t="inlineStr">
        <is>
          <t/>
        </is>
      </c>
      <c r="BB279" s="62" t="inlineStr">
        <is>
          <t>Ballpark Ventures (www.ballparkventures.com), Harbert Management (www.harbert.net), Holtzbrinck Ventures (www.holtzbrinck-ventures.com), ImpulseVC (www.impulsevc.com), Mobile Value Partners (www.mvpglobal.com), Open Ocean Partners (www.openocean.vc)</t>
        </is>
      </c>
      <c r="BC279" s="63" t="inlineStr">
        <is>
          <t/>
        </is>
      </c>
      <c r="BD279" s="64" t="inlineStr">
        <is>
          <t/>
        </is>
      </c>
      <c r="BE279" s="65" t="inlineStr">
        <is>
          <t>Orrick Herrington &amp; Sutcliffe (Legal Advisor), HSBC Bank UK (General Business Banking), KPMG (Auditor)</t>
        </is>
      </c>
      <c r="BF279" s="66" t="inlineStr">
        <is>
          <t>Orrick Herrington &amp; Sutcliffe (Legal Advisor)</t>
        </is>
      </c>
      <c r="BG279" s="67" t="n">
        <v>41290.0</v>
      </c>
      <c r="BH279" s="68" t="n">
        <v>0.56</v>
      </c>
      <c r="BI279" s="69" t="inlineStr">
        <is>
          <t>Actual</t>
        </is>
      </c>
      <c r="BJ279" s="70" t="n">
        <v>3.27</v>
      </c>
      <c r="BK279" s="71" t="inlineStr">
        <is>
          <t>Actual</t>
        </is>
      </c>
      <c r="BL279" s="72" t="inlineStr">
        <is>
          <t>Seed Round</t>
        </is>
      </c>
      <c r="BM279" s="73" t="inlineStr">
        <is>
          <t>Seed</t>
        </is>
      </c>
      <c r="BN279" s="74" t="inlineStr">
        <is>
          <t/>
        </is>
      </c>
      <c r="BO279" s="75" t="inlineStr">
        <is>
          <t>Venture Capital</t>
        </is>
      </c>
      <c r="BP279" s="76" t="inlineStr">
        <is>
          <t/>
        </is>
      </c>
      <c r="BQ279" s="77" t="inlineStr">
        <is>
          <t/>
        </is>
      </c>
      <c r="BR279" s="78" t="inlineStr">
        <is>
          <t/>
        </is>
      </c>
      <c r="BS279" s="79" t="inlineStr">
        <is>
          <t>Completed</t>
        </is>
      </c>
      <c r="BT279" s="80" t="n">
        <v>42801.0</v>
      </c>
      <c r="BU279" s="81" t="n">
        <v>9.36</v>
      </c>
      <c r="BV279" s="82" t="inlineStr">
        <is>
          <t>Actual</t>
        </is>
      </c>
      <c r="BW279" s="83" t="inlineStr">
        <is>
          <t/>
        </is>
      </c>
      <c r="BX279" s="84" t="inlineStr">
        <is>
          <t/>
        </is>
      </c>
      <c r="BY279" s="85" t="inlineStr">
        <is>
          <t>Early Stage VC</t>
        </is>
      </c>
      <c r="BZ279" s="86" t="inlineStr">
        <is>
          <t>Series B</t>
        </is>
      </c>
      <c r="CA279" s="87" t="inlineStr">
        <is>
          <t/>
        </is>
      </c>
      <c r="CB279" s="88" t="inlineStr">
        <is>
          <t>Venture Capital</t>
        </is>
      </c>
      <c r="CC279" s="89" t="inlineStr">
        <is>
          <t/>
        </is>
      </c>
      <c r="CD279" s="90" t="inlineStr">
        <is>
          <t/>
        </is>
      </c>
      <c r="CE279" s="91" t="inlineStr">
        <is>
          <t/>
        </is>
      </c>
      <c r="CF279" s="92" t="inlineStr">
        <is>
          <t>Completed</t>
        </is>
      </c>
      <c r="CG279" s="93" t="inlineStr">
        <is>
          <t>-1,82%</t>
        </is>
      </c>
      <c r="CH279" s="94" t="inlineStr">
        <is>
          <t>3</t>
        </is>
      </c>
      <c r="CI279" s="95" t="inlineStr">
        <is>
          <t>0,04%</t>
        </is>
      </c>
      <c r="CJ279" s="96" t="inlineStr">
        <is>
          <t>2,30%</t>
        </is>
      </c>
      <c r="CK279" s="97" t="inlineStr">
        <is>
          <t>-3,85%</t>
        </is>
      </c>
      <c r="CL279" s="98" t="inlineStr">
        <is>
          <t>2</t>
        </is>
      </c>
      <c r="CM279" s="99" t="inlineStr">
        <is>
          <t>0,20%</t>
        </is>
      </c>
      <c r="CN279" s="100" t="inlineStr">
        <is>
          <t>73</t>
        </is>
      </c>
      <c r="CO279" s="101" t="inlineStr">
        <is>
          <t>-7,70%</t>
        </is>
      </c>
      <c r="CP279" s="102" t="inlineStr">
        <is>
          <t>3</t>
        </is>
      </c>
      <c r="CQ279" s="103" t="inlineStr">
        <is>
          <t>0,00%</t>
        </is>
      </c>
      <c r="CR279" s="104" t="inlineStr">
        <is>
          <t>13</t>
        </is>
      </c>
      <c r="CS279" s="105" t="inlineStr">
        <is>
          <t>0,47%</t>
        </is>
      </c>
      <c r="CT279" s="106" t="inlineStr">
        <is>
          <t>86</t>
        </is>
      </c>
      <c r="CU279" s="107" t="inlineStr">
        <is>
          <t>-0,07%</t>
        </is>
      </c>
      <c r="CV279" s="108" t="inlineStr">
        <is>
          <t>9</t>
        </is>
      </c>
      <c r="CW279" s="109" t="inlineStr">
        <is>
          <t>3,79x</t>
        </is>
      </c>
      <c r="CX279" s="110" t="inlineStr">
        <is>
          <t>75</t>
        </is>
      </c>
      <c r="CY279" s="111" t="inlineStr">
        <is>
          <t>0,06x</t>
        </is>
      </c>
      <c r="CZ279" s="112" t="inlineStr">
        <is>
          <t>1,47%</t>
        </is>
      </c>
      <c r="DA279" s="113" t="inlineStr">
        <is>
          <t>3,55x</t>
        </is>
      </c>
      <c r="DB279" s="114" t="inlineStr">
        <is>
          <t>76</t>
        </is>
      </c>
      <c r="DC279" s="115" t="inlineStr">
        <is>
          <t>4,04x</t>
        </is>
      </c>
      <c r="DD279" s="116" t="inlineStr">
        <is>
          <t>73</t>
        </is>
      </c>
      <c r="DE279" s="117" t="inlineStr">
        <is>
          <t>6,30x</t>
        </is>
      </c>
      <c r="DF279" s="118" t="inlineStr">
        <is>
          <t>79</t>
        </is>
      </c>
      <c r="DG279" s="119" t="inlineStr">
        <is>
          <t>0,81x</t>
        </is>
      </c>
      <c r="DH279" s="120" t="inlineStr">
        <is>
          <t>46</t>
        </is>
      </c>
      <c r="DI279" s="121" t="inlineStr">
        <is>
          <t>0,61x</t>
        </is>
      </c>
      <c r="DJ279" s="122" t="inlineStr">
        <is>
          <t>42</t>
        </is>
      </c>
      <c r="DK279" s="123" t="inlineStr">
        <is>
          <t>7,46x</t>
        </is>
      </c>
      <c r="DL279" s="124" t="inlineStr">
        <is>
          <t>83</t>
        </is>
      </c>
      <c r="DM279" s="125" t="inlineStr">
        <is>
          <t>4.102</t>
        </is>
      </c>
      <c r="DN279" s="126" t="inlineStr">
        <is>
          <t>-684</t>
        </is>
      </c>
      <c r="DO279" s="127" t="inlineStr">
        <is>
          <t>-14,29%</t>
        </is>
      </c>
      <c r="DP279" s="128" t="inlineStr">
        <is>
          <t>489</t>
        </is>
      </c>
      <c r="DQ279" s="129" t="inlineStr">
        <is>
          <t>3</t>
        </is>
      </c>
      <c r="DR279" s="130" t="inlineStr">
        <is>
          <t>0,62%</t>
        </is>
      </c>
      <c r="DS279" s="131" t="inlineStr">
        <is>
          <t>29</t>
        </is>
      </c>
      <c r="DT279" s="132" t="inlineStr">
        <is>
          <t>1</t>
        </is>
      </c>
      <c r="DU279" s="133" t="inlineStr">
        <is>
          <t>3,57%</t>
        </is>
      </c>
      <c r="DV279" s="134" t="inlineStr">
        <is>
          <t>2.551</t>
        </is>
      </c>
      <c r="DW279" s="135" t="inlineStr">
        <is>
          <t>7</t>
        </is>
      </c>
      <c r="DX279" s="136" t="inlineStr">
        <is>
          <t>0,28%</t>
        </is>
      </c>
      <c r="DY279" s="137" t="inlineStr">
        <is>
          <t>PitchBook Research</t>
        </is>
      </c>
      <c r="DZ279" s="785">
        <f>HYPERLINK("https://my.pitchbook.com?c=55938-70", "View company online")</f>
      </c>
    </row>
    <row r="280">
      <c r="A280" s="139" t="inlineStr">
        <is>
          <t>86678-11</t>
        </is>
      </c>
      <c r="B280" s="140" t="inlineStr">
        <is>
          <t>LoveCrafts</t>
        </is>
      </c>
      <c r="C280" s="141" t="inlineStr">
        <is>
          <t>Broadmargins</t>
        </is>
      </c>
      <c r="D280" s="142" t="inlineStr">
        <is>
          <t/>
        </is>
      </c>
      <c r="E280" s="143" t="inlineStr">
        <is>
          <t>86678-11</t>
        </is>
      </c>
      <c r="F280" s="144" t="inlineStr">
        <is>
          <t>Operator of a crafting community and marketplace designed to purchase and sell craft works and craft material. The company's social marketplace provides a home for crafting communities online, combining a global social community with a digital marketplace as well as e-commerce sites LoveKnitting.com and LoveCrochet.com, enabling craft makers to connect and share their craftworks.</t>
        </is>
      </c>
      <c r="G280" s="145" t="inlineStr">
        <is>
          <t>Information Technology</t>
        </is>
      </c>
      <c r="H280" s="146" t="inlineStr">
        <is>
          <t>Software</t>
        </is>
      </c>
      <c r="I280" s="147" t="inlineStr">
        <is>
          <t>Application Software</t>
        </is>
      </c>
      <c r="J280" s="148" t="inlineStr">
        <is>
          <t>Application Software*; Specialty Retail; Business/Productivity Software</t>
        </is>
      </c>
      <c r="K280" s="149" t="inlineStr">
        <is>
          <t>E-Commerce</t>
        </is>
      </c>
      <c r="L280" s="150" t="inlineStr">
        <is>
          <t>Venture Capital-Backed</t>
        </is>
      </c>
      <c r="M280" s="151" t="n">
        <v>58.18</v>
      </c>
      <c r="N280" s="152" t="inlineStr">
        <is>
          <t>Generating Revenue</t>
        </is>
      </c>
      <c r="O280" s="153" t="inlineStr">
        <is>
          <t>Privately Held (backing)</t>
        </is>
      </c>
      <c r="P280" s="154" t="inlineStr">
        <is>
          <t>Venture Capital</t>
        </is>
      </c>
      <c r="Q280" s="155" t="inlineStr">
        <is>
          <t>www.lovecrafts.com</t>
        </is>
      </c>
      <c r="R280" s="156" t="n">
        <v>150.0</v>
      </c>
      <c r="S280" s="157" t="inlineStr">
        <is>
          <t/>
        </is>
      </c>
      <c r="T280" s="158" t="inlineStr">
        <is>
          <t/>
        </is>
      </c>
      <c r="U280" s="159" t="n">
        <v>2012.0</v>
      </c>
      <c r="V280" s="160" t="inlineStr">
        <is>
          <t/>
        </is>
      </c>
      <c r="W280" s="161" t="inlineStr">
        <is>
          <t/>
        </is>
      </c>
      <c r="X280" s="162" t="inlineStr">
        <is>
          <t/>
        </is>
      </c>
      <c r="Y280" s="163" t="n">
        <v>7.02828</v>
      </c>
      <c r="Z280" s="164" t="inlineStr">
        <is>
          <t/>
        </is>
      </c>
      <c r="AA280" s="165" t="inlineStr">
        <is>
          <t/>
        </is>
      </c>
      <c r="AB280" s="166" t="inlineStr">
        <is>
          <t/>
        </is>
      </c>
      <c r="AC280" s="167" t="inlineStr">
        <is>
          <t/>
        </is>
      </c>
      <c r="AD280" s="168" t="inlineStr">
        <is>
          <t>FY 2015</t>
        </is>
      </c>
      <c r="AE280" s="169" t="inlineStr">
        <is>
          <t>92384-92P</t>
        </is>
      </c>
      <c r="AF280" s="170" t="inlineStr">
        <is>
          <t>Edward Griffith</t>
        </is>
      </c>
      <c r="AG280" s="171" t="inlineStr">
        <is>
          <t>Co-Founder &amp; Chief Executive Officer</t>
        </is>
      </c>
      <c r="AH280" s="172" t="inlineStr">
        <is>
          <t>edward.griffith@lovecrafts.com</t>
        </is>
      </c>
      <c r="AI280" s="173" t="inlineStr">
        <is>
          <t/>
        </is>
      </c>
      <c r="AJ280" s="174" t="inlineStr">
        <is>
          <t>London, United Kingdom</t>
        </is>
      </c>
      <c r="AK280" s="175" t="inlineStr">
        <is>
          <t>7th Floor</t>
        </is>
      </c>
      <c r="AL280" s="176" t="inlineStr">
        <is>
          <t>10 Bloomsbury Way</t>
        </is>
      </c>
      <c r="AM280" s="177" t="inlineStr">
        <is>
          <t>London</t>
        </is>
      </c>
      <c r="AN280" s="178" t="inlineStr">
        <is>
          <t>England</t>
        </is>
      </c>
      <c r="AO280" s="179" t="inlineStr">
        <is>
          <t>WC1A 2SL</t>
        </is>
      </c>
      <c r="AP280" s="180" t="inlineStr">
        <is>
          <t>United Kingdom</t>
        </is>
      </c>
      <c r="AQ280" s="181" t="inlineStr">
        <is>
          <t/>
        </is>
      </c>
      <c r="AR280" s="182" t="inlineStr">
        <is>
          <t/>
        </is>
      </c>
      <c r="AS280" s="183" t="inlineStr">
        <is>
          <t/>
        </is>
      </c>
      <c r="AT280" s="184" t="inlineStr">
        <is>
          <t>Europe</t>
        </is>
      </c>
      <c r="AU280" s="185" t="inlineStr">
        <is>
          <t>Western Europe</t>
        </is>
      </c>
      <c r="AV280" s="186" t="inlineStr">
        <is>
          <t>The company raised $33 million of Series C venture funding from lead investor Scottish Equity Partners (SEP) on April 25, 2017. Balderton Capital and Highland Capital Partners Europe also participated. The company will use the funding to further scale operations and improve its technology as well as launch further crafting sites and expand its business internationally. The company has raised $55 million in funding till date.</t>
        </is>
      </c>
      <c r="AW280" s="187" t="inlineStr">
        <is>
          <t>Balderton Capital, Highland Capital Partners Europe, Scottish Equity Partners, True Capital, Venrex Investment Management</t>
        </is>
      </c>
      <c r="AX280" s="188" t="n">
        <v>5.0</v>
      </c>
      <c r="AY280" s="189" t="inlineStr">
        <is>
          <t/>
        </is>
      </c>
      <c r="AZ280" s="190" t="inlineStr">
        <is>
          <t/>
        </is>
      </c>
      <c r="BA280" s="191" t="inlineStr">
        <is>
          <t/>
        </is>
      </c>
      <c r="BB280" s="192" t="inlineStr">
        <is>
          <t>Balderton Capital (www.balderton.com), Highland Capital Partners Europe (www.highlandeurope.com), Scottish Equity Partners (www.sep.co.uk), True Capital (www.truecapital.co.uk)</t>
        </is>
      </c>
      <c r="BC280" s="193" t="inlineStr">
        <is>
          <t/>
        </is>
      </c>
      <c r="BD280" s="194" t="inlineStr">
        <is>
          <t/>
        </is>
      </c>
      <c r="BE280" s="195" t="inlineStr">
        <is>
          <t>Future Fifty (Consulting)</t>
        </is>
      </c>
      <c r="BF280" s="196" t="inlineStr">
        <is>
          <t/>
        </is>
      </c>
      <c r="BG280" s="197" t="inlineStr">
        <is>
          <t/>
        </is>
      </c>
      <c r="BH280" s="198" t="n">
        <v>2.12</v>
      </c>
      <c r="BI280" s="199" t="inlineStr">
        <is>
          <t>Estimated</t>
        </is>
      </c>
      <c r="BJ280" s="200" t="inlineStr">
        <is>
          <t/>
        </is>
      </c>
      <c r="BK280" s="201" t="inlineStr">
        <is>
          <t/>
        </is>
      </c>
      <c r="BL280" s="202" t="inlineStr">
        <is>
          <t>Seed Round</t>
        </is>
      </c>
      <c r="BM280" s="203" t="inlineStr">
        <is>
          <t>Seed</t>
        </is>
      </c>
      <c r="BN280" s="204" t="inlineStr">
        <is>
          <t/>
        </is>
      </c>
      <c r="BO280" s="205" t="inlineStr">
        <is>
          <t>Venture Capital</t>
        </is>
      </c>
      <c r="BP280" s="206" t="inlineStr">
        <is>
          <t/>
        </is>
      </c>
      <c r="BQ280" s="207" t="inlineStr">
        <is>
          <t/>
        </is>
      </c>
      <c r="BR280" s="208" t="inlineStr">
        <is>
          <t/>
        </is>
      </c>
      <c r="BS280" s="209" t="inlineStr">
        <is>
          <t>Completed</t>
        </is>
      </c>
      <c r="BT280" s="210" t="n">
        <v>42850.0</v>
      </c>
      <c r="BU280" s="211" t="n">
        <v>30.84</v>
      </c>
      <c r="BV280" s="212" t="inlineStr">
        <is>
          <t>Actual</t>
        </is>
      </c>
      <c r="BW280" s="213" t="inlineStr">
        <is>
          <t/>
        </is>
      </c>
      <c r="BX280" s="214" t="inlineStr">
        <is>
          <t/>
        </is>
      </c>
      <c r="BY280" s="215" t="inlineStr">
        <is>
          <t>Later Stage VC</t>
        </is>
      </c>
      <c r="BZ280" s="216" t="inlineStr">
        <is>
          <t>Series C</t>
        </is>
      </c>
      <c r="CA280" s="217" t="inlineStr">
        <is>
          <t/>
        </is>
      </c>
      <c r="CB280" s="218" t="inlineStr">
        <is>
          <t>Venture Capital</t>
        </is>
      </c>
      <c r="CC280" s="219" t="inlineStr">
        <is>
          <t/>
        </is>
      </c>
      <c r="CD280" s="220" t="inlineStr">
        <is>
          <t/>
        </is>
      </c>
      <c r="CE280" s="221" t="inlineStr">
        <is>
          <t/>
        </is>
      </c>
      <c r="CF280" s="222" t="inlineStr">
        <is>
          <t>Completed</t>
        </is>
      </c>
      <c r="CG280" s="223" t="inlineStr">
        <is>
          <t>-2,86%</t>
        </is>
      </c>
      <c r="CH280" s="224" t="inlineStr">
        <is>
          <t>2</t>
        </is>
      </c>
      <c r="CI280" s="225" t="inlineStr">
        <is>
          <t>-0,14%</t>
        </is>
      </c>
      <c r="CJ280" s="226" t="inlineStr">
        <is>
          <t>-5,13%</t>
        </is>
      </c>
      <c r="CK280" s="227" t="inlineStr">
        <is>
          <t>-6,11%</t>
        </is>
      </c>
      <c r="CL280" s="228" t="inlineStr">
        <is>
          <t>1</t>
        </is>
      </c>
      <c r="CM280" s="229" t="inlineStr">
        <is>
          <t>0,39%</t>
        </is>
      </c>
      <c r="CN280" s="230" t="inlineStr">
        <is>
          <t>86</t>
        </is>
      </c>
      <c r="CO280" s="231" t="inlineStr">
        <is>
          <t>-11,92%</t>
        </is>
      </c>
      <c r="CP280" s="232" t="inlineStr">
        <is>
          <t>1</t>
        </is>
      </c>
      <c r="CQ280" s="233" t="inlineStr">
        <is>
          <t>-0,31%</t>
        </is>
      </c>
      <c r="CR280" s="234" t="inlineStr">
        <is>
          <t>9</t>
        </is>
      </c>
      <c r="CS280" s="235" t="inlineStr">
        <is>
          <t>0,55%</t>
        </is>
      </c>
      <c r="CT280" s="236" t="inlineStr">
        <is>
          <t>89</t>
        </is>
      </c>
      <c r="CU280" s="237" t="inlineStr">
        <is>
          <t>0,24%</t>
        </is>
      </c>
      <c r="CV280" s="238" t="inlineStr">
        <is>
          <t>81</t>
        </is>
      </c>
      <c r="CW280" s="239" t="inlineStr">
        <is>
          <t>117,42x</t>
        </is>
      </c>
      <c r="CX280" s="240" t="inlineStr">
        <is>
          <t>98</t>
        </is>
      </c>
      <c r="CY280" s="241" t="inlineStr">
        <is>
          <t>2,66x</t>
        </is>
      </c>
      <c r="CZ280" s="242" t="inlineStr">
        <is>
          <t>2,32%</t>
        </is>
      </c>
      <c r="DA280" s="243" t="inlineStr">
        <is>
          <t>4,71x</t>
        </is>
      </c>
      <c r="DB280" s="244" t="inlineStr">
        <is>
          <t>79</t>
        </is>
      </c>
      <c r="DC280" s="245" t="inlineStr">
        <is>
          <t>230,13x</t>
        </is>
      </c>
      <c r="DD280" s="246" t="inlineStr">
        <is>
          <t>98</t>
        </is>
      </c>
      <c r="DE280" s="247" t="inlineStr">
        <is>
          <t>3,90x</t>
        </is>
      </c>
      <c r="DF280" s="248" t="inlineStr">
        <is>
          <t>73</t>
        </is>
      </c>
      <c r="DG280" s="249" t="inlineStr">
        <is>
          <t>5,53x</t>
        </is>
      </c>
      <c r="DH280" s="250" t="inlineStr">
        <is>
          <t>80</t>
        </is>
      </c>
      <c r="DI280" s="251" t="inlineStr">
        <is>
          <t>416,90x</t>
        </is>
      </c>
      <c r="DJ280" s="252" t="inlineStr">
        <is>
          <t>99</t>
        </is>
      </c>
      <c r="DK280" s="253" t="inlineStr">
        <is>
          <t>43,36x</t>
        </is>
      </c>
      <c r="DL280" s="254" t="inlineStr">
        <is>
          <t>96</t>
        </is>
      </c>
      <c r="DM280" s="255" t="inlineStr">
        <is>
          <t>2.513</t>
        </is>
      </c>
      <c r="DN280" s="256" t="inlineStr">
        <is>
          <t>-349</t>
        </is>
      </c>
      <c r="DO280" s="257" t="inlineStr">
        <is>
          <t>-12,19%</t>
        </is>
      </c>
      <c r="DP280" s="258" t="inlineStr">
        <is>
          <t>332.796</t>
        </is>
      </c>
      <c r="DQ280" s="259" t="inlineStr">
        <is>
          <t>753</t>
        </is>
      </c>
      <c r="DR280" s="260" t="inlineStr">
        <is>
          <t>0,23%</t>
        </is>
      </c>
      <c r="DS280" s="261" t="inlineStr">
        <is>
          <t>199</t>
        </is>
      </c>
      <c r="DT280" s="262" t="inlineStr">
        <is>
          <t>-2</t>
        </is>
      </c>
      <c r="DU280" s="263" t="inlineStr">
        <is>
          <t>-1,00%</t>
        </is>
      </c>
      <c r="DV280" s="264" t="inlineStr">
        <is>
          <t>14.860</t>
        </is>
      </c>
      <c r="DW280" s="265" t="inlineStr">
        <is>
          <t>29</t>
        </is>
      </c>
      <c r="DX280" s="266" t="inlineStr">
        <is>
          <t>0,20%</t>
        </is>
      </c>
      <c r="DY280" s="267" t="inlineStr">
        <is>
          <t>PitchBook Research</t>
        </is>
      </c>
      <c r="DZ280" s="786">
        <f>HYPERLINK("https://my.pitchbook.com?c=86678-11", "View company online")</f>
      </c>
    </row>
    <row r="281">
      <c r="A281" s="9" t="inlineStr">
        <is>
          <t>151423-66</t>
        </is>
      </c>
      <c r="B281" s="10" t="inlineStr">
        <is>
          <t>Lunar Way</t>
        </is>
      </c>
      <c r="C281" s="11" t="inlineStr">
        <is>
          <t/>
        </is>
      </c>
      <c r="D281" s="12" t="inlineStr">
        <is>
          <t/>
        </is>
      </c>
      <c r="E281" s="13" t="inlineStr">
        <is>
          <t>151423-66</t>
        </is>
      </c>
      <c r="F281" s="14" t="inlineStr">
        <is>
          <t>Provider of a digital banking application designed to facilitate in online money transfer and payments. The company's digital banking application offers banking services such as balance checking, account opening and applications for loans along with debit cards by partnering and cooperating with local banks, enabling users to ease banking functions with more security.</t>
        </is>
      </c>
      <c r="G281" s="15" t="inlineStr">
        <is>
          <t>Information Technology</t>
        </is>
      </c>
      <c r="H281" s="16" t="inlineStr">
        <is>
          <t>Software</t>
        </is>
      </c>
      <c r="I281" s="17" t="inlineStr">
        <is>
          <t>Financial Software</t>
        </is>
      </c>
      <c r="J281" s="18" t="inlineStr">
        <is>
          <t>Financial Software*; Application Software</t>
        </is>
      </c>
      <c r="K281" s="19" t="inlineStr">
        <is>
          <t>FinTech, Mobile</t>
        </is>
      </c>
      <c r="L281" s="20" t="inlineStr">
        <is>
          <t>Venture Capital-Backed</t>
        </is>
      </c>
      <c r="M281" s="21" t="n">
        <v>8.7</v>
      </c>
      <c r="N281" s="22" t="inlineStr">
        <is>
          <t>Startup</t>
        </is>
      </c>
      <c r="O281" s="23" t="inlineStr">
        <is>
          <t>Privately Held (backing)</t>
        </is>
      </c>
      <c r="P281" s="24" t="inlineStr">
        <is>
          <t>Venture Capital</t>
        </is>
      </c>
      <c r="Q281" s="25" t="inlineStr">
        <is>
          <t>www.lunarway.com</t>
        </is>
      </c>
      <c r="R281" s="26" t="n">
        <v>30.0</v>
      </c>
      <c r="S281" s="27" t="inlineStr">
        <is>
          <t/>
        </is>
      </c>
      <c r="T281" s="28" t="inlineStr">
        <is>
          <t/>
        </is>
      </c>
      <c r="U281" s="29" t="n">
        <v>2015.0</v>
      </c>
      <c r="V281" s="30" t="inlineStr">
        <is>
          <t/>
        </is>
      </c>
      <c r="W281" s="31" t="inlineStr">
        <is>
          <t/>
        </is>
      </c>
      <c r="X281" s="32" t="inlineStr">
        <is>
          <t/>
        </is>
      </c>
      <c r="Y281" s="33" t="inlineStr">
        <is>
          <t/>
        </is>
      </c>
      <c r="Z281" s="34" t="inlineStr">
        <is>
          <t/>
        </is>
      </c>
      <c r="AA281" s="35" t="inlineStr">
        <is>
          <t/>
        </is>
      </c>
      <c r="AB281" s="36" t="inlineStr">
        <is>
          <t/>
        </is>
      </c>
      <c r="AC281" s="37" t="inlineStr">
        <is>
          <t/>
        </is>
      </c>
      <c r="AD281" s="38" t="inlineStr">
        <is>
          <t/>
        </is>
      </c>
      <c r="AE281" s="39" t="inlineStr">
        <is>
          <t>52865-92P</t>
        </is>
      </c>
      <c r="AF281" s="40" t="inlineStr">
        <is>
          <t>Peter Andreasen</t>
        </is>
      </c>
      <c r="AG281" s="41" t="inlineStr">
        <is>
          <t>Chief Financial Officer</t>
        </is>
      </c>
      <c r="AH281" s="42" t="inlineStr">
        <is>
          <t>peter@lunarway.com</t>
        </is>
      </c>
      <c r="AI281" s="43" t="inlineStr">
        <is>
          <t>+45 7060 5454</t>
        </is>
      </c>
      <c r="AJ281" s="44" t="inlineStr">
        <is>
          <t>Aarhus, Denmark</t>
        </is>
      </c>
      <c r="AK281" s="45" t="inlineStr">
        <is>
          <t>Hack Kampmanns Plads 1</t>
        </is>
      </c>
      <c r="AL281" s="46" t="inlineStr">
        <is>
          <t/>
        </is>
      </c>
      <c r="AM281" s="47" t="inlineStr">
        <is>
          <t>Aarhus</t>
        </is>
      </c>
      <c r="AN281" s="48" t="inlineStr">
        <is>
          <t/>
        </is>
      </c>
      <c r="AO281" s="49" t="inlineStr">
        <is>
          <t>8000</t>
        </is>
      </c>
      <c r="AP281" s="50" t="inlineStr">
        <is>
          <t>Denmark</t>
        </is>
      </c>
      <c r="AQ281" s="51" t="inlineStr">
        <is>
          <t>+45 7060 5454</t>
        </is>
      </c>
      <c r="AR281" s="52" t="inlineStr">
        <is>
          <t/>
        </is>
      </c>
      <c r="AS281" s="53" t="inlineStr">
        <is>
          <t>hello@lunarway.com</t>
        </is>
      </c>
      <c r="AT281" s="54" t="inlineStr">
        <is>
          <t>Europe</t>
        </is>
      </c>
      <c r="AU281" s="55" t="inlineStr">
        <is>
          <t>Northern Europe</t>
        </is>
      </c>
      <c r="AV281" s="56" t="inlineStr">
        <is>
          <t>The company raised EUR 8.7 million of venture funding in a deal led by SEED Capital Denmark and Nykredit on May 11, 2017. Other undisclosed angel investors also participated in the round. The company intends to use the funds to continue to expand operations and to grow its value.</t>
        </is>
      </c>
      <c r="AW281" s="57" t="inlineStr">
        <is>
          <t>Mads Kjær, Nykredit Bank, Pre-Seed Innovation, SEED Capital Denmark</t>
        </is>
      </c>
      <c r="AX281" s="58" t="n">
        <v>4.0</v>
      </c>
      <c r="AY281" s="59" t="inlineStr">
        <is>
          <t/>
        </is>
      </c>
      <c r="AZ281" s="60" t="inlineStr">
        <is>
          <t/>
        </is>
      </c>
      <c r="BA281" s="61" t="inlineStr">
        <is>
          <t/>
        </is>
      </c>
      <c r="BB281" s="62" t="inlineStr">
        <is>
          <t>Nykredit Bank (www.nykredit.com), Pre-Seed Innovation (www.preseedinnovation.dk), SEED Capital Denmark (www.seedcapital.dk)</t>
        </is>
      </c>
      <c r="BC281" s="63" t="inlineStr">
        <is>
          <t/>
        </is>
      </c>
      <c r="BD281" s="64" t="inlineStr">
        <is>
          <t/>
        </is>
      </c>
      <c r="BE281" s="65" t="inlineStr">
        <is>
          <t/>
        </is>
      </c>
      <c r="BF281" s="66" t="inlineStr">
        <is>
          <t/>
        </is>
      </c>
      <c r="BG281" s="67" t="n">
        <v>42229.0</v>
      </c>
      <c r="BH281" s="68" t="inlineStr">
        <is>
          <t/>
        </is>
      </c>
      <c r="BI281" s="69" t="inlineStr">
        <is>
          <t/>
        </is>
      </c>
      <c r="BJ281" s="70" t="inlineStr">
        <is>
          <t/>
        </is>
      </c>
      <c r="BK281" s="71" t="inlineStr">
        <is>
          <t/>
        </is>
      </c>
      <c r="BL281" s="72" t="inlineStr">
        <is>
          <t>Seed Round</t>
        </is>
      </c>
      <c r="BM281" s="73" t="inlineStr">
        <is>
          <t>Seed</t>
        </is>
      </c>
      <c r="BN281" s="74" t="inlineStr">
        <is>
          <t/>
        </is>
      </c>
      <c r="BO281" s="75" t="inlineStr">
        <is>
          <t>Venture Capital</t>
        </is>
      </c>
      <c r="BP281" s="76" t="inlineStr">
        <is>
          <t/>
        </is>
      </c>
      <c r="BQ281" s="77" t="inlineStr">
        <is>
          <t/>
        </is>
      </c>
      <c r="BR281" s="78" t="inlineStr">
        <is>
          <t/>
        </is>
      </c>
      <c r="BS281" s="79" t="inlineStr">
        <is>
          <t>Completed</t>
        </is>
      </c>
      <c r="BT281" s="80" t="n">
        <v>42866.0</v>
      </c>
      <c r="BU281" s="81" t="n">
        <v>8.7</v>
      </c>
      <c r="BV281" s="82" t="inlineStr">
        <is>
          <t>Actual</t>
        </is>
      </c>
      <c r="BW281" s="83" t="inlineStr">
        <is>
          <t/>
        </is>
      </c>
      <c r="BX281" s="84" t="inlineStr">
        <is>
          <t/>
        </is>
      </c>
      <c r="BY281" s="85" t="inlineStr">
        <is>
          <t>Early Stage VC</t>
        </is>
      </c>
      <c r="BZ281" s="86" t="inlineStr">
        <is>
          <t/>
        </is>
      </c>
      <c r="CA281" s="87" t="inlineStr">
        <is>
          <t/>
        </is>
      </c>
      <c r="CB281" s="88" t="inlineStr">
        <is>
          <t>Venture Capital</t>
        </is>
      </c>
      <c r="CC281" s="89" t="inlineStr">
        <is>
          <t/>
        </is>
      </c>
      <c r="CD281" s="90" t="inlineStr">
        <is>
          <t/>
        </is>
      </c>
      <c r="CE281" s="91" t="inlineStr">
        <is>
          <t/>
        </is>
      </c>
      <c r="CF281" s="92" t="inlineStr">
        <is>
          <t>Completed</t>
        </is>
      </c>
      <c r="CG281" s="93" t="inlineStr">
        <is>
          <t>-0,18%</t>
        </is>
      </c>
      <c r="CH281" s="94" t="inlineStr">
        <is>
          <t>13</t>
        </is>
      </c>
      <c r="CI281" s="95" t="inlineStr">
        <is>
          <t>0,02%</t>
        </is>
      </c>
      <c r="CJ281" s="96" t="inlineStr">
        <is>
          <t>10,93%</t>
        </is>
      </c>
      <c r="CK281" s="97" t="inlineStr">
        <is>
          <t>-0,68%</t>
        </is>
      </c>
      <c r="CL281" s="98" t="inlineStr">
        <is>
          <t>11</t>
        </is>
      </c>
      <c r="CM281" s="99" t="inlineStr">
        <is>
          <t>0,31%</t>
        </is>
      </c>
      <c r="CN281" s="100" t="inlineStr">
        <is>
          <t>82</t>
        </is>
      </c>
      <c r="CO281" s="101" t="inlineStr">
        <is>
          <t>-1,35%</t>
        </is>
      </c>
      <c r="CP281" s="102" t="inlineStr">
        <is>
          <t>18</t>
        </is>
      </c>
      <c r="CQ281" s="103" t="inlineStr">
        <is>
          <t>0,00%</t>
        </is>
      </c>
      <c r="CR281" s="104" t="inlineStr">
        <is>
          <t>13</t>
        </is>
      </c>
      <c r="CS281" s="105" t="inlineStr">
        <is>
          <t>0,30%</t>
        </is>
      </c>
      <c r="CT281" s="106" t="inlineStr">
        <is>
          <t>79</t>
        </is>
      </c>
      <c r="CU281" s="107" t="inlineStr">
        <is>
          <t>0,33%</t>
        </is>
      </c>
      <c r="CV281" s="108" t="inlineStr">
        <is>
          <t>86</t>
        </is>
      </c>
      <c r="CW281" s="109" t="inlineStr">
        <is>
          <t>6,67x</t>
        </is>
      </c>
      <c r="CX281" s="110" t="inlineStr">
        <is>
          <t>82</t>
        </is>
      </c>
      <c r="CY281" s="111" t="inlineStr">
        <is>
          <t>0,13x</t>
        </is>
      </c>
      <c r="CZ281" s="112" t="inlineStr">
        <is>
          <t>1,92%</t>
        </is>
      </c>
      <c r="DA281" s="113" t="inlineStr">
        <is>
          <t>3,94x</t>
        </is>
      </c>
      <c r="DB281" s="114" t="inlineStr">
        <is>
          <t>77</t>
        </is>
      </c>
      <c r="DC281" s="115" t="inlineStr">
        <is>
          <t>9,40x</t>
        </is>
      </c>
      <c r="DD281" s="116" t="inlineStr">
        <is>
          <t>83</t>
        </is>
      </c>
      <c r="DE281" s="117" t="inlineStr">
        <is>
          <t>6,94x</t>
        </is>
      </c>
      <c r="DF281" s="118" t="inlineStr">
        <is>
          <t>80</t>
        </is>
      </c>
      <c r="DG281" s="119" t="inlineStr">
        <is>
          <t>0,94x</t>
        </is>
      </c>
      <c r="DH281" s="120" t="inlineStr">
        <is>
          <t>49</t>
        </is>
      </c>
      <c r="DI281" s="121" t="inlineStr">
        <is>
          <t>15,64x</t>
        </is>
      </c>
      <c r="DJ281" s="122" t="inlineStr">
        <is>
          <t>86</t>
        </is>
      </c>
      <c r="DK281" s="123" t="inlineStr">
        <is>
          <t>3,17x</t>
        </is>
      </c>
      <c r="DL281" s="124" t="inlineStr">
        <is>
          <t>71</t>
        </is>
      </c>
      <c r="DM281" s="125" t="inlineStr">
        <is>
          <t>4.252</t>
        </is>
      </c>
      <c r="DN281" s="126" t="inlineStr">
        <is>
          <t>54</t>
        </is>
      </c>
      <c r="DO281" s="127" t="inlineStr">
        <is>
          <t>1,29%</t>
        </is>
      </c>
      <c r="DP281" s="128" t="inlineStr">
        <is>
          <t>12.462</t>
        </is>
      </c>
      <c r="DQ281" s="129" t="inlineStr">
        <is>
          <t>79</t>
        </is>
      </c>
      <c r="DR281" s="130" t="inlineStr">
        <is>
          <t>0,64%</t>
        </is>
      </c>
      <c r="DS281" s="131" t="inlineStr">
        <is>
          <t>34</t>
        </is>
      </c>
      <c r="DT281" s="132" t="inlineStr">
        <is>
          <t>-1</t>
        </is>
      </c>
      <c r="DU281" s="133" t="inlineStr">
        <is>
          <t>-2,86%</t>
        </is>
      </c>
      <c r="DV281" s="134" t="inlineStr">
        <is>
          <t>1.086</t>
        </is>
      </c>
      <c r="DW281" s="135" t="inlineStr">
        <is>
          <t>4</t>
        </is>
      </c>
      <c r="DX281" s="136" t="inlineStr">
        <is>
          <t>0,37%</t>
        </is>
      </c>
      <c r="DY281" s="137" t="inlineStr">
        <is>
          <t>PitchBook Research</t>
        </is>
      </c>
      <c r="DZ281" s="785">
        <f>HYPERLINK("https://my.pitchbook.com?c=151423-66", "View company online")</f>
      </c>
    </row>
    <row r="282">
      <c r="A282" s="139" t="inlineStr">
        <is>
          <t>59048-38</t>
        </is>
      </c>
      <c r="B282" s="140" t="inlineStr">
        <is>
          <t>Lydia Solutions</t>
        </is>
      </c>
      <c r="C282" s="141" t="inlineStr">
        <is>
          <t/>
        </is>
      </c>
      <c r="D282" s="142" t="inlineStr">
        <is>
          <t>Lydia</t>
        </is>
      </c>
      <c r="E282" s="143" t="inlineStr">
        <is>
          <t>59048-38</t>
        </is>
      </c>
      <c r="F282" s="144" t="inlineStr">
        <is>
          <t>Provider of a mobile payment application. The company provides a social payments platform that enables users to exchange money through a mobile wallet system.</t>
        </is>
      </c>
      <c r="G282" s="145" t="inlineStr">
        <is>
          <t>Information Technology</t>
        </is>
      </c>
      <c r="H282" s="146" t="inlineStr">
        <is>
          <t>Software</t>
        </is>
      </c>
      <c r="I282" s="147" t="inlineStr">
        <is>
          <t>Financial Software</t>
        </is>
      </c>
      <c r="J282" s="148" t="inlineStr">
        <is>
          <t>Financial Software*; Social/Platform Software</t>
        </is>
      </c>
      <c r="K282" s="149" t="inlineStr">
        <is>
          <t>FinTech, Mobile</t>
        </is>
      </c>
      <c r="L282" s="150" t="inlineStr">
        <is>
          <t>Venture Capital-Backed</t>
        </is>
      </c>
      <c r="M282" s="151" t="n">
        <v>11.2</v>
      </c>
      <c r="N282" s="152" t="inlineStr">
        <is>
          <t>Startup</t>
        </is>
      </c>
      <c r="O282" s="153" t="inlineStr">
        <is>
          <t>Privately Held (backing)</t>
        </is>
      </c>
      <c r="P282" s="154" t="inlineStr">
        <is>
          <t>Venture Capital</t>
        </is>
      </c>
      <c r="Q282" s="155" t="inlineStr">
        <is>
          <t>www.lydia-app.com</t>
        </is>
      </c>
      <c r="R282" s="156" t="n">
        <v>22.0</v>
      </c>
      <c r="S282" s="157" t="inlineStr">
        <is>
          <t/>
        </is>
      </c>
      <c r="T282" s="158" t="inlineStr">
        <is>
          <t/>
        </is>
      </c>
      <c r="U282" s="159" t="n">
        <v>2013.0</v>
      </c>
      <c r="V282" s="160" t="inlineStr">
        <is>
          <t/>
        </is>
      </c>
      <c r="W282" s="161" t="inlineStr">
        <is>
          <t/>
        </is>
      </c>
      <c r="X282" s="162" t="inlineStr">
        <is>
          <t/>
        </is>
      </c>
      <c r="Y282" s="163" t="inlineStr">
        <is>
          <t/>
        </is>
      </c>
      <c r="Z282" s="164" t="inlineStr">
        <is>
          <t/>
        </is>
      </c>
      <c r="AA282" s="165" t="inlineStr">
        <is>
          <t/>
        </is>
      </c>
      <c r="AB282" s="166" t="inlineStr">
        <is>
          <t/>
        </is>
      </c>
      <c r="AC282" s="167" t="inlineStr">
        <is>
          <t/>
        </is>
      </c>
      <c r="AD282" s="168" t="inlineStr">
        <is>
          <t/>
        </is>
      </c>
      <c r="AE282" s="169" t="inlineStr">
        <is>
          <t>85961-08P</t>
        </is>
      </c>
      <c r="AF282" s="170" t="inlineStr">
        <is>
          <t>Cyril Chiche</t>
        </is>
      </c>
      <c r="AG282" s="171" t="inlineStr">
        <is>
          <t>President, Chairman, Co-Founder &amp; Chief Executive Officer</t>
        </is>
      </c>
      <c r="AH282" s="172" t="inlineStr">
        <is>
          <t>cyril@lydia-app.com</t>
        </is>
      </c>
      <c r="AI282" s="173" t="inlineStr">
        <is>
          <t>+33 (0)1 79 75 40 30</t>
        </is>
      </c>
      <c r="AJ282" s="174" t="inlineStr">
        <is>
          <t>Paris, France</t>
        </is>
      </c>
      <c r="AK282" s="175" t="inlineStr">
        <is>
          <t>137 Rue d'Aboukir</t>
        </is>
      </c>
      <c r="AL282" s="176" t="inlineStr">
        <is>
          <t/>
        </is>
      </c>
      <c r="AM282" s="177" t="inlineStr">
        <is>
          <t>Paris</t>
        </is>
      </c>
      <c r="AN282" s="178" t="inlineStr">
        <is>
          <t/>
        </is>
      </c>
      <c r="AO282" s="179" t="inlineStr">
        <is>
          <t>75002</t>
        </is>
      </c>
      <c r="AP282" s="180" t="inlineStr">
        <is>
          <t>France</t>
        </is>
      </c>
      <c r="AQ282" s="181" t="inlineStr">
        <is>
          <t>+33 (0)1 79 75 40 30</t>
        </is>
      </c>
      <c r="AR282" s="182" t="inlineStr">
        <is>
          <t/>
        </is>
      </c>
      <c r="AS282" s="183" t="inlineStr">
        <is>
          <t>contact@lydia-app.com</t>
        </is>
      </c>
      <c r="AT282" s="184" t="inlineStr">
        <is>
          <t>Europe</t>
        </is>
      </c>
      <c r="AU282" s="185" t="inlineStr">
        <is>
          <t>Western Europe</t>
        </is>
      </c>
      <c r="AV282" s="186" t="inlineStr">
        <is>
          <t>The company raised EUR 7 million of venture funding from New Alpha Asset Management, Siparex Group, Belcube and Oddo &amp; Cie on September 28, 2016. XAnge Private Equity and DuVal Family Association also participated. The company intends to use the funding to launch in other European markets.</t>
        </is>
      </c>
      <c r="AW282" s="187" t="inlineStr">
        <is>
          <t>Belcube, DuVal Family Association, Individual Investor, New Alpha Asset Management, Oddo BHF, Siparex Group, XAnge Private Equity</t>
        </is>
      </c>
      <c r="AX282" s="188" t="n">
        <v>7.0</v>
      </c>
      <c r="AY282" s="189" t="inlineStr">
        <is>
          <t/>
        </is>
      </c>
      <c r="AZ282" s="190" t="inlineStr">
        <is>
          <t/>
        </is>
      </c>
      <c r="BA282" s="191" t="inlineStr">
        <is>
          <t/>
        </is>
      </c>
      <c r="BB282" s="192" t="inlineStr">
        <is>
          <t>Belcube (www.belcube.com), DuVal Family Association (www.duvalfamilyassociation.org), New Alpha Asset Management (www.newalpha.net), Oddo BHF (www.oddo.eu), Siparex Group (www.siparex.com), XAnge Private Equity (www.xange.fr)</t>
        </is>
      </c>
      <c r="BC282" s="193" t="inlineStr">
        <is>
          <t/>
        </is>
      </c>
      <c r="BD282" s="194" t="inlineStr">
        <is>
          <t/>
        </is>
      </c>
      <c r="BE282" s="195" t="inlineStr">
        <is>
          <t/>
        </is>
      </c>
      <c r="BF282" s="196" t="inlineStr">
        <is>
          <t>ASC Consulting (Auditor), Jones Day (Legal Advisor), Praxes Avocats (Legal Advisor)</t>
        </is>
      </c>
      <c r="BG282" s="197" t="n">
        <v>41533.0</v>
      </c>
      <c r="BH282" s="198" t="n">
        <v>0.6</v>
      </c>
      <c r="BI282" s="199" t="inlineStr">
        <is>
          <t>Actual</t>
        </is>
      </c>
      <c r="BJ282" s="200" t="inlineStr">
        <is>
          <t/>
        </is>
      </c>
      <c r="BK282" s="201" t="inlineStr">
        <is>
          <t/>
        </is>
      </c>
      <c r="BL282" s="202" t="inlineStr">
        <is>
          <t>Angel (individual)</t>
        </is>
      </c>
      <c r="BM282" s="203" t="inlineStr">
        <is>
          <t>Angel</t>
        </is>
      </c>
      <c r="BN282" s="204" t="inlineStr">
        <is>
          <t/>
        </is>
      </c>
      <c r="BO282" s="205" t="inlineStr">
        <is>
          <t>Individual</t>
        </is>
      </c>
      <c r="BP282" s="206" t="inlineStr">
        <is>
          <t/>
        </is>
      </c>
      <c r="BQ282" s="207" t="inlineStr">
        <is>
          <t/>
        </is>
      </c>
      <c r="BR282" s="208" t="inlineStr">
        <is>
          <t/>
        </is>
      </c>
      <c r="BS282" s="209" t="inlineStr">
        <is>
          <t>Completed</t>
        </is>
      </c>
      <c r="BT282" s="210" t="n">
        <v>42641.0</v>
      </c>
      <c r="BU282" s="211" t="n">
        <v>7.0</v>
      </c>
      <c r="BV282" s="212" t="inlineStr">
        <is>
          <t>Actual</t>
        </is>
      </c>
      <c r="BW282" s="213" t="inlineStr">
        <is>
          <t/>
        </is>
      </c>
      <c r="BX282" s="214" t="inlineStr">
        <is>
          <t/>
        </is>
      </c>
      <c r="BY282" s="215" t="inlineStr">
        <is>
          <t>Early Stage VC</t>
        </is>
      </c>
      <c r="BZ282" s="216" t="inlineStr">
        <is>
          <t/>
        </is>
      </c>
      <c r="CA282" s="217" t="inlineStr">
        <is>
          <t/>
        </is>
      </c>
      <c r="CB282" s="218" t="inlineStr">
        <is>
          <t>Venture Capital</t>
        </is>
      </c>
      <c r="CC282" s="219" t="inlineStr">
        <is>
          <t/>
        </is>
      </c>
      <c r="CD282" s="220" t="inlineStr">
        <is>
          <t/>
        </is>
      </c>
      <c r="CE282" s="221" t="inlineStr">
        <is>
          <t/>
        </is>
      </c>
      <c r="CF282" s="222" t="inlineStr">
        <is>
          <t>Completed</t>
        </is>
      </c>
      <c r="CG282" s="223" t="inlineStr">
        <is>
          <t>-1,83%</t>
        </is>
      </c>
      <c r="CH282" s="224" t="inlineStr">
        <is>
          <t>3</t>
        </is>
      </c>
      <c r="CI282" s="225" t="inlineStr">
        <is>
          <t>-0,02%</t>
        </is>
      </c>
      <c r="CJ282" s="226" t="inlineStr">
        <is>
          <t>-1,16%</t>
        </is>
      </c>
      <c r="CK282" s="227" t="inlineStr">
        <is>
          <t>-4,03%</t>
        </is>
      </c>
      <c r="CL282" s="228" t="inlineStr">
        <is>
          <t>2</t>
        </is>
      </c>
      <c r="CM282" s="229" t="inlineStr">
        <is>
          <t>0,36%</t>
        </is>
      </c>
      <c r="CN282" s="230" t="inlineStr">
        <is>
          <t>84</t>
        </is>
      </c>
      <c r="CO282" s="231" t="inlineStr">
        <is>
          <t>-4,03%</t>
        </is>
      </c>
      <c r="CP282" s="232" t="inlineStr">
        <is>
          <t>9</t>
        </is>
      </c>
      <c r="CQ282" s="233" t="inlineStr">
        <is>
          <t/>
        </is>
      </c>
      <c r="CR282" s="234" t="inlineStr">
        <is>
          <t/>
        </is>
      </c>
      <c r="CS282" s="235" t="inlineStr">
        <is>
          <t>0,32%</t>
        </is>
      </c>
      <c r="CT282" s="236" t="inlineStr">
        <is>
          <t>80</t>
        </is>
      </c>
      <c r="CU282" s="237" t="inlineStr">
        <is>
          <t>0,41%</t>
        </is>
      </c>
      <c r="CV282" s="238" t="inlineStr">
        <is>
          <t>89</t>
        </is>
      </c>
      <c r="CW282" s="239" t="inlineStr">
        <is>
          <t>31,30x</t>
        </is>
      </c>
      <c r="CX282" s="240" t="inlineStr">
        <is>
          <t>94</t>
        </is>
      </c>
      <c r="CY282" s="241" t="inlineStr">
        <is>
          <t>0,12x</t>
        </is>
      </c>
      <c r="CZ282" s="242" t="inlineStr">
        <is>
          <t>0,40%</t>
        </is>
      </c>
      <c r="DA282" s="243" t="inlineStr">
        <is>
          <t>53,28x</t>
        </is>
      </c>
      <c r="DB282" s="244" t="inlineStr">
        <is>
          <t>96</t>
        </is>
      </c>
      <c r="DC282" s="245" t="inlineStr">
        <is>
          <t>9,32x</t>
        </is>
      </c>
      <c r="DD282" s="246" t="inlineStr">
        <is>
          <t>83</t>
        </is>
      </c>
      <c r="DE282" s="247" t="inlineStr">
        <is>
          <t>53,28x</t>
        </is>
      </c>
      <c r="DF282" s="248" t="inlineStr">
        <is>
          <t>94</t>
        </is>
      </c>
      <c r="DG282" s="249" t="inlineStr">
        <is>
          <t/>
        </is>
      </c>
      <c r="DH282" s="250" t="inlineStr">
        <is>
          <t/>
        </is>
      </c>
      <c r="DI282" s="251" t="inlineStr">
        <is>
          <t>10,07x</t>
        </is>
      </c>
      <c r="DJ282" s="252" t="inlineStr">
        <is>
          <t>82</t>
        </is>
      </c>
      <c r="DK282" s="253" t="inlineStr">
        <is>
          <t>8,57x</t>
        </is>
      </c>
      <c r="DL282" s="254" t="inlineStr">
        <is>
          <t>85</t>
        </is>
      </c>
      <c r="DM282" s="255" t="inlineStr">
        <is>
          <t>33.112</t>
        </is>
      </c>
      <c r="DN282" s="256" t="inlineStr">
        <is>
          <t>-1.034</t>
        </is>
      </c>
      <c r="DO282" s="257" t="inlineStr">
        <is>
          <t>-3,03%</t>
        </is>
      </c>
      <c r="DP282" s="258" t="inlineStr">
        <is>
          <t>8.013</t>
        </is>
      </c>
      <c r="DQ282" s="259" t="inlineStr">
        <is>
          <t>66</t>
        </is>
      </c>
      <c r="DR282" s="260" t="inlineStr">
        <is>
          <t>0,83%</t>
        </is>
      </c>
      <c r="DS282" s="261" t="inlineStr">
        <is>
          <t/>
        </is>
      </c>
      <c r="DT282" s="262" t="inlineStr">
        <is>
          <t/>
        </is>
      </c>
      <c r="DU282" s="263" t="inlineStr">
        <is>
          <t/>
        </is>
      </c>
      <c r="DV282" s="264" t="inlineStr">
        <is>
          <t>2.933</t>
        </is>
      </c>
      <c r="DW282" s="265" t="inlineStr">
        <is>
          <t>12</t>
        </is>
      </c>
      <c r="DX282" s="266" t="inlineStr">
        <is>
          <t>0,41%</t>
        </is>
      </c>
      <c r="DY282" s="267" t="inlineStr">
        <is>
          <t>PitchBook Research</t>
        </is>
      </c>
      <c r="DZ282" s="786">
        <f>HYPERLINK("https://my.pitchbook.com?c=59048-38", "View company online")</f>
      </c>
    </row>
    <row r="283">
      <c r="A283" s="9" t="inlineStr">
        <is>
          <t>153378-91</t>
        </is>
      </c>
      <c r="B283" s="10" t="inlineStr">
        <is>
          <t>MaaS Global</t>
        </is>
      </c>
      <c r="C283" s="11" t="inlineStr">
        <is>
          <t>MaaS Finland</t>
        </is>
      </c>
      <c r="D283" s="12" t="inlineStr">
        <is>
          <t/>
        </is>
      </c>
      <c r="E283" s="13" t="inlineStr">
        <is>
          <t>153378-91</t>
        </is>
      </c>
      <c r="F283" s="14" t="inlineStr">
        <is>
          <t>Developer of a mobility application software designed to make transport smarter. The company's Whim app provides services that will combine all the existing transport services into a single mobile application on the single-ticket principle and offer personalized transport plans tailored to customer needs, enabling users to plan their travel.</t>
        </is>
      </c>
      <c r="G283" s="15" t="inlineStr">
        <is>
          <t>Information Technology</t>
        </is>
      </c>
      <c r="H283" s="16" t="inlineStr">
        <is>
          <t>Software</t>
        </is>
      </c>
      <c r="I283" s="17" t="inlineStr">
        <is>
          <t>Application Software</t>
        </is>
      </c>
      <c r="J283" s="18" t="inlineStr">
        <is>
          <t>Application Software*; Social/Platform Software</t>
        </is>
      </c>
      <c r="K283" s="19" t="inlineStr">
        <is>
          <t>Mobile</t>
        </is>
      </c>
      <c r="L283" s="20" t="inlineStr">
        <is>
          <t>Venture Capital-Backed</t>
        </is>
      </c>
      <c r="M283" s="21" t="n">
        <v>16.4</v>
      </c>
      <c r="N283" s="22" t="inlineStr">
        <is>
          <t>Generating Revenue</t>
        </is>
      </c>
      <c r="O283" s="23" t="inlineStr">
        <is>
          <t>Privately Held (backing)</t>
        </is>
      </c>
      <c r="P283" s="24" t="inlineStr">
        <is>
          <t>Venture Capital</t>
        </is>
      </c>
      <c r="Q283" s="25" t="inlineStr">
        <is>
          <t>maas.global</t>
        </is>
      </c>
      <c r="R283" s="26" t="n">
        <v>8.0</v>
      </c>
      <c r="S283" s="27" t="inlineStr">
        <is>
          <t/>
        </is>
      </c>
      <c r="T283" s="28" t="inlineStr">
        <is>
          <t/>
        </is>
      </c>
      <c r="U283" s="29" t="n">
        <v>2015.0</v>
      </c>
      <c r="V283" s="30" t="inlineStr">
        <is>
          <t/>
        </is>
      </c>
      <c r="W283" s="31" t="inlineStr">
        <is>
          <t/>
        </is>
      </c>
      <c r="X283" s="32" t="inlineStr">
        <is>
          <t/>
        </is>
      </c>
      <c r="Y283" s="33" t="n">
        <v>0.00949</v>
      </c>
      <c r="Z283" s="34" t="inlineStr">
        <is>
          <t/>
        </is>
      </c>
      <c r="AA283" s="35" t="n">
        <v>-0.91065</v>
      </c>
      <c r="AB283" s="36" t="inlineStr">
        <is>
          <t/>
        </is>
      </c>
      <c r="AC283" s="37" t="n">
        <v>-0.0664</v>
      </c>
      <c r="AD283" s="38" t="inlineStr">
        <is>
          <t>FY 2016</t>
        </is>
      </c>
      <c r="AE283" s="39" t="inlineStr">
        <is>
          <t>127573-75P</t>
        </is>
      </c>
      <c r="AF283" s="40" t="inlineStr">
        <is>
          <t>Sampo Hietanen</t>
        </is>
      </c>
      <c r="AG283" s="41" t="inlineStr">
        <is>
          <t>Co-Founder &amp; Chief Executive Officer</t>
        </is>
      </c>
      <c r="AH283" s="42" t="inlineStr">
        <is>
          <t>sampo.hietanen@maas.global</t>
        </is>
      </c>
      <c r="AI283" s="43" t="inlineStr">
        <is>
          <t>+358 (0)40 565 7688</t>
        </is>
      </c>
      <c r="AJ283" s="44" t="inlineStr">
        <is>
          <t>Helsinki, Finland</t>
        </is>
      </c>
      <c r="AK283" s="45" t="inlineStr">
        <is>
          <t>Ludviginkatu 6</t>
        </is>
      </c>
      <c r="AL283" s="46" t="inlineStr">
        <is>
          <t/>
        </is>
      </c>
      <c r="AM283" s="47" t="inlineStr">
        <is>
          <t>Helsinki</t>
        </is>
      </c>
      <c r="AN283" s="48" t="inlineStr">
        <is>
          <t/>
        </is>
      </c>
      <c r="AO283" s="49" t="inlineStr">
        <is>
          <t>00130</t>
        </is>
      </c>
      <c r="AP283" s="50" t="inlineStr">
        <is>
          <t>Finland</t>
        </is>
      </c>
      <c r="AQ283" s="51" t="inlineStr">
        <is>
          <t/>
        </is>
      </c>
      <c r="AR283" s="52" t="inlineStr">
        <is>
          <t/>
        </is>
      </c>
      <c r="AS283" s="53" t="inlineStr">
        <is>
          <t>info@maas.global</t>
        </is>
      </c>
      <c r="AT283" s="54" t="inlineStr">
        <is>
          <t>Europe</t>
        </is>
      </c>
      <c r="AU283" s="55" t="inlineStr">
        <is>
          <t>Northern Europe</t>
        </is>
      </c>
      <c r="AV283" s="56" t="inlineStr">
        <is>
          <t>The company raised over EUR 14.2 million of venture funding from Toyota Financial Services, Aioi Nissay Dowa Insurance Company and Transdev on August 2, 2017. Denso, Veho, Swiftcom, Karsan and other undisclosed investors also participated. The capital investment will be used by the company for further expanding internationally and scaling the Whim app, recently launched in the Helsinki region in Finland.</t>
        </is>
      </c>
      <c r="AW283" s="57" t="inlineStr">
        <is>
          <t>Aioi Nissay Dowa Insurance Company, DENSO, Good Sign Solutions, GoSwift, Innovative Mobility, iqpayments, Karsan Otomotiv Sanayii, Korsisaari Group, Maas Australia, Neocard, Swiftcom, Tekes, Toyota Financial Services, Transdev, Veho Group</t>
        </is>
      </c>
      <c r="AX283" s="58" t="n">
        <v>15.0</v>
      </c>
      <c r="AY283" s="59" t="inlineStr">
        <is>
          <t/>
        </is>
      </c>
      <c r="AZ283" s="60" t="inlineStr">
        <is>
          <t/>
        </is>
      </c>
      <c r="BA283" s="61" t="inlineStr">
        <is>
          <t/>
        </is>
      </c>
      <c r="BB283" s="62" t="inlineStr">
        <is>
          <t>Aioi Nissay Dowa Insurance Company (www.aioinissaydowa.co.jp), DENSO (www.denso.com), Good Sign Solutions (goodsignsolutions.com), GoSwift (www.goswift.eu), Karsan Otomotiv Sanayii (www.karsan.com.tr), Korsisaari Group (www.korsisaari.fi), Neocard (www.neocard.fi), Tekes (www.tekes.fi), Toyota Financial Services (www.toyotafinancial.com), Transdev (www.transdev.com), Veho Group (www.veho.fi)</t>
        </is>
      </c>
      <c r="BC283" s="63" t="inlineStr">
        <is>
          <t/>
        </is>
      </c>
      <c r="BD283" s="64" t="inlineStr">
        <is>
          <t/>
        </is>
      </c>
      <c r="BE283" s="65" t="inlineStr">
        <is>
          <t/>
        </is>
      </c>
      <c r="BF283" s="66" t="inlineStr">
        <is>
          <t/>
        </is>
      </c>
      <c r="BG283" s="67" t="n">
        <v>42409.0</v>
      </c>
      <c r="BH283" s="68" t="n">
        <v>2.2</v>
      </c>
      <c r="BI283" s="69" t="inlineStr">
        <is>
          <t>Actual</t>
        </is>
      </c>
      <c r="BJ283" s="70" t="inlineStr">
        <is>
          <t/>
        </is>
      </c>
      <c r="BK283" s="71" t="inlineStr">
        <is>
          <t/>
        </is>
      </c>
      <c r="BL283" s="72" t="inlineStr">
        <is>
          <t>Seed Round</t>
        </is>
      </c>
      <c r="BM283" s="73" t="inlineStr">
        <is>
          <t>Seed</t>
        </is>
      </c>
      <c r="BN283" s="74" t="inlineStr">
        <is>
          <t/>
        </is>
      </c>
      <c r="BO283" s="75" t="inlineStr">
        <is>
          <t>Venture Capital</t>
        </is>
      </c>
      <c r="BP283" s="76" t="inlineStr">
        <is>
          <t/>
        </is>
      </c>
      <c r="BQ283" s="77" t="inlineStr">
        <is>
          <t/>
        </is>
      </c>
      <c r="BR283" s="78" t="inlineStr">
        <is>
          <t/>
        </is>
      </c>
      <c r="BS283" s="79" t="inlineStr">
        <is>
          <t>Completed</t>
        </is>
      </c>
      <c r="BT283" s="80" t="n">
        <v>42949.0</v>
      </c>
      <c r="BU283" s="81" t="n">
        <v>14.2</v>
      </c>
      <c r="BV283" s="82" t="inlineStr">
        <is>
          <t>Actual</t>
        </is>
      </c>
      <c r="BW283" s="83" t="inlineStr">
        <is>
          <t/>
        </is>
      </c>
      <c r="BX283" s="84" t="inlineStr">
        <is>
          <t/>
        </is>
      </c>
      <c r="BY283" s="85" t="inlineStr">
        <is>
          <t>Early Stage VC</t>
        </is>
      </c>
      <c r="BZ283" s="86" t="inlineStr">
        <is>
          <t/>
        </is>
      </c>
      <c r="CA283" s="87" t="inlineStr">
        <is>
          <t/>
        </is>
      </c>
      <c r="CB283" s="88" t="inlineStr">
        <is>
          <t>Venture Capital</t>
        </is>
      </c>
      <c r="CC283" s="89" t="inlineStr">
        <is>
          <t/>
        </is>
      </c>
      <c r="CD283" s="90" t="inlineStr">
        <is>
          <t/>
        </is>
      </c>
      <c r="CE283" s="91" t="inlineStr">
        <is>
          <t/>
        </is>
      </c>
      <c r="CF283" s="92" t="inlineStr">
        <is>
          <t>Completed</t>
        </is>
      </c>
      <c r="CG283" s="93" t="inlineStr">
        <is>
          <t>-0,29%</t>
        </is>
      </c>
      <c r="CH283" s="94" t="inlineStr">
        <is>
          <t>11</t>
        </is>
      </c>
      <c r="CI283" s="95" t="inlineStr">
        <is>
          <t>-0,01%</t>
        </is>
      </c>
      <c r="CJ283" s="96" t="inlineStr">
        <is>
          <t>-2,24%</t>
        </is>
      </c>
      <c r="CK283" s="97" t="inlineStr">
        <is>
          <t>-1,18%</t>
        </is>
      </c>
      <c r="CL283" s="98" t="inlineStr">
        <is>
          <t>8</t>
        </is>
      </c>
      <c r="CM283" s="99" t="inlineStr">
        <is>
          <t>0,60%</t>
        </is>
      </c>
      <c r="CN283" s="100" t="inlineStr">
        <is>
          <t>92</t>
        </is>
      </c>
      <c r="CO283" s="101" t="inlineStr">
        <is>
          <t>-2,36%</t>
        </is>
      </c>
      <c r="CP283" s="102" t="inlineStr">
        <is>
          <t>14</t>
        </is>
      </c>
      <c r="CQ283" s="103" t="inlineStr">
        <is>
          <t>0,00%</t>
        </is>
      </c>
      <c r="CR283" s="104" t="inlineStr">
        <is>
          <t>13</t>
        </is>
      </c>
      <c r="CS283" s="105" t="inlineStr">
        <is>
          <t>0,41%</t>
        </is>
      </c>
      <c r="CT283" s="106" t="inlineStr">
        <is>
          <t>84</t>
        </is>
      </c>
      <c r="CU283" s="107" t="inlineStr">
        <is>
          <t>0,78%</t>
        </is>
      </c>
      <c r="CV283" s="108" t="inlineStr">
        <is>
          <t>96</t>
        </is>
      </c>
      <c r="CW283" s="109" t="inlineStr">
        <is>
          <t>3,47x</t>
        </is>
      </c>
      <c r="CX283" s="110" t="inlineStr">
        <is>
          <t>74</t>
        </is>
      </c>
      <c r="CY283" s="111" t="inlineStr">
        <is>
          <t>0,07x</t>
        </is>
      </c>
      <c r="CZ283" s="112" t="inlineStr">
        <is>
          <t>1,96%</t>
        </is>
      </c>
      <c r="DA283" s="113" t="inlineStr">
        <is>
          <t>2,72x</t>
        </is>
      </c>
      <c r="DB283" s="114" t="inlineStr">
        <is>
          <t>72</t>
        </is>
      </c>
      <c r="DC283" s="115" t="inlineStr">
        <is>
          <t>4,23x</t>
        </is>
      </c>
      <c r="DD283" s="116" t="inlineStr">
        <is>
          <t>74</t>
        </is>
      </c>
      <c r="DE283" s="117" t="inlineStr">
        <is>
          <t>4,71x</t>
        </is>
      </c>
      <c r="DF283" s="118" t="inlineStr">
        <is>
          <t>76</t>
        </is>
      </c>
      <c r="DG283" s="119" t="inlineStr">
        <is>
          <t>0,72x</t>
        </is>
      </c>
      <c r="DH283" s="120" t="inlineStr">
        <is>
          <t>43</t>
        </is>
      </c>
      <c r="DI283" s="121" t="inlineStr">
        <is>
          <t>1,12x</t>
        </is>
      </c>
      <c r="DJ283" s="122" t="inlineStr">
        <is>
          <t>52</t>
        </is>
      </c>
      <c r="DK283" s="123" t="inlineStr">
        <is>
          <t>7,34x</t>
        </is>
      </c>
      <c r="DL283" s="124" t="inlineStr">
        <is>
          <t>83</t>
        </is>
      </c>
      <c r="DM283" s="125" t="inlineStr">
        <is>
          <t>2.872</t>
        </is>
      </c>
      <c r="DN283" s="126" t="inlineStr">
        <is>
          <t>76</t>
        </is>
      </c>
      <c r="DO283" s="127" t="inlineStr">
        <is>
          <t>2,72%</t>
        </is>
      </c>
      <c r="DP283" s="128" t="inlineStr">
        <is>
          <t>898</t>
        </is>
      </c>
      <c r="DQ283" s="129" t="inlineStr">
        <is>
          <t>2</t>
        </is>
      </c>
      <c r="DR283" s="130" t="inlineStr">
        <is>
          <t>0,22%</t>
        </is>
      </c>
      <c r="DS283" s="131" t="inlineStr">
        <is>
          <t>25</t>
        </is>
      </c>
      <c r="DT283" s="132" t="inlineStr">
        <is>
          <t>1</t>
        </is>
      </c>
      <c r="DU283" s="133" t="inlineStr">
        <is>
          <t>4,17%</t>
        </is>
      </c>
      <c r="DV283" s="134" t="inlineStr">
        <is>
          <t>2.508</t>
        </is>
      </c>
      <c r="DW283" s="135" t="inlineStr">
        <is>
          <t>20</t>
        </is>
      </c>
      <c r="DX283" s="136" t="inlineStr">
        <is>
          <t>0,80%</t>
        </is>
      </c>
      <c r="DY283" s="137" t="inlineStr">
        <is>
          <t>PitchBook Research</t>
        </is>
      </c>
      <c r="DZ283" s="785">
        <f>HYPERLINK("https://my.pitchbook.com?c=153378-91", "View company online")</f>
      </c>
    </row>
    <row r="284">
      <c r="A284" s="139" t="inlineStr">
        <is>
          <t>107055-37</t>
        </is>
      </c>
      <c r="B284" s="140" t="inlineStr">
        <is>
          <t>MaaT Pharma</t>
        </is>
      </c>
      <c r="C284" s="141" t="inlineStr">
        <is>
          <t/>
        </is>
      </c>
      <c r="D284" s="142" t="inlineStr">
        <is>
          <t/>
        </is>
      </c>
      <c r="E284" s="143" t="inlineStr">
        <is>
          <t>107055-37</t>
        </is>
      </c>
      <c r="F284" s="144" t="inlineStr">
        <is>
          <t>Provider of microbiotherapy services. The company offers microbiotherapy services and uses the power of gut microbial ecology to treat diseases.</t>
        </is>
      </c>
      <c r="G284" s="145" t="inlineStr">
        <is>
          <t>Healthcare</t>
        </is>
      </c>
      <c r="H284" s="146" t="inlineStr">
        <is>
          <t>Pharmaceuticals and Biotechnology</t>
        </is>
      </c>
      <c r="I284" s="147" t="inlineStr">
        <is>
          <t>Biotechnology</t>
        </is>
      </c>
      <c r="J284" s="148" t="inlineStr">
        <is>
          <t>Biotechnology*; Other Healthcare Services; Other Pharmaceuticals and Biotechnology</t>
        </is>
      </c>
      <c r="K284" s="149" t="inlineStr">
        <is>
          <t>Life Sciences, Oncology</t>
        </is>
      </c>
      <c r="L284" s="150" t="inlineStr">
        <is>
          <t>Venture Capital-Backed</t>
        </is>
      </c>
      <c r="M284" s="151" t="n">
        <v>12.0</v>
      </c>
      <c r="N284" s="152" t="inlineStr">
        <is>
          <t>Startup</t>
        </is>
      </c>
      <c r="O284" s="153" t="inlineStr">
        <is>
          <t>Privately Held (backing)</t>
        </is>
      </c>
      <c r="P284" s="154" t="inlineStr">
        <is>
          <t>Venture Capital</t>
        </is>
      </c>
      <c r="Q284" s="155" t="inlineStr">
        <is>
          <t>maatpharma.com</t>
        </is>
      </c>
      <c r="R284" s="156" t="n">
        <v>10.0</v>
      </c>
      <c r="S284" s="157" t="inlineStr">
        <is>
          <t/>
        </is>
      </c>
      <c r="T284" s="158" t="inlineStr">
        <is>
          <t/>
        </is>
      </c>
      <c r="U284" s="159" t="n">
        <v>2014.0</v>
      </c>
      <c r="V284" s="160" t="inlineStr">
        <is>
          <t/>
        </is>
      </c>
      <c r="W284" s="161" t="inlineStr">
        <is>
          <t/>
        </is>
      </c>
      <c r="X284" s="162" t="inlineStr">
        <is>
          <t/>
        </is>
      </c>
      <c r="Y284" s="163" t="inlineStr">
        <is>
          <t/>
        </is>
      </c>
      <c r="Z284" s="164" t="inlineStr">
        <is>
          <t/>
        </is>
      </c>
      <c r="AA284" s="165" t="inlineStr">
        <is>
          <t/>
        </is>
      </c>
      <c r="AB284" s="166" t="inlineStr">
        <is>
          <t/>
        </is>
      </c>
      <c r="AC284" s="167" t="inlineStr">
        <is>
          <t/>
        </is>
      </c>
      <c r="AD284" s="168" t="inlineStr">
        <is>
          <t/>
        </is>
      </c>
      <c r="AE284" s="169" t="inlineStr">
        <is>
          <t>90304-57P</t>
        </is>
      </c>
      <c r="AF284" s="170" t="inlineStr">
        <is>
          <t>Herve Affagard</t>
        </is>
      </c>
      <c r="AG284" s="171" t="inlineStr">
        <is>
          <t>Co-Founder, Board Member &amp; Chief Executive Officer</t>
        </is>
      </c>
      <c r="AH284" s="172" t="inlineStr">
        <is>
          <t/>
        </is>
      </c>
      <c r="AI284" s="173" t="inlineStr">
        <is>
          <t>+33 (0)8 99 37 66 70</t>
        </is>
      </c>
      <c r="AJ284" s="174" t="inlineStr">
        <is>
          <t>Lyon, France</t>
        </is>
      </c>
      <c r="AK284" s="175" t="inlineStr">
        <is>
          <t>317 Avenue Jean Jaurès</t>
        </is>
      </c>
      <c r="AL284" s="176" t="inlineStr">
        <is>
          <t/>
        </is>
      </c>
      <c r="AM284" s="177" t="inlineStr">
        <is>
          <t>Lyon</t>
        </is>
      </c>
      <c r="AN284" s="178" t="inlineStr">
        <is>
          <t/>
        </is>
      </c>
      <c r="AO284" s="179" t="inlineStr">
        <is>
          <t>69007</t>
        </is>
      </c>
      <c r="AP284" s="180" t="inlineStr">
        <is>
          <t>France</t>
        </is>
      </c>
      <c r="AQ284" s="181" t="inlineStr">
        <is>
          <t>+33 (0)8 99 37 66 70</t>
        </is>
      </c>
      <c r="AR284" s="182" t="inlineStr">
        <is>
          <t/>
        </is>
      </c>
      <c r="AS284" s="183" t="inlineStr">
        <is>
          <t>contact@maat-pharma.com</t>
        </is>
      </c>
      <c r="AT284" s="184" t="inlineStr">
        <is>
          <t>Europe</t>
        </is>
      </c>
      <c r="AU284" s="185" t="inlineStr">
        <is>
          <t>Western Europe</t>
        </is>
      </c>
      <c r="AV284" s="186" t="inlineStr">
        <is>
          <t>The company raised EUR 10 million of Series A venture funding from lead investor CM-CIC Innovation on March 22, 2016. Seventure Partners, INRA and Biocodex also participated. The company will use funds to launch of its clinical studies, to begin this summer, with the objective of developing an innovative medicine for correcting dysbiosis following the treatment of diseases such as leukaemia or bone and joint infections. Previously the company raised EUR 1 million of venture funding from lead Seventure Partners on July 24, 2015.</t>
        </is>
      </c>
      <c r="AW284" s="187" t="inlineStr">
        <is>
          <t>BigBooster, Biocodex, CM-CIC Investissement, INRA Transfert, Seventure Partners</t>
        </is>
      </c>
      <c r="AX284" s="188" t="n">
        <v>5.0</v>
      </c>
      <c r="AY284" s="189" t="inlineStr">
        <is>
          <t/>
        </is>
      </c>
      <c r="AZ284" s="190" t="inlineStr">
        <is>
          <t/>
        </is>
      </c>
      <c r="BA284" s="191" t="inlineStr">
        <is>
          <t/>
        </is>
      </c>
      <c r="BB284" s="192" t="inlineStr">
        <is>
          <t>BigBooster (www.bigbooster.org), Biocodex (www.biocodex.com), CM-CIC Investissement (www.cmcic-investissement.com), INRA Transfert (www.inra-transfert.fr), Seventure Partners (www.seventure.fr)</t>
        </is>
      </c>
      <c r="BC284" s="193" t="inlineStr">
        <is>
          <t/>
        </is>
      </c>
      <c r="BD284" s="194" t="inlineStr">
        <is>
          <t/>
        </is>
      </c>
      <c r="BE284" s="195" t="inlineStr">
        <is>
          <t/>
        </is>
      </c>
      <c r="BF284" s="196" t="inlineStr">
        <is>
          <t/>
        </is>
      </c>
      <c r="BG284" s="197" t="n">
        <v>42013.0</v>
      </c>
      <c r="BH284" s="198" t="n">
        <v>1.0</v>
      </c>
      <c r="BI284" s="199" t="inlineStr">
        <is>
          <t>Actual</t>
        </is>
      </c>
      <c r="BJ284" s="200" t="inlineStr">
        <is>
          <t/>
        </is>
      </c>
      <c r="BK284" s="201" t="inlineStr">
        <is>
          <t/>
        </is>
      </c>
      <c r="BL284" s="202" t="inlineStr">
        <is>
          <t>Seed Round</t>
        </is>
      </c>
      <c r="BM284" s="203" t="inlineStr">
        <is>
          <t>Seed</t>
        </is>
      </c>
      <c r="BN284" s="204" t="inlineStr">
        <is>
          <t/>
        </is>
      </c>
      <c r="BO284" s="205" t="inlineStr">
        <is>
          <t>Venture Capital</t>
        </is>
      </c>
      <c r="BP284" s="206" t="inlineStr">
        <is>
          <t/>
        </is>
      </c>
      <c r="BQ284" s="207" t="inlineStr">
        <is>
          <t/>
        </is>
      </c>
      <c r="BR284" s="208" t="inlineStr">
        <is>
          <t/>
        </is>
      </c>
      <c r="BS284" s="209" t="inlineStr">
        <is>
          <t>Completed</t>
        </is>
      </c>
      <c r="BT284" s="210" t="n">
        <v>42451.0</v>
      </c>
      <c r="BU284" s="211" t="n">
        <v>10.0</v>
      </c>
      <c r="BV284" s="212" t="inlineStr">
        <is>
          <t>Actual</t>
        </is>
      </c>
      <c r="BW284" s="213" t="inlineStr">
        <is>
          <t/>
        </is>
      </c>
      <c r="BX284" s="214" t="inlineStr">
        <is>
          <t/>
        </is>
      </c>
      <c r="BY284" s="215" t="inlineStr">
        <is>
          <t>Early Stage VC</t>
        </is>
      </c>
      <c r="BZ284" s="216" t="inlineStr">
        <is>
          <t>Series A</t>
        </is>
      </c>
      <c r="CA284" s="217" t="inlineStr">
        <is>
          <t/>
        </is>
      </c>
      <c r="CB284" s="218" t="inlineStr">
        <is>
          <t>Venture Capital</t>
        </is>
      </c>
      <c r="CC284" s="219" t="inlineStr">
        <is>
          <t/>
        </is>
      </c>
      <c r="CD284" s="220" t="inlineStr">
        <is>
          <t/>
        </is>
      </c>
      <c r="CE284" s="221" t="inlineStr">
        <is>
          <t/>
        </is>
      </c>
      <c r="CF284" s="222" t="inlineStr">
        <is>
          <t>Completed</t>
        </is>
      </c>
      <c r="CG284" s="223" t="inlineStr">
        <is>
          <t>0,00%</t>
        </is>
      </c>
      <c r="CH284" s="224" t="inlineStr">
        <is>
          <t>23</t>
        </is>
      </c>
      <c r="CI284" s="225" t="inlineStr">
        <is>
          <t>0,00%</t>
        </is>
      </c>
      <c r="CJ284" s="226" t="inlineStr">
        <is>
          <t>0,00%</t>
        </is>
      </c>
      <c r="CK284" s="227" t="inlineStr">
        <is>
          <t>0,00%</t>
        </is>
      </c>
      <c r="CL284" s="228" t="inlineStr">
        <is>
          <t>18</t>
        </is>
      </c>
      <c r="CM284" s="229" t="inlineStr">
        <is>
          <t>0,00%</t>
        </is>
      </c>
      <c r="CN284" s="230" t="inlineStr">
        <is>
          <t>19</t>
        </is>
      </c>
      <c r="CO284" s="231" t="inlineStr">
        <is>
          <t>0,00%</t>
        </is>
      </c>
      <c r="CP284" s="232" t="inlineStr">
        <is>
          <t>26</t>
        </is>
      </c>
      <c r="CQ284" s="233" t="inlineStr">
        <is>
          <t>0,00%</t>
        </is>
      </c>
      <c r="CR284" s="234" t="inlineStr">
        <is>
          <t>13</t>
        </is>
      </c>
      <c r="CS284" s="235" t="inlineStr">
        <is>
          <t/>
        </is>
      </c>
      <c r="CT284" s="236" t="inlineStr">
        <is>
          <t/>
        </is>
      </c>
      <c r="CU284" s="237" t="inlineStr">
        <is>
          <t>0,00%</t>
        </is>
      </c>
      <c r="CV284" s="238" t="inlineStr">
        <is>
          <t>20</t>
        </is>
      </c>
      <c r="CW284" s="239" t="inlineStr">
        <is>
          <t>0,16x</t>
        </is>
      </c>
      <c r="CX284" s="240" t="inlineStr">
        <is>
          <t>14</t>
        </is>
      </c>
      <c r="CY284" s="241" t="inlineStr">
        <is>
          <t>0,00x</t>
        </is>
      </c>
      <c r="CZ284" s="242" t="inlineStr">
        <is>
          <t>-2,24%</t>
        </is>
      </c>
      <c r="DA284" s="243" t="inlineStr">
        <is>
          <t>0,32x</t>
        </is>
      </c>
      <c r="DB284" s="244" t="inlineStr">
        <is>
          <t>27</t>
        </is>
      </c>
      <c r="DC284" s="245" t="inlineStr">
        <is>
          <t>0,00x</t>
        </is>
      </c>
      <c r="DD284" s="246" t="inlineStr">
        <is>
          <t>1</t>
        </is>
      </c>
      <c r="DE284" s="247" t="inlineStr">
        <is>
          <t>0,20x</t>
        </is>
      </c>
      <c r="DF284" s="248" t="inlineStr">
        <is>
          <t>19</t>
        </is>
      </c>
      <c r="DG284" s="249" t="inlineStr">
        <is>
          <t>0,44x</t>
        </is>
      </c>
      <c r="DH284" s="250" t="inlineStr">
        <is>
          <t>34</t>
        </is>
      </c>
      <c r="DI284" s="251" t="inlineStr">
        <is>
          <t/>
        </is>
      </c>
      <c r="DJ284" s="252" t="inlineStr">
        <is>
          <t/>
        </is>
      </c>
      <c r="DK284" s="253" t="inlineStr">
        <is>
          <t>0,00x</t>
        </is>
      </c>
      <c r="DL284" s="254" t="inlineStr">
        <is>
          <t>1</t>
        </is>
      </c>
      <c r="DM284" s="255" t="inlineStr">
        <is>
          <t>127</t>
        </is>
      </c>
      <c r="DN284" s="256" t="inlineStr">
        <is>
          <t>-11</t>
        </is>
      </c>
      <c r="DO284" s="257" t="inlineStr">
        <is>
          <t>-7,97%</t>
        </is>
      </c>
      <c r="DP284" s="258" t="inlineStr">
        <is>
          <t/>
        </is>
      </c>
      <c r="DQ284" s="259" t="inlineStr">
        <is>
          <t/>
        </is>
      </c>
      <c r="DR284" s="260" t="inlineStr">
        <is>
          <t/>
        </is>
      </c>
      <c r="DS284" s="261" t="inlineStr">
        <is>
          <t>16</t>
        </is>
      </c>
      <c r="DT284" s="262" t="inlineStr">
        <is>
          <t>-1</t>
        </is>
      </c>
      <c r="DU284" s="263" t="inlineStr">
        <is>
          <t>-5,88%</t>
        </is>
      </c>
      <c r="DV284" s="264" t="inlineStr">
        <is>
          <t>1</t>
        </is>
      </c>
      <c r="DW284" s="265" t="inlineStr">
        <is>
          <t>0</t>
        </is>
      </c>
      <c r="DX284" s="266" t="inlineStr">
        <is>
          <t>0,00%</t>
        </is>
      </c>
      <c r="DY284" s="267" t="inlineStr">
        <is>
          <t>PitchBook Research</t>
        </is>
      </c>
      <c r="DZ284" s="786">
        <f>HYPERLINK("https://my.pitchbook.com?c=107055-37", "View company online")</f>
      </c>
    </row>
    <row r="285">
      <c r="A285" s="9" t="inlineStr">
        <is>
          <t>56430-10</t>
        </is>
      </c>
      <c r="B285" s="10" t="inlineStr">
        <is>
          <t>Magine</t>
        </is>
      </c>
      <c r="C285" s="11" t="inlineStr">
        <is>
          <t/>
        </is>
      </c>
      <c r="D285" s="12" t="inlineStr">
        <is>
          <t>MagineTV</t>
        </is>
      </c>
      <c r="E285" s="13" t="inlineStr">
        <is>
          <t>56430-10</t>
        </is>
      </c>
      <c r="F285" s="14" t="inlineStr">
        <is>
          <t>Provider of a cloud-based streaming television platform designed to connect TV channels to audiences. The company's streaming television platform delivers high speed, high- quality, DRM protected images via any available Internet connection, enabling consumers to watch live, start over and catch-up television from channels on different devices.</t>
        </is>
      </c>
      <c r="G285" s="15" t="inlineStr">
        <is>
          <t>Consumer Products and Services (B2C)</t>
        </is>
      </c>
      <c r="H285" s="16" t="inlineStr">
        <is>
          <t>Media</t>
        </is>
      </c>
      <c r="I285" s="17" t="inlineStr">
        <is>
          <t>Broadcasting, Radio and Television</t>
        </is>
      </c>
      <c r="J285" s="18" t="inlineStr">
        <is>
          <t>Broadcasting, Radio and Television*; Other Software</t>
        </is>
      </c>
      <c r="K285" s="19" t="inlineStr">
        <is>
          <t>Mobile, SaaS</t>
        </is>
      </c>
      <c r="L285" s="20" t="inlineStr">
        <is>
          <t>Venture Capital-Backed</t>
        </is>
      </c>
      <c r="M285" s="21" t="n">
        <v>32.03</v>
      </c>
      <c r="N285" s="22" t="inlineStr">
        <is>
          <t>Product Development</t>
        </is>
      </c>
      <c r="O285" s="23" t="inlineStr">
        <is>
          <t>Privately Held (backing)</t>
        </is>
      </c>
      <c r="P285" s="24" t="inlineStr">
        <is>
          <t>Venture Capital</t>
        </is>
      </c>
      <c r="Q285" s="25" t="inlineStr">
        <is>
          <t>www.magine.com</t>
        </is>
      </c>
      <c r="R285" s="26" t="n">
        <v>106.0</v>
      </c>
      <c r="S285" s="27" t="inlineStr">
        <is>
          <t/>
        </is>
      </c>
      <c r="T285" s="28" t="inlineStr">
        <is>
          <t/>
        </is>
      </c>
      <c r="U285" s="29" t="n">
        <v>2012.0</v>
      </c>
      <c r="V285" s="30" t="inlineStr">
        <is>
          <t/>
        </is>
      </c>
      <c r="W285" s="31" t="inlineStr">
        <is>
          <t/>
        </is>
      </c>
      <c r="X285" s="32" t="inlineStr">
        <is>
          <t/>
        </is>
      </c>
      <c r="Y285" s="33" t="n">
        <v>0.19293</v>
      </c>
      <c r="Z285" s="34" t="inlineStr">
        <is>
          <t/>
        </is>
      </c>
      <c r="AA285" s="35" t="n">
        <v>-33.77251</v>
      </c>
      <c r="AB285" s="36" t="inlineStr">
        <is>
          <t/>
        </is>
      </c>
      <c r="AC285" s="37" t="n">
        <v>-33.4969</v>
      </c>
      <c r="AD285" s="38" t="inlineStr">
        <is>
          <t>FY 2015</t>
        </is>
      </c>
      <c r="AE285" s="39" t="inlineStr">
        <is>
          <t>48534-31P</t>
        </is>
      </c>
      <c r="AF285" s="40" t="inlineStr">
        <is>
          <t>Erik Wikström</t>
        </is>
      </c>
      <c r="AG285" s="41" t="inlineStr">
        <is>
          <t>Co-Founder</t>
        </is>
      </c>
      <c r="AH285" s="42" t="inlineStr">
        <is>
          <t>erik@fitnesscollection.se</t>
        </is>
      </c>
      <c r="AI285" s="43" t="inlineStr">
        <is>
          <t>+46 (0)08-1220 1110</t>
        </is>
      </c>
      <c r="AJ285" s="44" t="inlineStr">
        <is>
          <t>Stockholm, Sweden</t>
        </is>
      </c>
      <c r="AK285" s="45" t="inlineStr">
        <is>
          <t>P.O. Box 7431</t>
        </is>
      </c>
      <c r="AL285" s="46" t="inlineStr">
        <is>
          <t/>
        </is>
      </c>
      <c r="AM285" s="47" t="inlineStr">
        <is>
          <t>Stockholm</t>
        </is>
      </c>
      <c r="AN285" s="48" t="inlineStr">
        <is>
          <t/>
        </is>
      </c>
      <c r="AO285" s="49" t="inlineStr">
        <is>
          <t>103 91</t>
        </is>
      </c>
      <c r="AP285" s="50" t="inlineStr">
        <is>
          <t>Sweden</t>
        </is>
      </c>
      <c r="AQ285" s="51" t="inlineStr">
        <is>
          <t>+46 (0)70 437 9001</t>
        </is>
      </c>
      <c r="AR285" s="52" t="inlineStr">
        <is>
          <t/>
        </is>
      </c>
      <c r="AS285" s="53" t="inlineStr">
        <is>
          <t>info@magine.com</t>
        </is>
      </c>
      <c r="AT285" s="54" t="inlineStr">
        <is>
          <t>Europe</t>
        </is>
      </c>
      <c r="AU285" s="55" t="inlineStr">
        <is>
          <t>Northern Europe</t>
        </is>
      </c>
      <c r="AV285" s="56" t="inlineStr">
        <is>
          <t>The company raised $12.4 million of venture funding from undisclosed investors on May 29, 2015.</t>
        </is>
      </c>
      <c r="AW285" s="57" t="inlineStr">
        <is>
          <t>Varenne Investment</t>
        </is>
      </c>
      <c r="AX285" s="58" t="n">
        <v>1.0</v>
      </c>
      <c r="AY285" s="59" t="inlineStr">
        <is>
          <t/>
        </is>
      </c>
      <c r="AZ285" s="60" t="inlineStr">
        <is>
          <t/>
        </is>
      </c>
      <c r="BA285" s="61" t="inlineStr">
        <is>
          <t/>
        </is>
      </c>
      <c r="BB285" s="62" t="inlineStr">
        <is>
          <t>Varenne Investment (www.varenne.se)</t>
        </is>
      </c>
      <c r="BC285" s="63" t="inlineStr">
        <is>
          <t/>
        </is>
      </c>
      <c r="BD285" s="64" t="inlineStr">
        <is>
          <t/>
        </is>
      </c>
      <c r="BE285" s="65" t="inlineStr">
        <is>
          <t/>
        </is>
      </c>
      <c r="BF285" s="66" t="inlineStr">
        <is>
          <t>Carnegie Investment Bank (Advisor)</t>
        </is>
      </c>
      <c r="BG285" s="67" t="n">
        <v>41354.0</v>
      </c>
      <c r="BH285" s="68" t="n">
        <v>6.4</v>
      </c>
      <c r="BI285" s="69" t="inlineStr">
        <is>
          <t>Actual</t>
        </is>
      </c>
      <c r="BJ285" s="70" t="inlineStr">
        <is>
          <t/>
        </is>
      </c>
      <c r="BK285" s="71" t="inlineStr">
        <is>
          <t/>
        </is>
      </c>
      <c r="BL285" s="72" t="inlineStr">
        <is>
          <t>Angel (individual)</t>
        </is>
      </c>
      <c r="BM285" s="73" t="inlineStr">
        <is>
          <t>Angel</t>
        </is>
      </c>
      <c r="BN285" s="74" t="inlineStr">
        <is>
          <t/>
        </is>
      </c>
      <c r="BO285" s="75" t="inlineStr">
        <is>
          <t>Individual</t>
        </is>
      </c>
      <c r="BP285" s="76" t="inlineStr">
        <is>
          <t/>
        </is>
      </c>
      <c r="BQ285" s="77" t="inlineStr">
        <is>
          <t/>
        </is>
      </c>
      <c r="BR285" s="78" t="inlineStr">
        <is>
          <t/>
        </is>
      </c>
      <c r="BS285" s="79" t="inlineStr">
        <is>
          <t>Completed</t>
        </is>
      </c>
      <c r="BT285" s="80" t="n">
        <v>42153.0</v>
      </c>
      <c r="BU285" s="81" t="n">
        <v>11.1</v>
      </c>
      <c r="BV285" s="82" t="inlineStr">
        <is>
          <t>Actual</t>
        </is>
      </c>
      <c r="BW285" s="83" t="inlineStr">
        <is>
          <t/>
        </is>
      </c>
      <c r="BX285" s="84" t="inlineStr">
        <is>
          <t/>
        </is>
      </c>
      <c r="BY285" s="85" t="inlineStr">
        <is>
          <t>Early Stage VC</t>
        </is>
      </c>
      <c r="BZ285" s="86" t="inlineStr">
        <is>
          <t/>
        </is>
      </c>
      <c r="CA285" s="87" t="inlineStr">
        <is>
          <t/>
        </is>
      </c>
      <c r="CB285" s="88" t="inlineStr">
        <is>
          <t>Venture Capital</t>
        </is>
      </c>
      <c r="CC285" s="89" t="inlineStr">
        <is>
          <t/>
        </is>
      </c>
      <c r="CD285" s="90" t="inlineStr">
        <is>
          <t/>
        </is>
      </c>
      <c r="CE285" s="91" t="inlineStr">
        <is>
          <t/>
        </is>
      </c>
      <c r="CF285" s="92" t="inlineStr">
        <is>
          <t>Completed</t>
        </is>
      </c>
      <c r="CG285" s="93" t="inlineStr">
        <is>
          <t>-0,85%</t>
        </is>
      </c>
      <c r="CH285" s="94" t="inlineStr">
        <is>
          <t>6</t>
        </is>
      </c>
      <c r="CI285" s="95" t="inlineStr">
        <is>
          <t>-0,03%</t>
        </is>
      </c>
      <c r="CJ285" s="96" t="inlineStr">
        <is>
          <t>-3,06%</t>
        </is>
      </c>
      <c r="CK285" s="97" t="inlineStr">
        <is>
          <t>-1,64%</t>
        </is>
      </c>
      <c r="CL285" s="98" t="inlineStr">
        <is>
          <t>6</t>
        </is>
      </c>
      <c r="CM285" s="99" t="inlineStr">
        <is>
          <t>-0,05%</t>
        </is>
      </c>
      <c r="CN285" s="100" t="inlineStr">
        <is>
          <t>8</t>
        </is>
      </c>
      <c r="CO285" s="101" t="inlineStr">
        <is>
          <t>-3,02%</t>
        </is>
      </c>
      <c r="CP285" s="102" t="inlineStr">
        <is>
          <t>12</t>
        </is>
      </c>
      <c r="CQ285" s="103" t="inlineStr">
        <is>
          <t>-0,26%</t>
        </is>
      </c>
      <c r="CR285" s="104" t="inlineStr">
        <is>
          <t>10</t>
        </is>
      </c>
      <c r="CS285" s="105" t="inlineStr">
        <is>
          <t>-0,02%</t>
        </is>
      </c>
      <c r="CT285" s="106" t="inlineStr">
        <is>
          <t>12</t>
        </is>
      </c>
      <c r="CU285" s="107" t="inlineStr">
        <is>
          <t>-0,09%</t>
        </is>
      </c>
      <c r="CV285" s="108" t="inlineStr">
        <is>
          <t>7</t>
        </is>
      </c>
      <c r="CW285" s="109" t="inlineStr">
        <is>
          <t>55,76x</t>
        </is>
      </c>
      <c r="CX285" s="110" t="inlineStr">
        <is>
          <t>96</t>
        </is>
      </c>
      <c r="CY285" s="111" t="inlineStr">
        <is>
          <t>0,27x</t>
        </is>
      </c>
      <c r="CZ285" s="112" t="inlineStr">
        <is>
          <t>0,50%</t>
        </is>
      </c>
      <c r="DA285" s="113" t="inlineStr">
        <is>
          <t>88,77x</t>
        </is>
      </c>
      <c r="DB285" s="114" t="inlineStr">
        <is>
          <t>98</t>
        </is>
      </c>
      <c r="DC285" s="115" t="inlineStr">
        <is>
          <t>22,74x</t>
        </is>
      </c>
      <c r="DD285" s="116" t="inlineStr">
        <is>
          <t>91</t>
        </is>
      </c>
      <c r="DE285" s="117" t="inlineStr">
        <is>
          <t>168,44x</t>
        </is>
      </c>
      <c r="DF285" s="118" t="inlineStr">
        <is>
          <t>97</t>
        </is>
      </c>
      <c r="DG285" s="119" t="inlineStr">
        <is>
          <t>9,11x</t>
        </is>
      </c>
      <c r="DH285" s="120" t="inlineStr">
        <is>
          <t>85</t>
        </is>
      </c>
      <c r="DI285" s="121" t="inlineStr">
        <is>
          <t>39,14x</t>
        </is>
      </c>
      <c r="DJ285" s="122" t="inlineStr">
        <is>
          <t>92</t>
        </is>
      </c>
      <c r="DK285" s="123" t="inlineStr">
        <is>
          <t>6,34x</t>
        </is>
      </c>
      <c r="DL285" s="124" t="inlineStr">
        <is>
          <t>81</t>
        </is>
      </c>
      <c r="DM285" s="125" t="inlineStr">
        <is>
          <t>105.322</t>
        </is>
      </c>
      <c r="DN285" s="126" t="inlineStr">
        <is>
          <t>-5.200</t>
        </is>
      </c>
      <c r="DO285" s="127" t="inlineStr">
        <is>
          <t>-4,70%</t>
        </is>
      </c>
      <c r="DP285" s="128" t="inlineStr">
        <is>
          <t>31.273</t>
        </is>
      </c>
      <c r="DQ285" s="129" t="inlineStr">
        <is>
          <t>-3</t>
        </is>
      </c>
      <c r="DR285" s="130" t="inlineStr">
        <is>
          <t>-0,01%</t>
        </is>
      </c>
      <c r="DS285" s="131" t="inlineStr">
        <is>
          <t>329</t>
        </is>
      </c>
      <c r="DT285" s="132" t="inlineStr">
        <is>
          <t>-2</t>
        </is>
      </c>
      <c r="DU285" s="133" t="inlineStr">
        <is>
          <t>-0,60%</t>
        </is>
      </c>
      <c r="DV285" s="134" t="inlineStr">
        <is>
          <t>2.175</t>
        </is>
      </c>
      <c r="DW285" s="135" t="inlineStr">
        <is>
          <t>1</t>
        </is>
      </c>
      <c r="DX285" s="136" t="inlineStr">
        <is>
          <t>0,05%</t>
        </is>
      </c>
      <c r="DY285" s="137" t="inlineStr">
        <is>
          <t>PitchBook Research</t>
        </is>
      </c>
      <c r="DZ285" s="785">
        <f>HYPERLINK("https://my.pitchbook.com?c=56430-10", "View company online")</f>
      </c>
    </row>
    <row r="286">
      <c r="A286" s="139" t="inlineStr">
        <is>
          <t>94096-90</t>
        </is>
      </c>
      <c r="B286" s="140" t="inlineStr">
        <is>
          <t>ManoMano</t>
        </is>
      </c>
      <c r="C286" s="141" t="inlineStr">
        <is>
          <t>monEchelle.fr</t>
        </is>
      </c>
      <c r="D286" s="142" t="inlineStr">
        <is>
          <t/>
        </is>
      </c>
      <c r="E286" s="143" t="inlineStr">
        <is>
          <t>94096-90</t>
        </is>
      </c>
      <c r="F286" s="144" t="inlineStr">
        <is>
          <t>Operator of an online shopping portal for Gardening products. The company provides a web-based shopping portal for Gardening products.</t>
        </is>
      </c>
      <c r="G286" s="145" t="inlineStr">
        <is>
          <t>Information Technology</t>
        </is>
      </c>
      <c r="H286" s="146" t="inlineStr">
        <is>
          <t>Software</t>
        </is>
      </c>
      <c r="I286" s="147" t="inlineStr">
        <is>
          <t>Social/Platform Software</t>
        </is>
      </c>
      <c r="J286" s="148" t="inlineStr">
        <is>
          <t>Social/Platform Software*; Other Consumer Durables; Internet Retail</t>
        </is>
      </c>
      <c r="K286" s="149" t="inlineStr">
        <is>
          <t>E-Commerce</t>
        </is>
      </c>
      <c r="L286" s="150" t="inlineStr">
        <is>
          <t>Venture Capital-Backed</t>
        </is>
      </c>
      <c r="M286" s="151" t="n">
        <v>15.45</v>
      </c>
      <c r="N286" s="152" t="inlineStr">
        <is>
          <t>Generating Revenue</t>
        </is>
      </c>
      <c r="O286" s="153" t="inlineStr">
        <is>
          <t>Privately Held (backing)</t>
        </is>
      </c>
      <c r="P286" s="154" t="inlineStr">
        <is>
          <t>Venture Capital</t>
        </is>
      </c>
      <c r="Q286" s="155" t="inlineStr">
        <is>
          <t>www.manomano.co.uk</t>
        </is>
      </c>
      <c r="R286" s="156" t="n">
        <v>63.0</v>
      </c>
      <c r="S286" s="157" t="inlineStr">
        <is>
          <t/>
        </is>
      </c>
      <c r="T286" s="158" t="inlineStr">
        <is>
          <t/>
        </is>
      </c>
      <c r="U286" s="159" t="n">
        <v>2012.0</v>
      </c>
      <c r="V286" s="160" t="inlineStr">
        <is>
          <t/>
        </is>
      </c>
      <c r="W286" s="161" t="inlineStr">
        <is>
          <t/>
        </is>
      </c>
      <c r="X286" s="162" t="inlineStr">
        <is>
          <t/>
        </is>
      </c>
      <c r="Y286" s="163" t="n">
        <v>31.99937</v>
      </c>
      <c r="Z286" s="164" t="inlineStr">
        <is>
          <t/>
        </is>
      </c>
      <c r="AA286" s="165" t="inlineStr">
        <is>
          <t/>
        </is>
      </c>
      <c r="AB286" s="166" t="inlineStr">
        <is>
          <t/>
        </is>
      </c>
      <c r="AC286" s="167" t="inlineStr">
        <is>
          <t/>
        </is>
      </c>
      <c r="AD286" s="168" t="inlineStr">
        <is>
          <t>FY 2015</t>
        </is>
      </c>
      <c r="AE286" s="169" t="inlineStr">
        <is>
          <t>106724-53P</t>
        </is>
      </c>
      <c r="AF286" s="170" t="inlineStr">
        <is>
          <t>Philippe Chanville</t>
        </is>
      </c>
      <c r="AG286" s="171" t="inlineStr">
        <is>
          <t>Co-Founder</t>
        </is>
      </c>
      <c r="AH286" s="172" t="inlineStr">
        <is>
          <t/>
        </is>
      </c>
      <c r="AI286" s="173" t="inlineStr">
        <is>
          <t/>
        </is>
      </c>
      <c r="AJ286" s="174" t="inlineStr">
        <is>
          <t>Paris, France</t>
        </is>
      </c>
      <c r="AK286" s="175" t="inlineStr">
        <is>
          <t>15 Avenue de la Grande Armée</t>
        </is>
      </c>
      <c r="AL286" s="176" t="inlineStr">
        <is>
          <t/>
        </is>
      </c>
      <c r="AM286" s="177" t="inlineStr">
        <is>
          <t>Paris</t>
        </is>
      </c>
      <c r="AN286" s="178" t="inlineStr">
        <is>
          <t/>
        </is>
      </c>
      <c r="AO286" s="179" t="inlineStr">
        <is>
          <t>75116</t>
        </is>
      </c>
      <c r="AP286" s="180" t="inlineStr">
        <is>
          <t>France</t>
        </is>
      </c>
      <c r="AQ286" s="181" t="inlineStr">
        <is>
          <t/>
        </is>
      </c>
      <c r="AR286" s="182" t="inlineStr">
        <is>
          <t/>
        </is>
      </c>
      <c r="AS286" s="183" t="inlineStr">
        <is>
          <t>contact@monechelle.com</t>
        </is>
      </c>
      <c r="AT286" s="184" t="inlineStr">
        <is>
          <t>Europe</t>
        </is>
      </c>
      <c r="AU286" s="185" t="inlineStr">
        <is>
          <t>Western Europe</t>
        </is>
      </c>
      <c r="AV286" s="186" t="inlineStr">
        <is>
          <t>The company raised EUR 13 million of venture funding from lead investor Partech Ventures on March 31, 2016. Bpifrance, Piton Capital and CM-CIC Capital Privé also participated. The company will use funds to extend the national scope of its DIY self-help website supermano between individuals and also to further open its marketplace to new countries.</t>
        </is>
      </c>
      <c r="AW286" s="187" t="inlineStr">
        <is>
          <t>Bpifrance, CM-CIC Capital Privé, Denis Fayolle, Partech Ventures, Piton Capital</t>
        </is>
      </c>
      <c r="AX286" s="188" t="n">
        <v>5.0</v>
      </c>
      <c r="AY286" s="189" t="inlineStr">
        <is>
          <t/>
        </is>
      </c>
      <c r="AZ286" s="190" t="inlineStr">
        <is>
          <t/>
        </is>
      </c>
      <c r="BA286" s="191" t="inlineStr">
        <is>
          <t/>
        </is>
      </c>
      <c r="BB286" s="192" t="inlineStr">
        <is>
          <t>Bpifrance (www.bpifrance.fr), CM-CIC Capital Privé (www.cmciccapitalprive.com), Partech Ventures (www.partechventures.com), Piton Capital (www.pitoncap.com)</t>
        </is>
      </c>
      <c r="BC286" s="193" t="inlineStr">
        <is>
          <t/>
        </is>
      </c>
      <c r="BD286" s="194" t="inlineStr">
        <is>
          <t/>
        </is>
      </c>
      <c r="BE286" s="195" t="inlineStr">
        <is>
          <t/>
        </is>
      </c>
      <c r="BF286" s="196" t="inlineStr">
        <is>
          <t/>
        </is>
      </c>
      <c r="BG286" s="197" t="n">
        <v>41306.0</v>
      </c>
      <c r="BH286" s="198" t="n">
        <v>0.3</v>
      </c>
      <c r="BI286" s="199" t="inlineStr">
        <is>
          <t>Actual</t>
        </is>
      </c>
      <c r="BJ286" s="200" t="inlineStr">
        <is>
          <t/>
        </is>
      </c>
      <c r="BK286" s="201" t="inlineStr">
        <is>
          <t/>
        </is>
      </c>
      <c r="BL286" s="202" t="inlineStr">
        <is>
          <t>Angel (individual)</t>
        </is>
      </c>
      <c r="BM286" s="203" t="inlineStr">
        <is>
          <t>Angel</t>
        </is>
      </c>
      <c r="BN286" s="204" t="inlineStr">
        <is>
          <t/>
        </is>
      </c>
      <c r="BO286" s="205" t="inlineStr">
        <is>
          <t>Individual</t>
        </is>
      </c>
      <c r="BP286" s="206" t="inlineStr">
        <is>
          <t/>
        </is>
      </c>
      <c r="BQ286" s="207" t="inlineStr">
        <is>
          <t/>
        </is>
      </c>
      <c r="BR286" s="208" t="inlineStr">
        <is>
          <t/>
        </is>
      </c>
      <c r="BS286" s="209" t="inlineStr">
        <is>
          <t>Completed</t>
        </is>
      </c>
      <c r="BT286" s="210" t="n">
        <v>42460.0</v>
      </c>
      <c r="BU286" s="211" t="n">
        <v>13.0</v>
      </c>
      <c r="BV286" s="212" t="inlineStr">
        <is>
          <t>Actual</t>
        </is>
      </c>
      <c r="BW286" s="213" t="inlineStr">
        <is>
          <t/>
        </is>
      </c>
      <c r="BX286" s="214" t="inlineStr">
        <is>
          <t/>
        </is>
      </c>
      <c r="BY286" s="215" t="inlineStr">
        <is>
          <t>Early Stage VC</t>
        </is>
      </c>
      <c r="BZ286" s="216" t="inlineStr">
        <is>
          <t/>
        </is>
      </c>
      <c r="CA286" s="217" t="inlineStr">
        <is>
          <t/>
        </is>
      </c>
      <c r="CB286" s="218" t="inlineStr">
        <is>
          <t>Venture Capital</t>
        </is>
      </c>
      <c r="CC286" s="219" t="inlineStr">
        <is>
          <t/>
        </is>
      </c>
      <c r="CD286" s="220" t="inlineStr">
        <is>
          <t/>
        </is>
      </c>
      <c r="CE286" s="221" t="inlineStr">
        <is>
          <t/>
        </is>
      </c>
      <c r="CF286" s="222" t="inlineStr">
        <is>
          <t>Completed</t>
        </is>
      </c>
      <c r="CG286" s="223" t="inlineStr">
        <is>
          <t>-0,46%</t>
        </is>
      </c>
      <c r="CH286" s="224" t="inlineStr">
        <is>
          <t>9</t>
        </is>
      </c>
      <c r="CI286" s="225" t="inlineStr">
        <is>
          <t>-0,17%</t>
        </is>
      </c>
      <c r="CJ286" s="226" t="inlineStr">
        <is>
          <t>-59,91%</t>
        </is>
      </c>
      <c r="CK286" s="227" t="inlineStr">
        <is>
          <t>-2,20%</t>
        </is>
      </c>
      <c r="CL286" s="228" t="inlineStr">
        <is>
          <t>5</t>
        </is>
      </c>
      <c r="CM286" s="229" t="inlineStr">
        <is>
          <t>1,27%</t>
        </is>
      </c>
      <c r="CN286" s="230" t="inlineStr">
        <is>
          <t>97</t>
        </is>
      </c>
      <c r="CO286" s="231" t="inlineStr">
        <is>
          <t>-4,65%</t>
        </is>
      </c>
      <c r="CP286" s="232" t="inlineStr">
        <is>
          <t>7</t>
        </is>
      </c>
      <c r="CQ286" s="233" t="inlineStr">
        <is>
          <t>0,26%</t>
        </is>
      </c>
      <c r="CR286" s="234" t="inlineStr">
        <is>
          <t>84</t>
        </is>
      </c>
      <c r="CS286" s="235" t="inlineStr">
        <is>
          <t>1,93%</t>
        </is>
      </c>
      <c r="CT286" s="236" t="inlineStr">
        <is>
          <t>98</t>
        </is>
      </c>
      <c r="CU286" s="237" t="inlineStr">
        <is>
          <t>0,60%</t>
        </is>
      </c>
      <c r="CV286" s="238" t="inlineStr">
        <is>
          <t>94</t>
        </is>
      </c>
      <c r="CW286" s="239" t="inlineStr">
        <is>
          <t>193,18x</t>
        </is>
      </c>
      <c r="CX286" s="240" t="inlineStr">
        <is>
          <t>99</t>
        </is>
      </c>
      <c r="CY286" s="241" t="inlineStr">
        <is>
          <t>4,77x</t>
        </is>
      </c>
      <c r="CZ286" s="242" t="inlineStr">
        <is>
          <t>2,53%</t>
        </is>
      </c>
      <c r="DA286" s="243" t="inlineStr">
        <is>
          <t>79,92x</t>
        </is>
      </c>
      <c r="DB286" s="244" t="inlineStr">
        <is>
          <t>97</t>
        </is>
      </c>
      <c r="DC286" s="245" t="inlineStr">
        <is>
          <t>306,44x</t>
        </is>
      </c>
      <c r="DD286" s="246" t="inlineStr">
        <is>
          <t>99</t>
        </is>
      </c>
      <c r="DE286" s="247" t="inlineStr">
        <is>
          <t>154,31x</t>
        </is>
      </c>
      <c r="DF286" s="248" t="inlineStr">
        <is>
          <t>97</t>
        </is>
      </c>
      <c r="DG286" s="249" t="inlineStr">
        <is>
          <t>5,53x</t>
        </is>
      </c>
      <c r="DH286" s="250" t="inlineStr">
        <is>
          <t>80</t>
        </is>
      </c>
      <c r="DI286" s="251" t="inlineStr">
        <is>
          <t>611,76x</t>
        </is>
      </c>
      <c r="DJ286" s="252" t="inlineStr">
        <is>
          <t>99</t>
        </is>
      </c>
      <c r="DK286" s="253" t="inlineStr">
        <is>
          <t>1,13x</t>
        </is>
      </c>
      <c r="DL286" s="254" t="inlineStr">
        <is>
          <t>53</t>
        </is>
      </c>
      <c r="DM286" s="255" t="inlineStr">
        <is>
          <t>96.339</t>
        </is>
      </c>
      <c r="DN286" s="256" t="inlineStr">
        <is>
          <t>-4.321</t>
        </is>
      </c>
      <c r="DO286" s="257" t="inlineStr">
        <is>
          <t>-4,29%</t>
        </is>
      </c>
      <c r="DP286" s="258" t="inlineStr">
        <is>
          <t>486.502</t>
        </is>
      </c>
      <c r="DQ286" s="259" t="inlineStr">
        <is>
          <t>4.783</t>
        </is>
      </c>
      <c r="DR286" s="260" t="inlineStr">
        <is>
          <t>0,99%</t>
        </is>
      </c>
      <c r="DS286" s="261" t="inlineStr">
        <is>
          <t>201</t>
        </is>
      </c>
      <c r="DT286" s="262" t="inlineStr">
        <is>
          <t>-3</t>
        </is>
      </c>
      <c r="DU286" s="263" t="inlineStr">
        <is>
          <t>-1,47%</t>
        </is>
      </c>
      <c r="DV286" s="264" t="inlineStr">
        <is>
          <t>386</t>
        </is>
      </c>
      <c r="DW286" s="265" t="inlineStr">
        <is>
          <t>5</t>
        </is>
      </c>
      <c r="DX286" s="266" t="inlineStr">
        <is>
          <t>1,31%</t>
        </is>
      </c>
      <c r="DY286" s="267" t="inlineStr">
        <is>
          <t>PitchBook Research</t>
        </is>
      </c>
      <c r="DZ286" s="786">
        <f>HYPERLINK("https://my.pitchbook.com?c=94096-90", "View company online")</f>
      </c>
    </row>
    <row r="287">
      <c r="A287" s="9" t="inlineStr">
        <is>
          <t>86971-96</t>
        </is>
      </c>
      <c r="B287" s="10" t="inlineStr">
        <is>
          <t>Mapillary</t>
        </is>
      </c>
      <c r="C287" s="11" t="inlineStr">
        <is>
          <t/>
        </is>
      </c>
      <c r="D287" s="12" t="inlineStr">
        <is>
          <t/>
        </is>
      </c>
      <c r="E287" s="13" t="inlineStr">
        <is>
          <t>86971-96</t>
        </is>
      </c>
      <c r="F287" s="14" t="inlineStr">
        <is>
          <t>Provider of a street-level imagery platform intended to help people understand the world better. The company's street-level imagery platform uses a technique that matches and combines photos across time and users and is processed with privacy preserving blurring using face and license plate detection, enabling individuals using a smartphone or action camera to collect photos that are then combined into a collective street-level photo view.</t>
        </is>
      </c>
      <c r="G287" s="15" t="inlineStr">
        <is>
          <t>Information Technology</t>
        </is>
      </c>
      <c r="H287" s="16" t="inlineStr">
        <is>
          <t>Software</t>
        </is>
      </c>
      <c r="I287" s="17" t="inlineStr">
        <is>
          <t>Multimedia and Design Software</t>
        </is>
      </c>
      <c r="J287" s="18" t="inlineStr">
        <is>
          <t>Multimedia and Design Software*; Movies, Music and Entertainment; Application Software</t>
        </is>
      </c>
      <c r="K287" s="19" t="inlineStr">
        <is>
          <t>Mobile</t>
        </is>
      </c>
      <c r="L287" s="20" t="inlineStr">
        <is>
          <t>Venture Capital-Backed</t>
        </is>
      </c>
      <c r="M287" s="21" t="n">
        <v>8.49</v>
      </c>
      <c r="N287" s="22" t="inlineStr">
        <is>
          <t>Generating Revenue</t>
        </is>
      </c>
      <c r="O287" s="23" t="inlineStr">
        <is>
          <t>Privately Held (backing)</t>
        </is>
      </c>
      <c r="P287" s="24" t="inlineStr">
        <is>
          <t>Venture Capital</t>
        </is>
      </c>
      <c r="Q287" s="25" t="inlineStr">
        <is>
          <t>www.mapillary.com</t>
        </is>
      </c>
      <c r="R287" s="26" t="n">
        <v>33.0</v>
      </c>
      <c r="S287" s="27" t="inlineStr">
        <is>
          <t/>
        </is>
      </c>
      <c r="T287" s="28" t="inlineStr">
        <is>
          <t/>
        </is>
      </c>
      <c r="U287" s="29" t="n">
        <v>2013.0</v>
      </c>
      <c r="V287" s="30" t="inlineStr">
        <is>
          <t/>
        </is>
      </c>
      <c r="W287" s="31" t="inlineStr">
        <is>
          <t/>
        </is>
      </c>
      <c r="X287" s="32" t="inlineStr">
        <is>
          <t/>
        </is>
      </c>
      <c r="Y287" s="33" t="n">
        <v>0.10552</v>
      </c>
      <c r="Z287" s="34" t="inlineStr">
        <is>
          <t/>
        </is>
      </c>
      <c r="AA287" s="35" t="inlineStr">
        <is>
          <t/>
        </is>
      </c>
      <c r="AB287" s="36" t="inlineStr">
        <is>
          <t/>
        </is>
      </c>
      <c r="AC287" s="37" t="n">
        <v>-0.01623</v>
      </c>
      <c r="AD287" s="38" t="inlineStr">
        <is>
          <t>FY 2014</t>
        </is>
      </c>
      <c r="AE287" s="39" t="inlineStr">
        <is>
          <t>90707-59P</t>
        </is>
      </c>
      <c r="AF287" s="40" t="inlineStr">
        <is>
          <t>Jan-Erik Solem</t>
        </is>
      </c>
      <c r="AG287" s="41" t="inlineStr">
        <is>
          <t>Chief Executive Officer &amp; Co-Founder</t>
        </is>
      </c>
      <c r="AH287" s="42" t="inlineStr">
        <is>
          <t>janerik@mapillary.com</t>
        </is>
      </c>
      <c r="AI287" s="43" t="inlineStr">
        <is>
          <t>+1(46) 735-410101</t>
        </is>
      </c>
      <c r="AJ287" s="44" t="inlineStr">
        <is>
          <t>Malmo, Sweden</t>
        </is>
      </c>
      <c r="AK287" s="45" t="inlineStr">
        <is>
          <t>Bredgatan 4</t>
        </is>
      </c>
      <c r="AL287" s="46" t="inlineStr">
        <is>
          <t/>
        </is>
      </c>
      <c r="AM287" s="47" t="inlineStr">
        <is>
          <t>Malmo</t>
        </is>
      </c>
      <c r="AN287" s="48" t="inlineStr">
        <is>
          <t/>
        </is>
      </c>
      <c r="AO287" s="49" t="inlineStr">
        <is>
          <t>211 30</t>
        </is>
      </c>
      <c r="AP287" s="50" t="inlineStr">
        <is>
          <t>Sweden</t>
        </is>
      </c>
      <c r="AQ287" s="51" t="inlineStr">
        <is>
          <t>+1(46) 735-410101</t>
        </is>
      </c>
      <c r="AR287" s="52" t="inlineStr">
        <is>
          <t/>
        </is>
      </c>
      <c r="AS287" s="53" t="inlineStr">
        <is>
          <t>hello@mapillary.com</t>
        </is>
      </c>
      <c r="AT287" s="54" t="inlineStr">
        <is>
          <t>Europe</t>
        </is>
      </c>
      <c r="AU287" s="55" t="inlineStr">
        <is>
          <t>Northern Europe</t>
        </is>
      </c>
      <c r="AV287" s="56" t="inlineStr">
        <is>
          <t>The company raised $8 million of Series A venture funding in a deal led by Atomico Uk Partners on March 3, 2016. Sequoia Capital, LDV Capital, Playfair Capital and Wellington Partners also participated in the round. The company will use the funding to further expand its business, open a new office in San Francisco and hire more staff.</t>
        </is>
      </c>
      <c r="AW287" s="57" t="inlineStr">
        <is>
          <t>Atomico, Carl Silbersky, James Currier, LDV Capital, Naval Ravikant, Playfair Capital, Sequoia Capital, Taavet Hinrikus, Wellington Partners</t>
        </is>
      </c>
      <c r="AX287" s="58" t="n">
        <v>9.0</v>
      </c>
      <c r="AY287" s="59" t="inlineStr">
        <is>
          <t/>
        </is>
      </c>
      <c r="AZ287" s="60" t="inlineStr">
        <is>
          <t/>
        </is>
      </c>
      <c r="BA287" s="61" t="inlineStr">
        <is>
          <t/>
        </is>
      </c>
      <c r="BB287" s="62" t="inlineStr">
        <is>
          <t>Atomico (www.atomico.com), James Currier (www.oogalabs.com), LDV Capital (www.ldv.co), Playfair Capital (www.playfaircapital.com), Sequoia Capital (www.sequoiacap.com), Wellington Partners (www.wellington-partners.com)</t>
        </is>
      </c>
      <c r="BC287" s="63" t="inlineStr">
        <is>
          <t/>
        </is>
      </c>
      <c r="BD287" s="64" t="inlineStr">
        <is>
          <t/>
        </is>
      </c>
      <c r="BE287" s="65" t="inlineStr">
        <is>
          <t/>
        </is>
      </c>
      <c r="BF287" s="66" t="inlineStr">
        <is>
          <t>Setterwalls Advokatbyrå (Legal Advisor)</t>
        </is>
      </c>
      <c r="BG287" s="67" t="n">
        <v>41548.0</v>
      </c>
      <c r="BH287" s="68" t="inlineStr">
        <is>
          <t/>
        </is>
      </c>
      <c r="BI287" s="69" t="inlineStr">
        <is>
          <t/>
        </is>
      </c>
      <c r="BJ287" s="70" t="inlineStr">
        <is>
          <t/>
        </is>
      </c>
      <c r="BK287" s="71" t="inlineStr">
        <is>
          <t/>
        </is>
      </c>
      <c r="BL287" s="72" t="inlineStr">
        <is>
          <t>Angel (individual)</t>
        </is>
      </c>
      <c r="BM287" s="73" t="inlineStr">
        <is>
          <t>Angel</t>
        </is>
      </c>
      <c r="BN287" s="74" t="inlineStr">
        <is>
          <t/>
        </is>
      </c>
      <c r="BO287" s="75" t="inlineStr">
        <is>
          <t>Individual</t>
        </is>
      </c>
      <c r="BP287" s="76" t="inlineStr">
        <is>
          <t/>
        </is>
      </c>
      <c r="BQ287" s="77" t="inlineStr">
        <is>
          <t/>
        </is>
      </c>
      <c r="BR287" s="78" t="inlineStr">
        <is>
          <t/>
        </is>
      </c>
      <c r="BS287" s="79" t="inlineStr">
        <is>
          <t>Completed</t>
        </is>
      </c>
      <c r="BT287" s="80" t="n">
        <v>42432.0</v>
      </c>
      <c r="BU287" s="81" t="n">
        <v>7.2</v>
      </c>
      <c r="BV287" s="82" t="inlineStr">
        <is>
          <t>Actual</t>
        </is>
      </c>
      <c r="BW287" s="83" t="inlineStr">
        <is>
          <t/>
        </is>
      </c>
      <c r="BX287" s="84" t="inlineStr">
        <is>
          <t/>
        </is>
      </c>
      <c r="BY287" s="85" t="inlineStr">
        <is>
          <t>Early Stage VC</t>
        </is>
      </c>
      <c r="BZ287" s="86" t="inlineStr">
        <is>
          <t>Series A</t>
        </is>
      </c>
      <c r="CA287" s="87" t="inlineStr">
        <is>
          <t/>
        </is>
      </c>
      <c r="CB287" s="88" t="inlineStr">
        <is>
          <t>Venture Capital</t>
        </is>
      </c>
      <c r="CC287" s="89" t="inlineStr">
        <is>
          <t/>
        </is>
      </c>
      <c r="CD287" s="90" t="inlineStr">
        <is>
          <t/>
        </is>
      </c>
      <c r="CE287" s="91" t="inlineStr">
        <is>
          <t/>
        </is>
      </c>
      <c r="CF287" s="92" t="inlineStr">
        <is>
          <t>Completed</t>
        </is>
      </c>
      <c r="CG287" s="93" t="inlineStr">
        <is>
          <t>0,84%</t>
        </is>
      </c>
      <c r="CH287" s="94" t="inlineStr">
        <is>
          <t>87</t>
        </is>
      </c>
      <c r="CI287" s="95" t="inlineStr">
        <is>
          <t>0,01%</t>
        </is>
      </c>
      <c r="CJ287" s="96" t="inlineStr">
        <is>
          <t>0,63%</t>
        </is>
      </c>
      <c r="CK287" s="97" t="inlineStr">
        <is>
          <t>0,71%</t>
        </is>
      </c>
      <c r="CL287" s="98" t="inlineStr">
        <is>
          <t>85</t>
        </is>
      </c>
      <c r="CM287" s="99" t="inlineStr">
        <is>
          <t>0,76%</t>
        </is>
      </c>
      <c r="CN287" s="100" t="inlineStr">
        <is>
          <t>94</t>
        </is>
      </c>
      <c r="CO287" s="101" t="inlineStr">
        <is>
          <t>1,16%</t>
        </is>
      </c>
      <c r="CP287" s="102" t="inlineStr">
        <is>
          <t>85</t>
        </is>
      </c>
      <c r="CQ287" s="103" t="inlineStr">
        <is>
          <t>0,27%</t>
        </is>
      </c>
      <c r="CR287" s="104" t="inlineStr">
        <is>
          <t>85</t>
        </is>
      </c>
      <c r="CS287" s="105" t="inlineStr">
        <is>
          <t>0,78%</t>
        </is>
      </c>
      <c r="CT287" s="106" t="inlineStr">
        <is>
          <t>92</t>
        </is>
      </c>
      <c r="CU287" s="107" t="inlineStr">
        <is>
          <t>0,74%</t>
        </is>
      </c>
      <c r="CV287" s="108" t="inlineStr">
        <is>
          <t>95</t>
        </is>
      </c>
      <c r="CW287" s="109" t="inlineStr">
        <is>
          <t>17,76x</t>
        </is>
      </c>
      <c r="CX287" s="110" t="inlineStr">
        <is>
          <t>91</t>
        </is>
      </c>
      <c r="CY287" s="111" t="inlineStr">
        <is>
          <t>0,24x</t>
        </is>
      </c>
      <c r="CZ287" s="112" t="inlineStr">
        <is>
          <t>1,37%</t>
        </is>
      </c>
      <c r="DA287" s="113" t="inlineStr">
        <is>
          <t>44,52x</t>
        </is>
      </c>
      <c r="DB287" s="114" t="inlineStr">
        <is>
          <t>96</t>
        </is>
      </c>
      <c r="DC287" s="115" t="inlineStr">
        <is>
          <t>8,50x</t>
        </is>
      </c>
      <c r="DD287" s="116" t="inlineStr">
        <is>
          <t>82</t>
        </is>
      </c>
      <c r="DE287" s="117" t="inlineStr">
        <is>
          <t>58,76x</t>
        </is>
      </c>
      <c r="DF287" s="118" t="inlineStr">
        <is>
          <t>94</t>
        </is>
      </c>
      <c r="DG287" s="119" t="inlineStr">
        <is>
          <t>30,28x</t>
        </is>
      </c>
      <c r="DH287" s="120" t="inlineStr">
        <is>
          <t>95</t>
        </is>
      </c>
      <c r="DI287" s="121" t="inlineStr">
        <is>
          <t>2,68x</t>
        </is>
      </c>
      <c r="DJ287" s="122" t="inlineStr">
        <is>
          <t>66</t>
        </is>
      </c>
      <c r="DK287" s="123" t="inlineStr">
        <is>
          <t>14,32x</t>
        </is>
      </c>
      <c r="DL287" s="124" t="inlineStr">
        <is>
          <t>89</t>
        </is>
      </c>
      <c r="DM287" s="125" t="inlineStr">
        <is>
          <t>36.388</t>
        </is>
      </c>
      <c r="DN287" s="126" t="inlineStr">
        <is>
          <t>-756</t>
        </is>
      </c>
      <c r="DO287" s="127" t="inlineStr">
        <is>
          <t>-2,04%</t>
        </is>
      </c>
      <c r="DP287" s="128" t="inlineStr">
        <is>
          <t>2.135</t>
        </is>
      </c>
      <c r="DQ287" s="129" t="inlineStr">
        <is>
          <t>22</t>
        </is>
      </c>
      <c r="DR287" s="130" t="inlineStr">
        <is>
          <t>1,04%</t>
        </is>
      </c>
      <c r="DS287" s="131" t="inlineStr">
        <is>
          <t>1.087</t>
        </is>
      </c>
      <c r="DT287" s="132" t="inlineStr">
        <is>
          <t>5</t>
        </is>
      </c>
      <c r="DU287" s="133" t="inlineStr">
        <is>
          <t>0,46%</t>
        </is>
      </c>
      <c r="DV287" s="134" t="inlineStr">
        <is>
          <t>4.902</t>
        </is>
      </c>
      <c r="DW287" s="135" t="inlineStr">
        <is>
          <t>18</t>
        </is>
      </c>
      <c r="DX287" s="136" t="inlineStr">
        <is>
          <t>0,37%</t>
        </is>
      </c>
      <c r="DY287" s="137" t="inlineStr">
        <is>
          <t>PitchBook Research</t>
        </is>
      </c>
      <c r="DZ287" s="785">
        <f>HYPERLINK("https://my.pitchbook.com?c=86971-96", "View company online")</f>
      </c>
    </row>
    <row r="288">
      <c r="A288" s="139" t="inlineStr">
        <is>
          <t>60270-22</t>
        </is>
      </c>
      <c r="B288" s="140" t="inlineStr">
        <is>
          <t>Marvel Prototyping</t>
        </is>
      </c>
      <c r="C288" s="141" t="inlineStr">
        <is>
          <t/>
        </is>
      </c>
      <c r="D288" s="142" t="inlineStr">
        <is>
          <t>Marvel</t>
        </is>
      </c>
      <c r="E288" s="143" t="inlineStr">
        <is>
          <t>60270-22</t>
        </is>
      </c>
      <c r="F288" s="144" t="inlineStr">
        <is>
          <t>Developer and designer of a prototyping platform. The company offers a web and app based design platform which can turn sketches, images and mockups into mobile and web prototypes.</t>
        </is>
      </c>
      <c r="G288" s="145" t="inlineStr">
        <is>
          <t>Information Technology</t>
        </is>
      </c>
      <c r="H288" s="146" t="inlineStr">
        <is>
          <t>Software</t>
        </is>
      </c>
      <c r="I288" s="147" t="inlineStr">
        <is>
          <t>Multimedia and Design Software</t>
        </is>
      </c>
      <c r="J288" s="148" t="inlineStr">
        <is>
          <t>Multimedia and Design Software*</t>
        </is>
      </c>
      <c r="K288" s="149" t="inlineStr">
        <is>
          <t>Mobile, SaaS</t>
        </is>
      </c>
      <c r="L288" s="150" t="inlineStr">
        <is>
          <t>Venture Capital-Backed</t>
        </is>
      </c>
      <c r="M288" s="151" t="n">
        <v>7.34</v>
      </c>
      <c r="N288" s="152" t="inlineStr">
        <is>
          <t>Generating Revenue</t>
        </is>
      </c>
      <c r="O288" s="153" t="inlineStr">
        <is>
          <t>Privately Held (backing)</t>
        </is>
      </c>
      <c r="P288" s="154" t="inlineStr">
        <is>
          <t>Venture Capital</t>
        </is>
      </c>
      <c r="Q288" s="155" t="inlineStr">
        <is>
          <t>www.marvelapp.com</t>
        </is>
      </c>
      <c r="R288" s="156" t="n">
        <v>10.0</v>
      </c>
      <c r="S288" s="157" t="inlineStr">
        <is>
          <t/>
        </is>
      </c>
      <c r="T288" s="158" t="inlineStr">
        <is>
          <t/>
        </is>
      </c>
      <c r="U288" s="159" t="n">
        <v>2013.0</v>
      </c>
      <c r="V288" s="160" t="inlineStr">
        <is>
          <t/>
        </is>
      </c>
      <c r="W288" s="161" t="inlineStr">
        <is>
          <t/>
        </is>
      </c>
      <c r="X288" s="162" t="inlineStr">
        <is>
          <t/>
        </is>
      </c>
      <c r="Y288" s="163" t="inlineStr">
        <is>
          <t/>
        </is>
      </c>
      <c r="Z288" s="164" t="inlineStr">
        <is>
          <t/>
        </is>
      </c>
      <c r="AA288" s="165" t="inlineStr">
        <is>
          <t/>
        </is>
      </c>
      <c r="AB288" s="166" t="inlineStr">
        <is>
          <t/>
        </is>
      </c>
      <c r="AC288" s="167" t="inlineStr">
        <is>
          <t/>
        </is>
      </c>
      <c r="AD288" s="168" t="inlineStr">
        <is>
          <t>FY 2014</t>
        </is>
      </c>
      <c r="AE288" s="169" t="inlineStr">
        <is>
          <t>56343-07P</t>
        </is>
      </c>
      <c r="AF288" s="170" t="inlineStr">
        <is>
          <t>Murat Mutlu</t>
        </is>
      </c>
      <c r="AG288" s="171" t="inlineStr">
        <is>
          <t>Board Member, Co-Founder &amp; Designer</t>
        </is>
      </c>
      <c r="AH288" s="172" t="inlineStr">
        <is>
          <t>murat@marvelapp.com</t>
        </is>
      </c>
      <c r="AI288" s="173" t="inlineStr">
        <is>
          <t/>
        </is>
      </c>
      <c r="AJ288" s="174" t="inlineStr">
        <is>
          <t>London, United Kingdom</t>
        </is>
      </c>
      <c r="AK288" s="175" t="inlineStr">
        <is>
          <t>60 Worship Street</t>
        </is>
      </c>
      <c r="AL288" s="176" t="inlineStr">
        <is>
          <t>Hackney</t>
        </is>
      </c>
      <c r="AM288" s="177" t="inlineStr">
        <is>
          <t>London</t>
        </is>
      </c>
      <c r="AN288" s="178" t="inlineStr">
        <is>
          <t>England</t>
        </is>
      </c>
      <c r="AO288" s="179" t="inlineStr">
        <is>
          <t>EC2A 2EZ</t>
        </is>
      </c>
      <c r="AP288" s="180" t="inlineStr">
        <is>
          <t>United Kingdom</t>
        </is>
      </c>
      <c r="AQ288" s="181" t="inlineStr">
        <is>
          <t/>
        </is>
      </c>
      <c r="AR288" s="182" t="inlineStr">
        <is>
          <t/>
        </is>
      </c>
      <c r="AS288" s="183" t="inlineStr">
        <is>
          <t>hello@marvelapp.com</t>
        </is>
      </c>
      <c r="AT288" s="184" t="inlineStr">
        <is>
          <t>Europe</t>
        </is>
      </c>
      <c r="AU288" s="185" t="inlineStr">
        <is>
          <t>Western Europe</t>
        </is>
      </c>
      <c r="AV288" s="186" t="inlineStr">
        <is>
          <t>The company raised GBP 4 million of Series A venture funding in a round led by BGF Ventures on December 8, 2016. Index Ventures, Connect Ventures, Inreach Ventures, Andy McLoughlin and Richard Fearn also participated in this round. The funds will be used to expand into new markets and develop new products.</t>
        </is>
      </c>
      <c r="AW288" s="187" t="inlineStr">
        <is>
          <t>Andy McLoughlin, BGF Ventures, Connect Ventures, Eileen Burbidge, Frederick Soneya, Haatch, Index Ventures (UK), InReach Ventures, Jeremy Yap, Richard Fearn, Roberto Bonanzinga, Scott Weavers-Wright, ustwo</t>
        </is>
      </c>
      <c r="AX288" s="188" t="n">
        <v>13.0</v>
      </c>
      <c r="AY288" s="189" t="inlineStr">
        <is>
          <t/>
        </is>
      </c>
      <c r="AZ288" s="190" t="inlineStr">
        <is>
          <t/>
        </is>
      </c>
      <c r="BA288" s="191" t="inlineStr">
        <is>
          <t/>
        </is>
      </c>
      <c r="BB288" s="192" t="inlineStr">
        <is>
          <t>Andy McLoughlin (www.andymcloughlin.co), BGF Ventures (www.bgfventures.com), Connect Ventures (www.connectventures.co), Frederick Soneya (www.haatch.com/fred), Haatch (www.haatch.com), Index Ventures (UK) (www.indexventures.com), InReach Ventures (www.inreachventures.com), ustwo (www.ustwo.com)</t>
        </is>
      </c>
      <c r="BC288" s="193" t="inlineStr">
        <is>
          <t/>
        </is>
      </c>
      <c r="BD288" s="194" t="inlineStr">
        <is>
          <t/>
        </is>
      </c>
      <c r="BE288" s="195" t="inlineStr">
        <is>
          <t>Mills &amp; Reeve (Legal Advisor), JAG Shaw Baker (Legal Advisor)</t>
        </is>
      </c>
      <c r="BF288" s="196" t="inlineStr">
        <is>
          <t/>
        </is>
      </c>
      <c r="BG288" s="197" t="n">
        <v>41589.0</v>
      </c>
      <c r="BH288" s="198" t="n">
        <v>0.07</v>
      </c>
      <c r="BI288" s="199" t="inlineStr">
        <is>
          <t>Actual</t>
        </is>
      </c>
      <c r="BJ288" s="200" t="n">
        <v>0.72</v>
      </c>
      <c r="BK288" s="201" t="inlineStr">
        <is>
          <t>Actual</t>
        </is>
      </c>
      <c r="BL288" s="202" t="inlineStr">
        <is>
          <t>Seed Round</t>
        </is>
      </c>
      <c r="BM288" s="203" t="inlineStr">
        <is>
          <t>Seed</t>
        </is>
      </c>
      <c r="BN288" s="204" t="inlineStr">
        <is>
          <t/>
        </is>
      </c>
      <c r="BO288" s="205" t="inlineStr">
        <is>
          <t>Venture Capital</t>
        </is>
      </c>
      <c r="BP288" s="206" t="inlineStr">
        <is>
          <t/>
        </is>
      </c>
      <c r="BQ288" s="207" t="inlineStr">
        <is>
          <t/>
        </is>
      </c>
      <c r="BR288" s="208" t="inlineStr">
        <is>
          <t/>
        </is>
      </c>
      <c r="BS288" s="209" t="inlineStr">
        <is>
          <t>Completed</t>
        </is>
      </c>
      <c r="BT288" s="210" t="n">
        <v>42712.0</v>
      </c>
      <c r="BU288" s="211" t="n">
        <v>4.74</v>
      </c>
      <c r="BV288" s="212" t="inlineStr">
        <is>
          <t>Actual</t>
        </is>
      </c>
      <c r="BW288" s="213" t="inlineStr">
        <is>
          <t/>
        </is>
      </c>
      <c r="BX288" s="214" t="inlineStr">
        <is>
          <t/>
        </is>
      </c>
      <c r="BY288" s="215" t="inlineStr">
        <is>
          <t>Early Stage VC</t>
        </is>
      </c>
      <c r="BZ288" s="216" t="inlineStr">
        <is>
          <t>Series A</t>
        </is>
      </c>
      <c r="CA288" s="217" t="inlineStr">
        <is>
          <t/>
        </is>
      </c>
      <c r="CB288" s="218" t="inlineStr">
        <is>
          <t>Venture Capital</t>
        </is>
      </c>
      <c r="CC288" s="219" t="inlineStr">
        <is>
          <t/>
        </is>
      </c>
      <c r="CD288" s="220" t="inlineStr">
        <is>
          <t/>
        </is>
      </c>
      <c r="CE288" s="221" t="inlineStr">
        <is>
          <t/>
        </is>
      </c>
      <c r="CF288" s="222" t="inlineStr">
        <is>
          <t>Completed</t>
        </is>
      </c>
      <c r="CG288" s="223" t="inlineStr">
        <is>
          <t>-0,24%</t>
        </is>
      </c>
      <c r="CH288" s="224" t="inlineStr">
        <is>
          <t>12</t>
        </is>
      </c>
      <c r="CI288" s="225" t="inlineStr">
        <is>
          <t>-0,02%</t>
        </is>
      </c>
      <c r="CJ288" s="226" t="inlineStr">
        <is>
          <t>-9,55%</t>
        </is>
      </c>
      <c r="CK288" s="227" t="inlineStr">
        <is>
          <t>-1,08%</t>
        </is>
      </c>
      <c r="CL288" s="228" t="inlineStr">
        <is>
          <t>8</t>
        </is>
      </c>
      <c r="CM288" s="229" t="inlineStr">
        <is>
          <t>0,59%</t>
        </is>
      </c>
      <c r="CN288" s="230" t="inlineStr">
        <is>
          <t>92</t>
        </is>
      </c>
      <c r="CO288" s="231" t="inlineStr">
        <is>
          <t>-2,39%</t>
        </is>
      </c>
      <c r="CP288" s="232" t="inlineStr">
        <is>
          <t>14</t>
        </is>
      </c>
      <c r="CQ288" s="233" t="inlineStr">
        <is>
          <t>0,23%</t>
        </is>
      </c>
      <c r="CR288" s="234" t="inlineStr">
        <is>
          <t>84</t>
        </is>
      </c>
      <c r="CS288" s="235" t="inlineStr">
        <is>
          <t>0,91%</t>
        </is>
      </c>
      <c r="CT288" s="236" t="inlineStr">
        <is>
          <t>94</t>
        </is>
      </c>
      <c r="CU288" s="237" t="inlineStr">
        <is>
          <t>0,28%</t>
        </is>
      </c>
      <c r="CV288" s="238" t="inlineStr">
        <is>
          <t>83</t>
        </is>
      </c>
      <c r="CW288" s="239" t="inlineStr">
        <is>
          <t>191,63x</t>
        </is>
      </c>
      <c r="CX288" s="240" t="inlineStr">
        <is>
          <t>99</t>
        </is>
      </c>
      <c r="CY288" s="241" t="inlineStr">
        <is>
          <t>0,54x</t>
        </is>
      </c>
      <c r="CZ288" s="242" t="inlineStr">
        <is>
          <t>0,28%</t>
        </is>
      </c>
      <c r="DA288" s="243" t="inlineStr">
        <is>
          <t>338,78x</t>
        </is>
      </c>
      <c r="DB288" s="244" t="inlineStr">
        <is>
          <t>100</t>
        </is>
      </c>
      <c r="DC288" s="245" t="inlineStr">
        <is>
          <t>44,47x</t>
        </is>
      </c>
      <c r="DD288" s="246" t="inlineStr">
        <is>
          <t>94</t>
        </is>
      </c>
      <c r="DE288" s="247" t="inlineStr">
        <is>
          <t>671,26x</t>
        </is>
      </c>
      <c r="DF288" s="248" t="inlineStr">
        <is>
          <t>99</t>
        </is>
      </c>
      <c r="DG288" s="249" t="inlineStr">
        <is>
          <t>6,31x</t>
        </is>
      </c>
      <c r="DH288" s="250" t="inlineStr">
        <is>
          <t>81</t>
        </is>
      </c>
      <c r="DI288" s="251" t="inlineStr">
        <is>
          <t>14,48x</t>
        </is>
      </c>
      <c r="DJ288" s="252" t="inlineStr">
        <is>
          <t>85</t>
        </is>
      </c>
      <c r="DK288" s="253" t="inlineStr">
        <is>
          <t>74,45x</t>
        </is>
      </c>
      <c r="DL288" s="254" t="inlineStr">
        <is>
          <t>97</t>
        </is>
      </c>
      <c r="DM288" s="255" t="inlineStr">
        <is>
          <t>417.977</t>
        </is>
      </c>
      <c r="DN288" s="256" t="inlineStr">
        <is>
          <t>-15.451</t>
        </is>
      </c>
      <c r="DO288" s="257" t="inlineStr">
        <is>
          <t>-3,56%</t>
        </is>
      </c>
      <c r="DP288" s="258" t="inlineStr">
        <is>
          <t>11.533</t>
        </is>
      </c>
      <c r="DQ288" s="259" t="inlineStr">
        <is>
          <t>75</t>
        </is>
      </c>
      <c r="DR288" s="260" t="inlineStr">
        <is>
          <t>0,65%</t>
        </is>
      </c>
      <c r="DS288" s="261" t="inlineStr">
        <is>
          <t>227</t>
        </is>
      </c>
      <c r="DT288" s="262" t="inlineStr">
        <is>
          <t>0</t>
        </is>
      </c>
      <c r="DU288" s="263" t="inlineStr">
        <is>
          <t>0,00%</t>
        </is>
      </c>
      <c r="DV288" s="264" t="inlineStr">
        <is>
          <t>25.517</t>
        </is>
      </c>
      <c r="DW288" s="265" t="inlineStr">
        <is>
          <t>50</t>
        </is>
      </c>
      <c r="DX288" s="266" t="inlineStr">
        <is>
          <t>0,20%</t>
        </is>
      </c>
      <c r="DY288" s="267" t="inlineStr">
        <is>
          <t>PitchBook Research</t>
        </is>
      </c>
      <c r="DZ288" s="786">
        <f>HYPERLINK("https://my.pitchbook.com?c=60270-22", "View company online")</f>
      </c>
    </row>
    <row r="289">
      <c r="A289" s="9" t="inlineStr">
        <is>
          <t>125077-96</t>
        </is>
      </c>
      <c r="B289" s="10" t="inlineStr">
        <is>
          <t>Matsmart</t>
        </is>
      </c>
      <c r="C289" s="11" t="inlineStr">
        <is>
          <t/>
        </is>
      </c>
      <c r="D289" s="12" t="inlineStr">
        <is>
          <t>Matsmart.se</t>
        </is>
      </c>
      <c r="E289" s="13" t="inlineStr">
        <is>
          <t>125077-96</t>
        </is>
      </c>
      <c r="F289" s="14" t="inlineStr">
        <is>
          <t>Provider of an online grocery store in Sweden. The company offers a range of groceries and personal care products that it sells at a discounted rate and delivers.</t>
        </is>
      </c>
      <c r="G289" s="15" t="inlineStr">
        <is>
          <t>Consumer Products and Services (B2C)</t>
        </is>
      </c>
      <c r="H289" s="16" t="inlineStr">
        <is>
          <t>Consumer Non-Durables</t>
        </is>
      </c>
      <c r="I289" s="17" t="inlineStr">
        <is>
          <t>Food Products</t>
        </is>
      </c>
      <c r="J289" s="18" t="inlineStr">
        <is>
          <t>Food Products*; Household Products; Internet Retail</t>
        </is>
      </c>
      <c r="K289" s="19" t="inlineStr">
        <is>
          <t>E-Commerce</t>
        </is>
      </c>
      <c r="L289" s="20" t="inlineStr">
        <is>
          <t>Venture Capital-Backed</t>
        </is>
      </c>
      <c r="M289" s="21" t="n">
        <v>7.58</v>
      </c>
      <c r="N289" s="22" t="inlineStr">
        <is>
          <t>Generating Revenue</t>
        </is>
      </c>
      <c r="O289" s="23" t="inlineStr">
        <is>
          <t>Privately Held (backing)</t>
        </is>
      </c>
      <c r="P289" s="24" t="inlineStr">
        <is>
          <t>Venture Capital</t>
        </is>
      </c>
      <c r="Q289" s="25" t="inlineStr">
        <is>
          <t>www.matsmart.se</t>
        </is>
      </c>
      <c r="R289" s="26" t="n">
        <v>12.0</v>
      </c>
      <c r="S289" s="27" t="inlineStr">
        <is>
          <t/>
        </is>
      </c>
      <c r="T289" s="28" t="inlineStr">
        <is>
          <t/>
        </is>
      </c>
      <c r="U289" s="29" t="n">
        <v>2012.0</v>
      </c>
      <c r="V289" s="30" t="inlineStr">
        <is>
          <t/>
        </is>
      </c>
      <c r="W289" s="31" t="inlineStr">
        <is>
          <t/>
        </is>
      </c>
      <c r="X289" s="32" t="inlineStr">
        <is>
          <t/>
        </is>
      </c>
      <c r="Y289" s="33" t="n">
        <v>7.00059</v>
      </c>
      <c r="Z289" s="34" t="inlineStr">
        <is>
          <t/>
        </is>
      </c>
      <c r="AA289" s="35" t="inlineStr">
        <is>
          <t/>
        </is>
      </c>
      <c r="AB289" s="36" t="inlineStr">
        <is>
          <t/>
        </is>
      </c>
      <c r="AC289" s="37" t="inlineStr">
        <is>
          <t/>
        </is>
      </c>
      <c r="AD289" s="38" t="inlineStr">
        <is>
          <t>FY 2016</t>
        </is>
      </c>
      <c r="AE289" s="39" t="inlineStr">
        <is>
          <t>115635-34P</t>
        </is>
      </c>
      <c r="AF289" s="40" t="inlineStr">
        <is>
          <t>Karl Andersson</t>
        </is>
      </c>
      <c r="AG289" s="41" t="inlineStr">
        <is>
          <t>Co-Founder, Chief Executive Officer and Partner</t>
        </is>
      </c>
      <c r="AH289" s="42" t="inlineStr">
        <is>
          <t>karl@matsmart.se</t>
        </is>
      </c>
      <c r="AI289" s="43" t="inlineStr">
        <is>
          <t>+46 (0)10-6900650</t>
        </is>
      </c>
      <c r="AJ289" s="44" t="inlineStr">
        <is>
          <t>Stockholm, Sweden</t>
        </is>
      </c>
      <c r="AK289" s="45" t="inlineStr">
        <is>
          <t>Box 613</t>
        </is>
      </c>
      <c r="AL289" s="46" t="inlineStr">
        <is>
          <t/>
        </is>
      </c>
      <c r="AM289" s="47" t="inlineStr">
        <is>
          <t>Stockholm</t>
        </is>
      </c>
      <c r="AN289" s="48" t="inlineStr">
        <is>
          <t/>
        </is>
      </c>
      <c r="AO289" s="49" t="inlineStr">
        <is>
          <t>101 32</t>
        </is>
      </c>
      <c r="AP289" s="50" t="inlineStr">
        <is>
          <t>Sweden</t>
        </is>
      </c>
      <c r="AQ289" s="51" t="inlineStr">
        <is>
          <t>+46 (0)1 088 48 45 0</t>
        </is>
      </c>
      <c r="AR289" s="52" t="inlineStr">
        <is>
          <t/>
        </is>
      </c>
      <c r="AS289" s="53" t="inlineStr">
        <is>
          <t/>
        </is>
      </c>
      <c r="AT289" s="54" t="inlineStr">
        <is>
          <t>Europe</t>
        </is>
      </c>
      <c r="AU289" s="55" t="inlineStr">
        <is>
          <t>Northern Europe</t>
        </is>
      </c>
      <c r="AV289" s="56" t="inlineStr">
        <is>
          <t>The company raised EUR 3.7 million of venture funding in a deal led by Northzone Ventures and GP Bullhound on November 18, 2016. Inbox Capital, Tedlex Capital Partners, Magnus Lindstam and Michael Knutzon also participated in the round. Previously, the company raised SEK 30 million of venture funding in a deal led by Northzone Ventures on December 15, 2015, putting the pre valuation SEK 86.61. GP Bullhound and Edastra Venture Capital also participated in the round.</t>
        </is>
      </c>
      <c r="AW289" s="57" t="inlineStr">
        <is>
          <t>David Frykman, Edastra Venture Capital, GP Bullhound, Inbox Capital, Magnus Lindstam, Michael Knutzon, Northzone Ventures, Tedlex Capital Partners</t>
        </is>
      </c>
      <c r="AX289" s="58" t="n">
        <v>8.0</v>
      </c>
      <c r="AY289" s="59" t="inlineStr">
        <is>
          <t/>
        </is>
      </c>
      <c r="AZ289" s="60" t="inlineStr">
        <is>
          <t/>
        </is>
      </c>
      <c r="BA289" s="61" t="inlineStr">
        <is>
          <t/>
        </is>
      </c>
      <c r="BB289" s="62" t="inlineStr">
        <is>
          <t>Edastra Venture Capital (www.edastra.com), GP Bullhound (www.gpbullhound.com), Northzone Ventures (www.northzone.com)</t>
        </is>
      </c>
      <c r="BC289" s="63" t="inlineStr">
        <is>
          <t/>
        </is>
      </c>
      <c r="BD289" s="64" t="inlineStr">
        <is>
          <t/>
        </is>
      </c>
      <c r="BE289" s="65" t="inlineStr">
        <is>
          <t/>
        </is>
      </c>
      <c r="BF289" s="66" t="inlineStr">
        <is>
          <t/>
        </is>
      </c>
      <c r="BG289" s="67" t="n">
        <v>41609.0</v>
      </c>
      <c r="BH289" s="68" t="n">
        <v>0.11</v>
      </c>
      <c r="BI289" s="69" t="inlineStr">
        <is>
          <t>Actual</t>
        </is>
      </c>
      <c r="BJ289" s="70" t="inlineStr">
        <is>
          <t/>
        </is>
      </c>
      <c r="BK289" s="71" t="inlineStr">
        <is>
          <t/>
        </is>
      </c>
      <c r="BL289" s="72" t="inlineStr">
        <is>
          <t>Early Stage VC</t>
        </is>
      </c>
      <c r="BM289" s="73" t="inlineStr">
        <is>
          <t/>
        </is>
      </c>
      <c r="BN289" s="74" t="inlineStr">
        <is>
          <t/>
        </is>
      </c>
      <c r="BO289" s="75" t="inlineStr">
        <is>
          <t>Venture Capital</t>
        </is>
      </c>
      <c r="BP289" s="76" t="inlineStr">
        <is>
          <t/>
        </is>
      </c>
      <c r="BQ289" s="77" t="inlineStr">
        <is>
          <t/>
        </is>
      </c>
      <c r="BR289" s="78" t="inlineStr">
        <is>
          <t/>
        </is>
      </c>
      <c r="BS289" s="79" t="inlineStr">
        <is>
          <t>Completed</t>
        </is>
      </c>
      <c r="BT289" s="80" t="n">
        <v>42692.0</v>
      </c>
      <c r="BU289" s="81" t="n">
        <v>3.7</v>
      </c>
      <c r="BV289" s="82" t="inlineStr">
        <is>
          <t>Actual</t>
        </is>
      </c>
      <c r="BW289" s="83" t="inlineStr">
        <is>
          <t/>
        </is>
      </c>
      <c r="BX289" s="84" t="inlineStr">
        <is>
          <t/>
        </is>
      </c>
      <c r="BY289" s="85" t="inlineStr">
        <is>
          <t>Early Stage VC</t>
        </is>
      </c>
      <c r="BZ289" s="86" t="inlineStr">
        <is>
          <t/>
        </is>
      </c>
      <c r="CA289" s="87" t="inlineStr">
        <is>
          <t/>
        </is>
      </c>
      <c r="CB289" s="88" t="inlineStr">
        <is>
          <t>Venture Capital</t>
        </is>
      </c>
      <c r="CC289" s="89" t="inlineStr">
        <is>
          <t/>
        </is>
      </c>
      <c r="CD289" s="90" t="inlineStr">
        <is>
          <t/>
        </is>
      </c>
      <c r="CE289" s="91" t="inlineStr">
        <is>
          <t/>
        </is>
      </c>
      <c r="CF289" s="92" t="inlineStr">
        <is>
          <t>Completed</t>
        </is>
      </c>
      <c r="CG289" s="93" t="inlineStr">
        <is>
          <t>1,96%</t>
        </is>
      </c>
      <c r="CH289" s="94" t="inlineStr">
        <is>
          <t>93</t>
        </is>
      </c>
      <c r="CI289" s="95" t="inlineStr">
        <is>
          <t>0,02%</t>
        </is>
      </c>
      <c r="CJ289" s="96" t="inlineStr">
        <is>
          <t>1,14%</t>
        </is>
      </c>
      <c r="CK289" s="97" t="inlineStr">
        <is>
          <t>2,72%</t>
        </is>
      </c>
      <c r="CL289" s="98" t="inlineStr">
        <is>
          <t>93</t>
        </is>
      </c>
      <c r="CM289" s="99" t="inlineStr">
        <is>
          <t>1,20%</t>
        </is>
      </c>
      <c r="CN289" s="100" t="inlineStr">
        <is>
          <t>97</t>
        </is>
      </c>
      <c r="CO289" s="101" t="inlineStr">
        <is>
          <t>3,65%</t>
        </is>
      </c>
      <c r="CP289" s="102" t="inlineStr">
        <is>
          <t>94</t>
        </is>
      </c>
      <c r="CQ289" s="103" t="inlineStr">
        <is>
          <t>1,79%</t>
        </is>
      </c>
      <c r="CR289" s="104" t="inlineStr">
        <is>
          <t>91</t>
        </is>
      </c>
      <c r="CS289" s="105" t="inlineStr">
        <is>
          <t>1,38%</t>
        </is>
      </c>
      <c r="CT289" s="106" t="inlineStr">
        <is>
          <t>96</t>
        </is>
      </c>
      <c r="CU289" s="107" t="inlineStr">
        <is>
          <t>1,03%</t>
        </is>
      </c>
      <c r="CV289" s="108" t="inlineStr">
        <is>
          <t>97</t>
        </is>
      </c>
      <c r="CW289" s="109" t="inlineStr">
        <is>
          <t>67,33x</t>
        </is>
      </c>
      <c r="CX289" s="110" t="inlineStr">
        <is>
          <t>97</t>
        </is>
      </c>
      <c r="CY289" s="111" t="inlineStr">
        <is>
          <t>0,80x</t>
        </is>
      </c>
      <c r="CZ289" s="112" t="inlineStr">
        <is>
          <t>1,20%</t>
        </is>
      </c>
      <c r="DA289" s="113" t="inlineStr">
        <is>
          <t>89,35x</t>
        </is>
      </c>
      <c r="DB289" s="114" t="inlineStr">
        <is>
          <t>98</t>
        </is>
      </c>
      <c r="DC289" s="115" t="inlineStr">
        <is>
          <t>45,30x</t>
        </is>
      </c>
      <c r="DD289" s="116" t="inlineStr">
        <is>
          <t>94</t>
        </is>
      </c>
      <c r="DE289" s="117" t="inlineStr">
        <is>
          <t>171,07x</t>
        </is>
      </c>
      <c r="DF289" s="118" t="inlineStr">
        <is>
          <t>97</t>
        </is>
      </c>
      <c r="DG289" s="119" t="inlineStr">
        <is>
          <t>7,64x</t>
        </is>
      </c>
      <c r="DH289" s="120" t="inlineStr">
        <is>
          <t>83</t>
        </is>
      </c>
      <c r="DI289" s="121" t="inlineStr">
        <is>
          <t>89,63x</t>
        </is>
      </c>
      <c r="DJ289" s="122" t="inlineStr">
        <is>
          <t>95</t>
        </is>
      </c>
      <c r="DK289" s="123" t="inlineStr">
        <is>
          <t>0,97x</t>
        </is>
      </c>
      <c r="DL289" s="124" t="inlineStr">
        <is>
          <t>50</t>
        </is>
      </c>
      <c r="DM289" s="125" t="inlineStr">
        <is>
          <t>104.660</t>
        </is>
      </c>
      <c r="DN289" s="126" t="inlineStr">
        <is>
          <t>1.634</t>
        </is>
      </c>
      <c r="DO289" s="127" t="inlineStr">
        <is>
          <t>1,59%</t>
        </is>
      </c>
      <c r="DP289" s="128" t="inlineStr">
        <is>
          <t>71.324</t>
        </is>
      </c>
      <c r="DQ289" s="129" t="inlineStr">
        <is>
          <t>979</t>
        </is>
      </c>
      <c r="DR289" s="130" t="inlineStr">
        <is>
          <t>1,39%</t>
        </is>
      </c>
      <c r="DS289" s="131" t="inlineStr">
        <is>
          <t>273</t>
        </is>
      </c>
      <c r="DT289" s="132" t="inlineStr">
        <is>
          <t>4</t>
        </is>
      </c>
      <c r="DU289" s="133" t="inlineStr">
        <is>
          <t>1,49%</t>
        </is>
      </c>
      <c r="DV289" s="134" t="inlineStr">
        <is>
          <t>331</t>
        </is>
      </c>
      <c r="DW289" s="135" t="inlineStr">
        <is>
          <t>2</t>
        </is>
      </c>
      <c r="DX289" s="136" t="inlineStr">
        <is>
          <t>0,61%</t>
        </is>
      </c>
      <c r="DY289" s="137" t="inlineStr">
        <is>
          <t>PitchBook Research</t>
        </is>
      </c>
      <c r="DZ289" s="785">
        <f>HYPERLINK("https://my.pitchbook.com?c=125077-96", "View company online")</f>
      </c>
    </row>
    <row r="290">
      <c r="A290" s="139" t="inlineStr">
        <is>
          <t>153875-62</t>
        </is>
      </c>
      <c r="B290" s="140" t="inlineStr">
        <is>
          <t>McMakler</t>
        </is>
      </c>
      <c r="C290" s="141" t="inlineStr">
        <is>
          <t/>
        </is>
      </c>
      <c r="D290" s="142" t="inlineStr">
        <is>
          <t/>
        </is>
      </c>
      <c r="E290" s="143" t="inlineStr">
        <is>
          <t>153875-62</t>
        </is>
      </c>
      <c r="F290" s="144" t="inlineStr">
        <is>
          <t>Developer of online real estate marketing platform designed to bring a new level of service quality, pricing and corporate presentation into the real estate sector. The company's online real estate marketing platform offers marketing services to landlords, real estate agents and people selling their homes, enabling them to use the advantages of centralized marketing.</t>
        </is>
      </c>
      <c r="G290" s="145" t="inlineStr">
        <is>
          <t>Consumer Products and Services (B2C)</t>
        </is>
      </c>
      <c r="H290" s="146" t="inlineStr">
        <is>
          <t>Services (Non-Financial)</t>
        </is>
      </c>
      <c r="I290" s="147" t="inlineStr">
        <is>
          <t>Real Estate Services (B2C)</t>
        </is>
      </c>
      <c r="J290" s="148" t="inlineStr">
        <is>
          <t>Real Estate Services (B2C)*; Social/Platform Software</t>
        </is>
      </c>
      <c r="K290" s="149" t="inlineStr">
        <is>
          <t/>
        </is>
      </c>
      <c r="L290" s="150" t="inlineStr">
        <is>
          <t>Venture Capital-Backed</t>
        </is>
      </c>
      <c r="M290" s="151" t="n">
        <v>24.5</v>
      </c>
      <c r="N290" s="152" t="inlineStr">
        <is>
          <t>Generating Revenue</t>
        </is>
      </c>
      <c r="O290" s="153" t="inlineStr">
        <is>
          <t>Privately Held (backing)</t>
        </is>
      </c>
      <c r="P290" s="154" t="inlineStr">
        <is>
          <t>Venture Capital</t>
        </is>
      </c>
      <c r="Q290" s="155" t="inlineStr">
        <is>
          <t>www.mcmakler.de</t>
        </is>
      </c>
      <c r="R290" s="156" t="n">
        <v>200.0</v>
      </c>
      <c r="S290" s="157" t="inlineStr">
        <is>
          <t/>
        </is>
      </c>
      <c r="T290" s="158" t="inlineStr">
        <is>
          <t/>
        </is>
      </c>
      <c r="U290" s="159" t="n">
        <v>2015.0</v>
      </c>
      <c r="V290" s="160" t="inlineStr">
        <is>
          <t/>
        </is>
      </c>
      <c r="W290" s="161" t="inlineStr">
        <is>
          <t/>
        </is>
      </c>
      <c r="X290" s="162" t="inlineStr">
        <is>
          <t/>
        </is>
      </c>
      <c r="Y290" s="163" t="inlineStr">
        <is>
          <t/>
        </is>
      </c>
      <c r="Z290" s="164" t="inlineStr">
        <is>
          <t/>
        </is>
      </c>
      <c r="AA290" s="165" t="inlineStr">
        <is>
          <t/>
        </is>
      </c>
      <c r="AB290" s="166" t="inlineStr">
        <is>
          <t/>
        </is>
      </c>
      <c r="AC290" s="167" t="inlineStr">
        <is>
          <t/>
        </is>
      </c>
      <c r="AD290" s="168" t="inlineStr">
        <is>
          <t/>
        </is>
      </c>
      <c r="AE290" s="169" t="inlineStr">
        <is>
          <t>128322-55P</t>
        </is>
      </c>
      <c r="AF290" s="170" t="inlineStr">
        <is>
          <t>Hanno Heintzenberg</t>
        </is>
      </c>
      <c r="AG290" s="171" t="inlineStr">
        <is>
          <t>Co-Founder &amp; Managing Director</t>
        </is>
      </c>
      <c r="AH290" s="172" t="inlineStr">
        <is>
          <t>hanno.heintzenberg@mcmakler.de</t>
        </is>
      </c>
      <c r="AI290" s="173" t="inlineStr">
        <is>
          <t>+49 (0)80 0500 8002</t>
        </is>
      </c>
      <c r="AJ290" s="174" t="inlineStr">
        <is>
          <t>Berlin, Germany</t>
        </is>
      </c>
      <c r="AK290" s="175" t="inlineStr">
        <is>
          <t>Torstraße 19</t>
        </is>
      </c>
      <c r="AL290" s="176" t="inlineStr">
        <is>
          <t/>
        </is>
      </c>
      <c r="AM290" s="177" t="inlineStr">
        <is>
          <t>Berlin</t>
        </is>
      </c>
      <c r="AN290" s="178" t="inlineStr">
        <is>
          <t/>
        </is>
      </c>
      <c r="AO290" s="179" t="inlineStr">
        <is>
          <t>10119</t>
        </is>
      </c>
      <c r="AP290" s="180" t="inlineStr">
        <is>
          <t>Germany</t>
        </is>
      </c>
      <c r="AQ290" s="181" t="inlineStr">
        <is>
          <t>+49 (0)80 0500 8002</t>
        </is>
      </c>
      <c r="AR290" s="182" t="inlineStr">
        <is>
          <t/>
        </is>
      </c>
      <c r="AS290" s="183" t="inlineStr">
        <is>
          <t>info@mcmakler.de</t>
        </is>
      </c>
      <c r="AT290" s="184" t="inlineStr">
        <is>
          <t>Europe</t>
        </is>
      </c>
      <c r="AU290" s="185" t="inlineStr">
        <is>
          <t>Western Europe</t>
        </is>
      </c>
      <c r="AV290" s="186" t="inlineStr">
        <is>
          <t>The company raised EUR 16 million of venture funding from Frog Capital, The Mutschler Group and Cavalry Ventures on May 23, 2017, putting the company's post-money valuation at EUR 96 million. Piton Capital and other undisclosed investors also participated in this round. The company plans to use the new financing to grow the business and expand throughout Germany. It also wants to expand its marketing efforts and just launched its first TV commercial.</t>
        </is>
      </c>
      <c r="AW290" s="187" t="inlineStr">
        <is>
          <t>Apoletto Asia, Cavalry Ventures, DN Capital, Earlybird Venture Capital, Frog Capital, Heilemann Ventures, Lakestar, Piton Capital, Target Global, The Mutschler Group, Voltage Ventures, Warpspeed Ventures</t>
        </is>
      </c>
      <c r="AX290" s="188" t="n">
        <v>12.0</v>
      </c>
      <c r="AY290" s="189" t="inlineStr">
        <is>
          <t/>
        </is>
      </c>
      <c r="AZ290" s="190" t="inlineStr">
        <is>
          <t/>
        </is>
      </c>
      <c r="BA290" s="191" t="inlineStr">
        <is>
          <t/>
        </is>
      </c>
      <c r="BB290" s="192" t="inlineStr">
        <is>
          <t>Cavalry Ventures (www.cavalry.vc), DN Capital (www.dncapital.com), Earlybird Venture Capital (www.earlybird.com), Frog Capital (www.frogcapital.com), Heilemann Ventures (www.heilemann-ventures.com), Lakestar (www.lakestar.com), Piton Capital (www.pitoncap.com), Target Global (www.targetglobal.vc), The Mutschler Group (www.mutschler-immobilien.com), Voltage Ventures (www.voltage.vc)</t>
        </is>
      </c>
      <c r="BC290" s="193" t="inlineStr">
        <is>
          <t/>
        </is>
      </c>
      <c r="BD290" s="194" t="inlineStr">
        <is>
          <t/>
        </is>
      </c>
      <c r="BE290" s="195" t="inlineStr">
        <is>
          <t/>
        </is>
      </c>
      <c r="BF290" s="196" t="inlineStr">
        <is>
          <t/>
        </is>
      </c>
      <c r="BG290" s="197" t="inlineStr">
        <is>
          <t/>
        </is>
      </c>
      <c r="BH290" s="198" t="inlineStr">
        <is>
          <t/>
        </is>
      </c>
      <c r="BI290" s="199" t="inlineStr">
        <is>
          <t/>
        </is>
      </c>
      <c r="BJ290" s="200" t="inlineStr">
        <is>
          <t/>
        </is>
      </c>
      <c r="BK290" s="201" t="inlineStr">
        <is>
          <t/>
        </is>
      </c>
      <c r="BL290" s="202" t="inlineStr">
        <is>
          <t>Accelerator/Incubator</t>
        </is>
      </c>
      <c r="BM290" s="203" t="inlineStr">
        <is>
          <t/>
        </is>
      </c>
      <c r="BN290" s="204" t="inlineStr">
        <is>
          <t/>
        </is>
      </c>
      <c r="BO290" s="205" t="inlineStr">
        <is>
          <t>Other</t>
        </is>
      </c>
      <c r="BP290" s="206" t="inlineStr">
        <is>
          <t/>
        </is>
      </c>
      <c r="BQ290" s="207" t="inlineStr">
        <is>
          <t/>
        </is>
      </c>
      <c r="BR290" s="208" t="inlineStr">
        <is>
          <t/>
        </is>
      </c>
      <c r="BS290" s="209" t="inlineStr">
        <is>
          <t>Completed</t>
        </is>
      </c>
      <c r="BT290" s="210" t="n">
        <v>42878.0</v>
      </c>
      <c r="BU290" s="211" t="n">
        <v>16.0</v>
      </c>
      <c r="BV290" s="212" t="inlineStr">
        <is>
          <t>Actual</t>
        </is>
      </c>
      <c r="BW290" s="213" t="n">
        <v>96.0</v>
      </c>
      <c r="BX290" s="214" t="inlineStr">
        <is>
          <t>Actual</t>
        </is>
      </c>
      <c r="BY290" s="215" t="inlineStr">
        <is>
          <t>Early Stage VC</t>
        </is>
      </c>
      <c r="BZ290" s="216" t="inlineStr">
        <is>
          <t/>
        </is>
      </c>
      <c r="CA290" s="217" t="inlineStr">
        <is>
          <t/>
        </is>
      </c>
      <c r="CB290" s="218" t="inlineStr">
        <is>
          <t>Venture Capital</t>
        </is>
      </c>
      <c r="CC290" s="219" t="inlineStr">
        <is>
          <t/>
        </is>
      </c>
      <c r="CD290" s="220" t="inlineStr">
        <is>
          <t/>
        </is>
      </c>
      <c r="CE290" s="221" t="inlineStr">
        <is>
          <t/>
        </is>
      </c>
      <c r="CF290" s="222" t="inlineStr">
        <is>
          <t>Completed</t>
        </is>
      </c>
      <c r="CG290" s="223" t="inlineStr">
        <is>
          <t>2,12%</t>
        </is>
      </c>
      <c r="CH290" s="224" t="inlineStr">
        <is>
          <t>94</t>
        </is>
      </c>
      <c r="CI290" s="225" t="inlineStr">
        <is>
          <t>-0,10%</t>
        </is>
      </c>
      <c r="CJ290" s="226" t="inlineStr">
        <is>
          <t>-4,43%</t>
        </is>
      </c>
      <c r="CK290" s="227" t="inlineStr">
        <is>
          <t>3,36%</t>
        </is>
      </c>
      <c r="CL290" s="228" t="inlineStr">
        <is>
          <t>94</t>
        </is>
      </c>
      <c r="CM290" s="229" t="inlineStr">
        <is>
          <t>0,88%</t>
        </is>
      </c>
      <c r="CN290" s="230" t="inlineStr">
        <is>
          <t>95</t>
        </is>
      </c>
      <c r="CO290" s="231" t="inlineStr">
        <is>
          <t>2,13%</t>
        </is>
      </c>
      <c r="CP290" s="232" t="inlineStr">
        <is>
          <t>89</t>
        </is>
      </c>
      <c r="CQ290" s="233" t="inlineStr">
        <is>
          <t>4,59%</t>
        </is>
      </c>
      <c r="CR290" s="234" t="inlineStr">
        <is>
          <t>94</t>
        </is>
      </c>
      <c r="CS290" s="235" t="inlineStr">
        <is>
          <t>0,88%</t>
        </is>
      </c>
      <c r="CT290" s="236" t="inlineStr">
        <is>
          <t>94</t>
        </is>
      </c>
      <c r="CU290" s="237" t="inlineStr">
        <is>
          <t/>
        </is>
      </c>
      <c r="CV290" s="238" t="inlineStr">
        <is>
          <t/>
        </is>
      </c>
      <c r="CW290" s="239" t="inlineStr">
        <is>
          <t>4,55x</t>
        </is>
      </c>
      <c r="CX290" s="240" t="inlineStr">
        <is>
          <t>78</t>
        </is>
      </c>
      <c r="CY290" s="241" t="inlineStr">
        <is>
          <t>0,04x</t>
        </is>
      </c>
      <c r="CZ290" s="242" t="inlineStr">
        <is>
          <t>0,80%</t>
        </is>
      </c>
      <c r="DA290" s="243" t="inlineStr">
        <is>
          <t>8,03x</t>
        </is>
      </c>
      <c r="DB290" s="244" t="inlineStr">
        <is>
          <t>85</t>
        </is>
      </c>
      <c r="DC290" s="245" t="inlineStr">
        <is>
          <t>1,07x</t>
        </is>
      </c>
      <c r="DD290" s="246" t="inlineStr">
        <is>
          <t>50</t>
        </is>
      </c>
      <c r="DE290" s="247" t="inlineStr">
        <is>
          <t>11,05x</t>
        </is>
      </c>
      <c r="DF290" s="248" t="inlineStr">
        <is>
          <t>84</t>
        </is>
      </c>
      <c r="DG290" s="249" t="inlineStr">
        <is>
          <t>5,00x</t>
        </is>
      </c>
      <c r="DH290" s="250" t="inlineStr">
        <is>
          <t>79</t>
        </is>
      </c>
      <c r="DI290" s="251" t="inlineStr">
        <is>
          <t>1,07x</t>
        </is>
      </c>
      <c r="DJ290" s="252" t="inlineStr">
        <is>
          <t>52</t>
        </is>
      </c>
      <c r="DK290" s="253" t="inlineStr">
        <is>
          <t/>
        </is>
      </c>
      <c r="DL290" s="254" t="inlineStr">
        <is>
          <t/>
        </is>
      </c>
      <c r="DM290" s="255" t="inlineStr">
        <is>
          <t>6.706</t>
        </is>
      </c>
      <c r="DN290" s="256" t="inlineStr">
        <is>
          <t>268</t>
        </is>
      </c>
      <c r="DO290" s="257" t="inlineStr">
        <is>
          <t>4,16%</t>
        </is>
      </c>
      <c r="DP290" s="258" t="inlineStr">
        <is>
          <t>847</t>
        </is>
      </c>
      <c r="DQ290" s="259" t="inlineStr">
        <is>
          <t>9</t>
        </is>
      </c>
      <c r="DR290" s="260" t="inlineStr">
        <is>
          <t>1,07%</t>
        </is>
      </c>
      <c r="DS290" s="261" t="inlineStr">
        <is>
          <t>180</t>
        </is>
      </c>
      <c r="DT290" s="262" t="inlineStr">
        <is>
          <t>-2</t>
        </is>
      </c>
      <c r="DU290" s="263" t="inlineStr">
        <is>
          <t>-1,10%</t>
        </is>
      </c>
      <c r="DV290" s="264" t="inlineStr">
        <is>
          <t/>
        </is>
      </c>
      <c r="DW290" s="265" t="inlineStr">
        <is>
          <t/>
        </is>
      </c>
      <c r="DX290" s="266" t="inlineStr">
        <is>
          <t/>
        </is>
      </c>
      <c r="DY290" s="267" t="inlineStr">
        <is>
          <t>PitchBook Research</t>
        </is>
      </c>
      <c r="DZ290" s="786">
        <f>HYPERLINK("https://my.pitchbook.com?c=153875-62", "View company online")</f>
      </c>
    </row>
    <row r="291">
      <c r="A291" s="9" t="inlineStr">
        <is>
          <t>92089-18</t>
        </is>
      </c>
      <c r="B291" s="10" t="inlineStr">
        <is>
          <t>Medigo</t>
        </is>
      </c>
      <c r="C291" s="11" t="inlineStr">
        <is>
          <t/>
        </is>
      </c>
      <c r="D291" s="12" t="inlineStr">
        <is>
          <t/>
        </is>
      </c>
      <c r="E291" s="13" t="inlineStr">
        <is>
          <t>92089-18</t>
        </is>
      </c>
      <c r="F291" s="14" t="inlineStr">
        <is>
          <t>Provider of information services designed to connect patients directly with doctors globally. The company's information services are provided through a platform that helps in seeking medical care in a location outside of permanent residence, enabling patients to get assistance in booking flights, accommodation and aftercare to visit a doctor.</t>
        </is>
      </c>
      <c r="G291" s="15" t="inlineStr">
        <is>
          <t>Consumer Products and Services (B2C)</t>
        </is>
      </c>
      <c r="H291" s="16" t="inlineStr">
        <is>
          <t>Media</t>
        </is>
      </c>
      <c r="I291" s="17" t="inlineStr">
        <is>
          <t>Information Services (B2C)</t>
        </is>
      </c>
      <c r="J291" s="18" t="inlineStr">
        <is>
          <t>Information Services (B2C)*; Clinics/Outpatient Services; Other Healthcare Services</t>
        </is>
      </c>
      <c r="K291" s="19" t="inlineStr">
        <is>
          <t/>
        </is>
      </c>
      <c r="L291" s="20" t="inlineStr">
        <is>
          <t>Venture Capital-Backed</t>
        </is>
      </c>
      <c r="M291" s="21" t="n">
        <v>12.71</v>
      </c>
      <c r="N291" s="22" t="inlineStr">
        <is>
          <t>Generating Revenue</t>
        </is>
      </c>
      <c r="O291" s="23" t="inlineStr">
        <is>
          <t>Privately Held (backing)</t>
        </is>
      </c>
      <c r="P291" s="24" t="inlineStr">
        <is>
          <t>Venture Capital</t>
        </is>
      </c>
      <c r="Q291" s="25" t="inlineStr">
        <is>
          <t>www.medigo.com</t>
        </is>
      </c>
      <c r="R291" s="26" t="n">
        <v>55.0</v>
      </c>
      <c r="S291" s="27" t="inlineStr">
        <is>
          <t/>
        </is>
      </c>
      <c r="T291" s="28" t="inlineStr">
        <is>
          <t/>
        </is>
      </c>
      <c r="U291" s="29" t="n">
        <v>2013.0</v>
      </c>
      <c r="V291" s="30" t="inlineStr">
        <is>
          <t/>
        </is>
      </c>
      <c r="W291" s="31" t="inlineStr">
        <is>
          <t/>
        </is>
      </c>
      <c r="X291" s="32" t="inlineStr">
        <is>
          <t/>
        </is>
      </c>
      <c r="Y291" s="33" t="inlineStr">
        <is>
          <t/>
        </is>
      </c>
      <c r="Z291" s="34" t="inlineStr">
        <is>
          <t/>
        </is>
      </c>
      <c r="AA291" s="35" t="inlineStr">
        <is>
          <t/>
        </is>
      </c>
      <c r="AB291" s="36" t="inlineStr">
        <is>
          <t/>
        </is>
      </c>
      <c r="AC291" s="37" t="inlineStr">
        <is>
          <t/>
        </is>
      </c>
      <c r="AD291" s="38" t="inlineStr">
        <is>
          <t/>
        </is>
      </c>
      <c r="AE291" s="39" t="inlineStr">
        <is>
          <t>86459-50P</t>
        </is>
      </c>
      <c r="AF291" s="40" t="inlineStr">
        <is>
          <t>Ugur Samut</t>
        </is>
      </c>
      <c r="AG291" s="41" t="inlineStr">
        <is>
          <t>Co-Founder, Managing Director and Chief Executive Officer</t>
        </is>
      </c>
      <c r="AH291" s="42" t="inlineStr">
        <is>
          <t>ugur.samut@medigo.com</t>
        </is>
      </c>
      <c r="AI291" s="43" t="inlineStr">
        <is>
          <t>+49 (0)40 4011 9891 8</t>
        </is>
      </c>
      <c r="AJ291" s="44" t="inlineStr">
        <is>
          <t>Berlin, Germany</t>
        </is>
      </c>
      <c r="AK291" s="45" t="inlineStr">
        <is>
          <t>Rosenthaler Straße 13</t>
        </is>
      </c>
      <c r="AL291" s="46" t="inlineStr">
        <is>
          <t/>
        </is>
      </c>
      <c r="AM291" s="47" t="inlineStr">
        <is>
          <t>Berlin</t>
        </is>
      </c>
      <c r="AN291" s="48" t="inlineStr">
        <is>
          <t/>
        </is>
      </c>
      <c r="AO291" s="49" t="inlineStr">
        <is>
          <t>10119</t>
        </is>
      </c>
      <c r="AP291" s="50" t="inlineStr">
        <is>
          <t>Germany</t>
        </is>
      </c>
      <c r="AQ291" s="51" t="inlineStr">
        <is>
          <t>+49 (0)40 4011 9891 8</t>
        </is>
      </c>
      <c r="AR291" s="52" t="inlineStr">
        <is>
          <t>+49 (0)40 4011 9891 8</t>
        </is>
      </c>
      <c r="AS291" s="53" t="inlineStr">
        <is>
          <t>contact@medigo.com</t>
        </is>
      </c>
      <c r="AT291" s="54" t="inlineStr">
        <is>
          <t>Europe</t>
        </is>
      </c>
      <c r="AU291" s="55" t="inlineStr">
        <is>
          <t>Western Europe</t>
        </is>
      </c>
      <c r="AV291" s="56" t="inlineStr">
        <is>
          <t>The company raised EUR 3.35 million of venture funding from Cheerland Investments Group and other undisclosed investors on January 19, 2016.</t>
        </is>
      </c>
      <c r="AW291" s="57" t="inlineStr">
        <is>
          <t>Accel, Atlantic Labs, Cheerland Investments Group, Groupe Arnault, Individual Investor, Sebastian Kübler, TA Ventures, Taishan XD Ventures</t>
        </is>
      </c>
      <c r="AX291" s="58" t="n">
        <v>8.0</v>
      </c>
      <c r="AY291" s="59" t="inlineStr">
        <is>
          <t/>
        </is>
      </c>
      <c r="AZ291" s="60" t="inlineStr">
        <is>
          <t/>
        </is>
      </c>
      <c r="BA291" s="61" t="inlineStr">
        <is>
          <t/>
        </is>
      </c>
      <c r="BB291" s="62" t="inlineStr">
        <is>
          <t>Accel (www.accel.com), Atlantic Labs (www.atlanticlabs.de), TA Ventures (www.taventures.vc), Taishan XD Ventures (www.txdventures.com)</t>
        </is>
      </c>
      <c r="BC291" s="63" t="inlineStr">
        <is>
          <t/>
        </is>
      </c>
      <c r="BD291" s="64" t="inlineStr">
        <is>
          <t/>
        </is>
      </c>
      <c r="BE291" s="65" t="inlineStr">
        <is>
          <t/>
        </is>
      </c>
      <c r="BF291" s="66" t="inlineStr">
        <is>
          <t/>
        </is>
      </c>
      <c r="BG291" s="67" t="n">
        <v>41609.0</v>
      </c>
      <c r="BH291" s="68" t="n">
        <v>2.26</v>
      </c>
      <c r="BI291" s="69" t="inlineStr">
        <is>
          <t>Actual</t>
        </is>
      </c>
      <c r="BJ291" s="70" t="inlineStr">
        <is>
          <t/>
        </is>
      </c>
      <c r="BK291" s="71" t="inlineStr">
        <is>
          <t/>
        </is>
      </c>
      <c r="BL291" s="72" t="inlineStr">
        <is>
          <t>Seed Round</t>
        </is>
      </c>
      <c r="BM291" s="73" t="inlineStr">
        <is>
          <t>Seed</t>
        </is>
      </c>
      <c r="BN291" s="74" t="inlineStr">
        <is>
          <t/>
        </is>
      </c>
      <c r="BO291" s="75" t="inlineStr">
        <is>
          <t>Venture Capital</t>
        </is>
      </c>
      <c r="BP291" s="76" t="inlineStr">
        <is>
          <t/>
        </is>
      </c>
      <c r="BQ291" s="77" t="inlineStr">
        <is>
          <t/>
        </is>
      </c>
      <c r="BR291" s="78" t="inlineStr">
        <is>
          <t/>
        </is>
      </c>
      <c r="BS291" s="79" t="inlineStr">
        <is>
          <t>Completed</t>
        </is>
      </c>
      <c r="BT291" s="80" t="n">
        <v>42388.0</v>
      </c>
      <c r="BU291" s="81" t="n">
        <v>3.35</v>
      </c>
      <c r="BV291" s="82" t="inlineStr">
        <is>
          <t>Actual</t>
        </is>
      </c>
      <c r="BW291" s="83" t="inlineStr">
        <is>
          <t/>
        </is>
      </c>
      <c r="BX291" s="84" t="inlineStr">
        <is>
          <t/>
        </is>
      </c>
      <c r="BY291" s="85" t="inlineStr">
        <is>
          <t>Early Stage VC</t>
        </is>
      </c>
      <c r="BZ291" s="86" t="inlineStr">
        <is>
          <t/>
        </is>
      </c>
      <c r="CA291" s="87" t="inlineStr">
        <is>
          <t/>
        </is>
      </c>
      <c r="CB291" s="88" t="inlineStr">
        <is>
          <t>Venture Capital</t>
        </is>
      </c>
      <c r="CC291" s="89" t="inlineStr">
        <is>
          <t/>
        </is>
      </c>
      <c r="CD291" s="90" t="inlineStr">
        <is>
          <t/>
        </is>
      </c>
      <c r="CE291" s="91" t="inlineStr">
        <is>
          <t/>
        </is>
      </c>
      <c r="CF291" s="92" t="inlineStr">
        <is>
          <t>Completed</t>
        </is>
      </c>
      <c r="CG291" s="93" t="inlineStr">
        <is>
          <t>0,38%</t>
        </is>
      </c>
      <c r="CH291" s="94" t="inlineStr">
        <is>
          <t>82</t>
        </is>
      </c>
      <c r="CI291" s="95" t="inlineStr">
        <is>
          <t>-0,03%</t>
        </is>
      </c>
      <c r="CJ291" s="96" t="inlineStr">
        <is>
          <t>-7,81%</t>
        </is>
      </c>
      <c r="CK291" s="97" t="inlineStr">
        <is>
          <t>0,68%</t>
        </is>
      </c>
      <c r="CL291" s="98" t="inlineStr">
        <is>
          <t>85</t>
        </is>
      </c>
      <c r="CM291" s="99" t="inlineStr">
        <is>
          <t>0,09%</t>
        </is>
      </c>
      <c r="CN291" s="100" t="inlineStr">
        <is>
          <t>59</t>
        </is>
      </c>
      <c r="CO291" s="101" t="inlineStr">
        <is>
          <t>0,29%</t>
        </is>
      </c>
      <c r="CP291" s="102" t="inlineStr">
        <is>
          <t>80</t>
        </is>
      </c>
      <c r="CQ291" s="103" t="inlineStr">
        <is>
          <t>1,07%</t>
        </is>
      </c>
      <c r="CR291" s="104" t="inlineStr">
        <is>
          <t>89</t>
        </is>
      </c>
      <c r="CS291" s="105" t="inlineStr">
        <is>
          <t>0,04%</t>
        </is>
      </c>
      <c r="CT291" s="106" t="inlineStr">
        <is>
          <t>47</t>
        </is>
      </c>
      <c r="CU291" s="107" t="inlineStr">
        <is>
          <t>0,13%</t>
        </is>
      </c>
      <c r="CV291" s="108" t="inlineStr">
        <is>
          <t>71</t>
        </is>
      </c>
      <c r="CW291" s="109" t="inlineStr">
        <is>
          <t>51,72x</t>
        </is>
      </c>
      <c r="CX291" s="110" t="inlineStr">
        <is>
          <t>96</t>
        </is>
      </c>
      <c r="CY291" s="111" t="inlineStr">
        <is>
          <t>0,46x</t>
        </is>
      </c>
      <c r="CZ291" s="112" t="inlineStr">
        <is>
          <t>0,90%</t>
        </is>
      </c>
      <c r="DA291" s="113" t="inlineStr">
        <is>
          <t>87,76x</t>
        </is>
      </c>
      <c r="DB291" s="114" t="inlineStr">
        <is>
          <t>98</t>
        </is>
      </c>
      <c r="DC291" s="115" t="inlineStr">
        <is>
          <t>15,67x</t>
        </is>
      </c>
      <c r="DD291" s="116" t="inlineStr">
        <is>
          <t>88</t>
        </is>
      </c>
      <c r="DE291" s="117" t="inlineStr">
        <is>
          <t>136,92x</t>
        </is>
      </c>
      <c r="DF291" s="118" t="inlineStr">
        <is>
          <t>97</t>
        </is>
      </c>
      <c r="DG291" s="119" t="inlineStr">
        <is>
          <t>38,61x</t>
        </is>
      </c>
      <c r="DH291" s="120" t="inlineStr">
        <is>
          <t>96</t>
        </is>
      </c>
      <c r="DI291" s="121" t="inlineStr">
        <is>
          <t>25,81x</t>
        </is>
      </c>
      <c r="DJ291" s="122" t="inlineStr">
        <is>
          <t>89</t>
        </is>
      </c>
      <c r="DK291" s="123" t="inlineStr">
        <is>
          <t>5,52x</t>
        </is>
      </c>
      <c r="DL291" s="124" t="inlineStr">
        <is>
          <t>79</t>
        </is>
      </c>
      <c r="DM291" s="125" t="inlineStr">
        <is>
          <t>84.055</t>
        </is>
      </c>
      <c r="DN291" s="126" t="inlineStr">
        <is>
          <t>447</t>
        </is>
      </c>
      <c r="DO291" s="127" t="inlineStr">
        <is>
          <t>0,53%</t>
        </is>
      </c>
      <c r="DP291" s="128" t="inlineStr">
        <is>
          <t>20.620</t>
        </is>
      </c>
      <c r="DQ291" s="129" t="inlineStr">
        <is>
          <t>10</t>
        </is>
      </c>
      <c r="DR291" s="130" t="inlineStr">
        <is>
          <t>0,05%</t>
        </is>
      </c>
      <c r="DS291" s="131" t="inlineStr">
        <is>
          <t>1.387</t>
        </is>
      </c>
      <c r="DT291" s="132" t="inlineStr">
        <is>
          <t>0</t>
        </is>
      </c>
      <c r="DU291" s="133" t="inlineStr">
        <is>
          <t>0,00%</t>
        </is>
      </c>
      <c r="DV291" s="134" t="inlineStr">
        <is>
          <t>1.890</t>
        </is>
      </c>
      <c r="DW291" s="135" t="inlineStr">
        <is>
          <t>2</t>
        </is>
      </c>
      <c r="DX291" s="136" t="inlineStr">
        <is>
          <t>0,11%</t>
        </is>
      </c>
      <c r="DY291" s="137" t="inlineStr">
        <is>
          <t>PitchBook Research</t>
        </is>
      </c>
      <c r="DZ291" s="785">
        <f>HYPERLINK("https://my.pitchbook.com?c=92089-18", "View company online")</f>
      </c>
    </row>
    <row r="292">
      <c r="A292" s="139" t="inlineStr">
        <is>
          <t>169122-16</t>
        </is>
      </c>
      <c r="B292" s="140" t="inlineStr">
        <is>
          <t>Microbiotica</t>
        </is>
      </c>
      <c r="C292" s="141" t="inlineStr">
        <is>
          <t/>
        </is>
      </c>
      <c r="D292" s="142" t="inlineStr">
        <is>
          <t/>
        </is>
      </c>
      <c r="E292" s="143" t="inlineStr">
        <is>
          <t>169122-16</t>
        </is>
      </c>
      <c r="F292" s="144" t="inlineStr">
        <is>
          <t>Developer of human microbiome therapeutics. The company focuses to develop and commercialise new defined bacteriotherapies based on the human gut microbiome.</t>
        </is>
      </c>
      <c r="G292" s="145" t="inlineStr">
        <is>
          <t>Healthcare</t>
        </is>
      </c>
      <c r="H292" s="146" t="inlineStr">
        <is>
          <t>Pharmaceuticals and Biotechnology</t>
        </is>
      </c>
      <c r="I292" s="147" t="inlineStr">
        <is>
          <t>Biotechnology</t>
        </is>
      </c>
      <c r="J292" s="148" t="inlineStr">
        <is>
          <t>Biotechnology*; Drug Discovery</t>
        </is>
      </c>
      <c r="K292" s="149" t="inlineStr">
        <is>
          <t/>
        </is>
      </c>
      <c r="L292" s="150" t="inlineStr">
        <is>
          <t>Venture Capital-Backed</t>
        </is>
      </c>
      <c r="M292" s="151" t="n">
        <v>9.48</v>
      </c>
      <c r="N292" s="152" t="inlineStr">
        <is>
          <t>Startup</t>
        </is>
      </c>
      <c r="O292" s="153" t="inlineStr">
        <is>
          <t>Privately Held (backing)</t>
        </is>
      </c>
      <c r="P292" s="154" t="inlineStr">
        <is>
          <t>Venture Capital</t>
        </is>
      </c>
      <c r="Q292" s="155" t="inlineStr">
        <is>
          <t/>
        </is>
      </c>
      <c r="R292" s="156" t="inlineStr">
        <is>
          <t/>
        </is>
      </c>
      <c r="S292" s="157" t="inlineStr">
        <is>
          <t/>
        </is>
      </c>
      <c r="T292" s="158" t="inlineStr">
        <is>
          <t/>
        </is>
      </c>
      <c r="U292" s="159" t="n">
        <v>2016.0</v>
      </c>
      <c r="V292" s="160" t="inlineStr">
        <is>
          <t/>
        </is>
      </c>
      <c r="W292" s="161" t="inlineStr">
        <is>
          <t/>
        </is>
      </c>
      <c r="X292" s="162" t="inlineStr">
        <is>
          <t/>
        </is>
      </c>
      <c r="Y292" s="163" t="inlineStr">
        <is>
          <t/>
        </is>
      </c>
      <c r="Z292" s="164" t="inlineStr">
        <is>
          <t/>
        </is>
      </c>
      <c r="AA292" s="165" t="inlineStr">
        <is>
          <t/>
        </is>
      </c>
      <c r="AB292" s="166" t="inlineStr">
        <is>
          <t/>
        </is>
      </c>
      <c r="AC292" s="167" t="inlineStr">
        <is>
          <t/>
        </is>
      </c>
      <c r="AD292" s="168" t="inlineStr">
        <is>
          <t/>
        </is>
      </c>
      <c r="AE292" s="169" t="inlineStr">
        <is>
          <t>47157-31P</t>
        </is>
      </c>
      <c r="AF292" s="170" t="inlineStr">
        <is>
          <t>Mike Romanos</t>
        </is>
      </c>
      <c r="AG292" s="171" t="inlineStr">
        <is>
          <t>Board Member &amp; Chief Executive Officer</t>
        </is>
      </c>
      <c r="AH292" s="172" t="inlineStr">
        <is>
          <t/>
        </is>
      </c>
      <c r="AI292" s="173" t="inlineStr">
        <is>
          <t>+44(0)1223-497140</t>
        </is>
      </c>
      <c r="AJ292" s="174" t="inlineStr">
        <is>
          <t>Cambridge, United Kingdom</t>
        </is>
      </c>
      <c r="AK292" s="175" t="inlineStr">
        <is>
          <t>C/O Taylor Vinters, Merlin Place</t>
        </is>
      </c>
      <c r="AL292" s="176" t="inlineStr">
        <is>
          <t>Milton Road</t>
        </is>
      </c>
      <c r="AM292" s="177" t="inlineStr">
        <is>
          <t>Cambridge</t>
        </is>
      </c>
      <c r="AN292" s="178" t="inlineStr">
        <is>
          <t>England</t>
        </is>
      </c>
      <c r="AO292" s="179" t="inlineStr">
        <is>
          <t/>
        </is>
      </c>
      <c r="AP292" s="180" t="inlineStr">
        <is>
          <t>United Kingdom</t>
        </is>
      </c>
      <c r="AQ292" s="181" t="inlineStr">
        <is>
          <t/>
        </is>
      </c>
      <c r="AR292" s="182" t="inlineStr">
        <is>
          <t/>
        </is>
      </c>
      <c r="AS292" s="183" t="inlineStr">
        <is>
          <t/>
        </is>
      </c>
      <c r="AT292" s="184" t="inlineStr">
        <is>
          <t>Europe</t>
        </is>
      </c>
      <c r="AU292" s="185" t="inlineStr">
        <is>
          <t>Western Europe</t>
        </is>
      </c>
      <c r="AV292" s="186" t="inlineStr">
        <is>
          <t>The company raised GBP 8 million of seed venture funding from Cambridge Innovation Capital and IP Group on December 15, 2016, putting the pre-money valuation at GBP 3.9 million. Of the total amount, GBP 5 was raised via convertible debt. The company plans to use the funding to set up digs at the Wellcome Genome Campus near Cambridge, U.K., from which it will work to take multiple live bacteriotherapy programs into development.</t>
        </is>
      </c>
      <c r="AW292" s="187" t="inlineStr">
        <is>
          <t>Cambridge Innovation Capital, IP Group</t>
        </is>
      </c>
      <c r="AX292" s="188" t="n">
        <v>2.0</v>
      </c>
      <c r="AY292" s="189" t="inlineStr">
        <is>
          <t/>
        </is>
      </c>
      <c r="AZ292" s="190" t="inlineStr">
        <is>
          <t/>
        </is>
      </c>
      <c r="BA292" s="191" t="inlineStr">
        <is>
          <t/>
        </is>
      </c>
      <c r="BB292" s="192" t="inlineStr">
        <is>
          <t>Cambridge Innovation Capital (www.cicplc.co.uk), IP Group (www.ipgroupplc.com)</t>
        </is>
      </c>
      <c r="BC292" s="193" t="inlineStr">
        <is>
          <t/>
        </is>
      </c>
      <c r="BD292" s="194" t="inlineStr">
        <is>
          <t/>
        </is>
      </c>
      <c r="BE292" s="195" t="inlineStr">
        <is>
          <t/>
        </is>
      </c>
      <c r="BF292" s="196" t="inlineStr">
        <is>
          <t/>
        </is>
      </c>
      <c r="BG292" s="197" t="n">
        <v>42719.0</v>
      </c>
      <c r="BH292" s="198" t="n">
        <v>9.48</v>
      </c>
      <c r="BI292" s="199" t="inlineStr">
        <is>
          <t>Actual</t>
        </is>
      </c>
      <c r="BJ292" s="200" t="n">
        <v>8.17</v>
      </c>
      <c r="BK292" s="201" t="inlineStr">
        <is>
          <t>Actual</t>
        </is>
      </c>
      <c r="BL292" s="202" t="inlineStr">
        <is>
          <t>Seed Round</t>
        </is>
      </c>
      <c r="BM292" s="203" t="inlineStr">
        <is>
          <t>Seed</t>
        </is>
      </c>
      <c r="BN292" s="204" t="inlineStr">
        <is>
          <t/>
        </is>
      </c>
      <c r="BO292" s="205" t="inlineStr">
        <is>
          <t>Venture Capital</t>
        </is>
      </c>
      <c r="BP292" s="206" t="inlineStr">
        <is>
          <t>Convertible Debt</t>
        </is>
      </c>
      <c r="BQ292" s="207" t="inlineStr">
        <is>
          <t/>
        </is>
      </c>
      <c r="BR292" s="208" t="inlineStr">
        <is>
          <t/>
        </is>
      </c>
      <c r="BS292" s="209" t="inlineStr">
        <is>
          <t>Completed</t>
        </is>
      </c>
      <c r="BT292" s="210" t="n">
        <v>42719.0</v>
      </c>
      <c r="BU292" s="211" t="n">
        <v>9.48</v>
      </c>
      <c r="BV292" s="212" t="inlineStr">
        <is>
          <t>Actual</t>
        </is>
      </c>
      <c r="BW292" s="213" t="n">
        <v>8.17</v>
      </c>
      <c r="BX292" s="214" t="inlineStr">
        <is>
          <t>Actual</t>
        </is>
      </c>
      <c r="BY292" s="215" t="inlineStr">
        <is>
          <t>Seed Round</t>
        </is>
      </c>
      <c r="BZ292" s="216" t="inlineStr">
        <is>
          <t>Seed</t>
        </is>
      </c>
      <c r="CA292" s="217" t="inlineStr">
        <is>
          <t/>
        </is>
      </c>
      <c r="CB292" s="218" t="inlineStr">
        <is>
          <t>Venture Capital</t>
        </is>
      </c>
      <c r="CC292" s="219" t="inlineStr">
        <is>
          <t>Convertible Debt</t>
        </is>
      </c>
      <c r="CD292" s="220" t="inlineStr">
        <is>
          <t/>
        </is>
      </c>
      <c r="CE292" s="221" t="inlineStr">
        <is>
          <t/>
        </is>
      </c>
      <c r="CF292" s="222" t="inlineStr">
        <is>
          <t>Completed</t>
        </is>
      </c>
      <c r="CG292" s="223" t="inlineStr">
        <is>
          <t/>
        </is>
      </c>
      <c r="CH292" s="224" t="inlineStr">
        <is>
          <t/>
        </is>
      </c>
      <c r="CI292" s="225" t="inlineStr">
        <is>
          <t/>
        </is>
      </c>
      <c r="CJ292" s="226" t="inlineStr">
        <is>
          <t/>
        </is>
      </c>
      <c r="CK292" s="227" t="inlineStr">
        <is>
          <t/>
        </is>
      </c>
      <c r="CL292" s="228" t="inlineStr">
        <is>
          <t/>
        </is>
      </c>
      <c r="CM292" s="229" t="inlineStr">
        <is>
          <t/>
        </is>
      </c>
      <c r="CN292" s="230" t="inlineStr">
        <is>
          <t/>
        </is>
      </c>
      <c r="CO292" s="231" t="inlineStr">
        <is>
          <t/>
        </is>
      </c>
      <c r="CP292" s="232" t="inlineStr">
        <is>
          <t/>
        </is>
      </c>
      <c r="CQ292" s="233" t="inlineStr">
        <is>
          <t/>
        </is>
      </c>
      <c r="CR292" s="234" t="inlineStr">
        <is>
          <t/>
        </is>
      </c>
      <c r="CS292" s="235" t="inlineStr">
        <is>
          <t/>
        </is>
      </c>
      <c r="CT292" s="236" t="inlineStr">
        <is>
          <t/>
        </is>
      </c>
      <c r="CU292" s="237" t="inlineStr">
        <is>
          <t/>
        </is>
      </c>
      <c r="CV292" s="238" t="inlineStr">
        <is>
          <t/>
        </is>
      </c>
      <c r="CW292" s="239" t="inlineStr">
        <is>
          <t/>
        </is>
      </c>
      <c r="CX292" s="240" t="inlineStr">
        <is>
          <t/>
        </is>
      </c>
      <c r="CY292" s="241" t="inlineStr">
        <is>
          <t/>
        </is>
      </c>
      <c r="CZ292" s="242" t="inlineStr">
        <is>
          <t/>
        </is>
      </c>
      <c r="DA292" s="243" t="inlineStr">
        <is>
          <t/>
        </is>
      </c>
      <c r="DB292" s="244" t="inlineStr">
        <is>
          <t/>
        </is>
      </c>
      <c r="DC292" s="245" t="inlineStr">
        <is>
          <t/>
        </is>
      </c>
      <c r="DD292" s="246" t="inlineStr">
        <is>
          <t/>
        </is>
      </c>
      <c r="DE292" s="247" t="inlineStr">
        <is>
          <t/>
        </is>
      </c>
      <c r="DF292" s="248" t="inlineStr">
        <is>
          <t/>
        </is>
      </c>
      <c r="DG292" s="249" t="inlineStr">
        <is>
          <t/>
        </is>
      </c>
      <c r="DH292" s="250" t="inlineStr">
        <is>
          <t/>
        </is>
      </c>
      <c r="DI292" s="251" t="inlineStr">
        <is>
          <t/>
        </is>
      </c>
      <c r="DJ292" s="252" t="inlineStr">
        <is>
          <t/>
        </is>
      </c>
      <c r="DK292" s="253" t="inlineStr">
        <is>
          <t/>
        </is>
      </c>
      <c r="DL292" s="254" t="inlineStr">
        <is>
          <t/>
        </is>
      </c>
      <c r="DM292" s="255" t="inlineStr">
        <is>
          <t/>
        </is>
      </c>
      <c r="DN292" s="256" t="inlineStr">
        <is>
          <t/>
        </is>
      </c>
      <c r="DO292" s="257" t="inlineStr">
        <is>
          <t/>
        </is>
      </c>
      <c r="DP292" s="258" t="inlineStr">
        <is>
          <t/>
        </is>
      </c>
      <c r="DQ292" s="259" t="inlineStr">
        <is>
          <t/>
        </is>
      </c>
      <c r="DR292" s="260" t="inlineStr">
        <is>
          <t/>
        </is>
      </c>
      <c r="DS292" s="261" t="inlineStr">
        <is>
          <t/>
        </is>
      </c>
      <c r="DT292" s="262" t="inlineStr">
        <is>
          <t/>
        </is>
      </c>
      <c r="DU292" s="263" t="inlineStr">
        <is>
          <t/>
        </is>
      </c>
      <c r="DV292" s="264" t="inlineStr">
        <is>
          <t/>
        </is>
      </c>
      <c r="DW292" s="265" t="inlineStr">
        <is>
          <t/>
        </is>
      </c>
      <c r="DX292" s="266" t="inlineStr">
        <is>
          <t/>
        </is>
      </c>
      <c r="DY292" s="267" t="inlineStr">
        <is>
          <t>PitchBook Research</t>
        </is>
      </c>
      <c r="DZ292" s="786">
        <f>HYPERLINK("https://my.pitchbook.com?c=169122-16", "View company online")</f>
      </c>
    </row>
    <row r="293">
      <c r="A293" s="9" t="inlineStr">
        <is>
          <t>158507-38</t>
        </is>
      </c>
      <c r="B293" s="10" t="inlineStr">
        <is>
          <t>Min Doktor</t>
        </is>
      </c>
      <c r="C293" s="11" t="inlineStr">
        <is>
          <t>E-Vård Sverige</t>
        </is>
      </c>
      <c r="D293" s="12" t="inlineStr">
        <is>
          <t/>
        </is>
      </c>
      <c r="E293" s="13" t="inlineStr">
        <is>
          <t>158507-38</t>
        </is>
      </c>
      <c r="F293" s="14" t="inlineStr">
        <is>
          <t>Provider of a telemedicine platform designed to offer digitalized healthcare services. The company's telemedicine platform identifies minor ailments and offers suitable digital care, enabling patients to communicate with their doctors.</t>
        </is>
      </c>
      <c r="G293" s="15" t="inlineStr">
        <is>
          <t>Healthcare</t>
        </is>
      </c>
      <c r="H293" s="16" t="inlineStr">
        <is>
          <t>Healthcare Services</t>
        </is>
      </c>
      <c r="I293" s="17" t="inlineStr">
        <is>
          <t>Clinics/Outpatient Services</t>
        </is>
      </c>
      <c r="J293" s="18" t="inlineStr">
        <is>
          <t>Clinics/Outpatient Services*; Other Healthcare Technology Systems</t>
        </is>
      </c>
      <c r="K293" s="19" t="inlineStr">
        <is>
          <t>HealthTech</t>
        </is>
      </c>
      <c r="L293" s="20" t="inlineStr">
        <is>
          <t>Venture Capital-Backed</t>
        </is>
      </c>
      <c r="M293" s="21" t="n">
        <v>35.23</v>
      </c>
      <c r="N293" s="22" t="inlineStr">
        <is>
          <t>Generating Revenue/Not Profitable</t>
        </is>
      </c>
      <c r="O293" s="23" t="inlineStr">
        <is>
          <t>Privately Held (backing)</t>
        </is>
      </c>
      <c r="P293" s="24" t="inlineStr">
        <is>
          <t>Venture Capital</t>
        </is>
      </c>
      <c r="Q293" s="25" t="inlineStr">
        <is>
          <t>www.mindoktor.se</t>
        </is>
      </c>
      <c r="R293" s="26" t="n">
        <v>37.0</v>
      </c>
      <c r="S293" s="27" t="inlineStr">
        <is>
          <t/>
        </is>
      </c>
      <c r="T293" s="28" t="inlineStr">
        <is>
          <t/>
        </is>
      </c>
      <c r="U293" s="29" t="n">
        <v>2013.0</v>
      </c>
      <c r="V293" s="30" t="inlineStr">
        <is>
          <t/>
        </is>
      </c>
      <c r="W293" s="31" t="inlineStr">
        <is>
          <t/>
        </is>
      </c>
      <c r="X293" s="32" t="inlineStr">
        <is>
          <t/>
        </is>
      </c>
      <c r="Y293" s="33" t="n">
        <v>0.69823</v>
      </c>
      <c r="Z293" s="34" t="inlineStr">
        <is>
          <t/>
        </is>
      </c>
      <c r="AA293" s="35" t="inlineStr">
        <is>
          <t/>
        </is>
      </c>
      <c r="AB293" s="36" t="inlineStr">
        <is>
          <t/>
        </is>
      </c>
      <c r="AC293" s="37" t="inlineStr">
        <is>
          <t/>
        </is>
      </c>
      <c r="AD293" s="38" t="inlineStr">
        <is>
          <t>FY 2015</t>
        </is>
      </c>
      <c r="AE293" s="39" t="inlineStr">
        <is>
          <t>134680-15P</t>
        </is>
      </c>
      <c r="AF293" s="40" t="inlineStr">
        <is>
          <t>Fredrik Meurling</t>
        </is>
      </c>
      <c r="AG293" s="41" t="inlineStr">
        <is>
          <t>Chief Financial Officer, Interim President &amp; Chief Executive Officer</t>
        </is>
      </c>
      <c r="AH293" s="42" t="inlineStr">
        <is>
          <t>fredrik.meurling@mindoktor.se</t>
        </is>
      </c>
      <c r="AI293" s="43" t="inlineStr">
        <is>
          <t>+46 (0)556934-0580</t>
        </is>
      </c>
      <c r="AJ293" s="44" t="inlineStr">
        <is>
          <t>Malmö, Sweden</t>
        </is>
      </c>
      <c r="AK293" s="45" t="inlineStr">
        <is>
          <t>Norra Vallgatan 64</t>
        </is>
      </c>
      <c r="AL293" s="46" t="inlineStr">
        <is>
          <t/>
        </is>
      </c>
      <c r="AM293" s="47" t="inlineStr">
        <is>
          <t>Malmö</t>
        </is>
      </c>
      <c r="AN293" s="48" t="inlineStr">
        <is>
          <t/>
        </is>
      </c>
      <c r="AO293" s="49" t="inlineStr">
        <is>
          <t>211 22</t>
        </is>
      </c>
      <c r="AP293" s="50" t="inlineStr">
        <is>
          <t>Sweden</t>
        </is>
      </c>
      <c r="AQ293" s="51" t="inlineStr">
        <is>
          <t>+46 (0)556934-0580</t>
        </is>
      </c>
      <c r="AR293" s="52" t="inlineStr">
        <is>
          <t/>
        </is>
      </c>
      <c r="AS293" s="53" t="inlineStr">
        <is>
          <t>info@mindoktor.se</t>
        </is>
      </c>
      <c r="AT293" s="54" t="inlineStr">
        <is>
          <t>Europe</t>
        </is>
      </c>
      <c r="AU293" s="55" t="inlineStr">
        <is>
          <t>Northern Europe</t>
        </is>
      </c>
      <c r="AV293" s="56" t="inlineStr">
        <is>
          <t>The company raised SEK 218 million of Series B venture funding in a deal led by EQT Ventures on May 17, 2017. Inbox Capital, Christian W. Jansson, Filip Engelbert and Jonas Nordlander also participated in the round. The funds will be used to enter new markets.</t>
        </is>
      </c>
      <c r="AW293" s="57" t="inlineStr">
        <is>
          <t>Christian Jansson, EQT Ventures, Filip Engelbert, Inbox Capital, Jonas Nordlander</t>
        </is>
      </c>
      <c r="AX293" s="58" t="n">
        <v>5.0</v>
      </c>
      <c r="AY293" s="59" t="inlineStr">
        <is>
          <t/>
        </is>
      </c>
      <c r="AZ293" s="60" t="inlineStr">
        <is>
          <t/>
        </is>
      </c>
      <c r="BA293" s="61" t="inlineStr">
        <is>
          <t/>
        </is>
      </c>
      <c r="BB293" s="62" t="inlineStr">
        <is>
          <t>EQT Ventures (www.eqtventures.com)</t>
        </is>
      </c>
      <c r="BC293" s="63" t="inlineStr">
        <is>
          <t/>
        </is>
      </c>
      <c r="BD293" s="64" t="inlineStr">
        <is>
          <t/>
        </is>
      </c>
      <c r="BE293" s="65" t="inlineStr">
        <is>
          <t/>
        </is>
      </c>
      <c r="BF293" s="66" t="inlineStr">
        <is>
          <t/>
        </is>
      </c>
      <c r="BG293" s="67" t="n">
        <v>42005.0</v>
      </c>
      <c r="BH293" s="68" t="n">
        <v>2.23</v>
      </c>
      <c r="BI293" s="69" t="inlineStr">
        <is>
          <t>Actual</t>
        </is>
      </c>
      <c r="BJ293" s="70" t="inlineStr">
        <is>
          <t/>
        </is>
      </c>
      <c r="BK293" s="71" t="inlineStr">
        <is>
          <t/>
        </is>
      </c>
      <c r="BL293" s="72" t="inlineStr">
        <is>
          <t>Seed Round</t>
        </is>
      </c>
      <c r="BM293" s="73" t="inlineStr">
        <is>
          <t>Seed</t>
        </is>
      </c>
      <c r="BN293" s="74" t="inlineStr">
        <is>
          <t/>
        </is>
      </c>
      <c r="BO293" s="75" t="inlineStr">
        <is>
          <t>Venture Capital</t>
        </is>
      </c>
      <c r="BP293" s="76" t="inlineStr">
        <is>
          <t/>
        </is>
      </c>
      <c r="BQ293" s="77" t="inlineStr">
        <is>
          <t/>
        </is>
      </c>
      <c r="BR293" s="78" t="inlineStr">
        <is>
          <t/>
        </is>
      </c>
      <c r="BS293" s="79" t="inlineStr">
        <is>
          <t>Completed</t>
        </is>
      </c>
      <c r="BT293" s="80" t="n">
        <v>42872.0</v>
      </c>
      <c r="BU293" s="81" t="n">
        <v>22.47</v>
      </c>
      <c r="BV293" s="82" t="inlineStr">
        <is>
          <t>Actual</t>
        </is>
      </c>
      <c r="BW293" s="83" t="inlineStr">
        <is>
          <t/>
        </is>
      </c>
      <c r="BX293" s="84" t="inlineStr">
        <is>
          <t/>
        </is>
      </c>
      <c r="BY293" s="85" t="inlineStr">
        <is>
          <t>Early Stage VC</t>
        </is>
      </c>
      <c r="BZ293" s="86" t="inlineStr">
        <is>
          <t/>
        </is>
      </c>
      <c r="CA293" s="87" t="inlineStr">
        <is>
          <t/>
        </is>
      </c>
      <c r="CB293" s="88" t="inlineStr">
        <is>
          <t>Venture Capital</t>
        </is>
      </c>
      <c r="CC293" s="89" t="inlineStr">
        <is>
          <t/>
        </is>
      </c>
      <c r="CD293" s="90" t="inlineStr">
        <is>
          <t/>
        </is>
      </c>
      <c r="CE293" s="91" t="inlineStr">
        <is>
          <t/>
        </is>
      </c>
      <c r="CF293" s="92" t="inlineStr">
        <is>
          <t>Completed</t>
        </is>
      </c>
      <c r="CG293" s="93" t="inlineStr">
        <is>
          <t>0,04%</t>
        </is>
      </c>
      <c r="CH293" s="94" t="inlineStr">
        <is>
          <t>68</t>
        </is>
      </c>
      <c r="CI293" s="95" t="inlineStr">
        <is>
          <t>-0,03%</t>
        </is>
      </c>
      <c r="CJ293" s="96" t="inlineStr">
        <is>
          <t>-43,75%</t>
        </is>
      </c>
      <c r="CK293" s="97" t="inlineStr">
        <is>
          <t>-1,11%</t>
        </is>
      </c>
      <c r="CL293" s="98" t="inlineStr">
        <is>
          <t>8</t>
        </is>
      </c>
      <c r="CM293" s="99" t="inlineStr">
        <is>
          <t>1,18%</t>
        </is>
      </c>
      <c r="CN293" s="100" t="inlineStr">
        <is>
          <t>97</t>
        </is>
      </c>
      <c r="CO293" s="101" t="inlineStr">
        <is>
          <t>-2,22%</t>
        </is>
      </c>
      <c r="CP293" s="102" t="inlineStr">
        <is>
          <t>15</t>
        </is>
      </c>
      <c r="CQ293" s="103" t="inlineStr">
        <is>
          <t>0,00%</t>
        </is>
      </c>
      <c r="CR293" s="104" t="inlineStr">
        <is>
          <t>13</t>
        </is>
      </c>
      <c r="CS293" s="105" t="inlineStr">
        <is>
          <t>0,96%</t>
        </is>
      </c>
      <c r="CT293" s="106" t="inlineStr">
        <is>
          <t>94</t>
        </is>
      </c>
      <c r="CU293" s="107" t="inlineStr">
        <is>
          <t>1,40%</t>
        </is>
      </c>
      <c r="CV293" s="108" t="inlineStr">
        <is>
          <t>98</t>
        </is>
      </c>
      <c r="CW293" s="109" t="inlineStr">
        <is>
          <t>7,49x</t>
        </is>
      </c>
      <c r="CX293" s="110" t="inlineStr">
        <is>
          <t>84</t>
        </is>
      </c>
      <c r="CY293" s="111" t="inlineStr">
        <is>
          <t>0,09x</t>
        </is>
      </c>
      <c r="CZ293" s="112" t="inlineStr">
        <is>
          <t>1,27%</t>
        </is>
      </c>
      <c r="DA293" s="113" t="inlineStr">
        <is>
          <t>7,93x</t>
        </is>
      </c>
      <c r="DB293" s="114" t="inlineStr">
        <is>
          <t>85</t>
        </is>
      </c>
      <c r="DC293" s="115" t="inlineStr">
        <is>
          <t>7,05x</t>
        </is>
      </c>
      <c r="DD293" s="116" t="inlineStr">
        <is>
          <t>80</t>
        </is>
      </c>
      <c r="DE293" s="117" t="inlineStr">
        <is>
          <t>13,69x</t>
        </is>
      </c>
      <c r="DF293" s="118" t="inlineStr">
        <is>
          <t>86</t>
        </is>
      </c>
      <c r="DG293" s="119" t="inlineStr">
        <is>
          <t>2,17x</t>
        </is>
      </c>
      <c r="DH293" s="120" t="inlineStr">
        <is>
          <t>66</t>
        </is>
      </c>
      <c r="DI293" s="121" t="inlineStr">
        <is>
          <t>12,60x</t>
        </is>
      </c>
      <c r="DJ293" s="122" t="inlineStr">
        <is>
          <t>84</t>
        </is>
      </c>
      <c r="DK293" s="123" t="inlineStr">
        <is>
          <t>1,49x</t>
        </is>
      </c>
      <c r="DL293" s="124" t="inlineStr">
        <is>
          <t>58</t>
        </is>
      </c>
      <c r="DM293" s="125" t="inlineStr">
        <is>
          <t>8.444</t>
        </is>
      </c>
      <c r="DN293" s="126" t="inlineStr">
        <is>
          <t>-83</t>
        </is>
      </c>
      <c r="DO293" s="127" t="inlineStr">
        <is>
          <t>-0,97%</t>
        </is>
      </c>
      <c r="DP293" s="128" t="inlineStr">
        <is>
          <t>10.054</t>
        </is>
      </c>
      <c r="DQ293" s="129" t="inlineStr">
        <is>
          <t>47</t>
        </is>
      </c>
      <c r="DR293" s="130" t="inlineStr">
        <is>
          <t>0,47%</t>
        </is>
      </c>
      <c r="DS293" s="131" t="inlineStr">
        <is>
          <t>79</t>
        </is>
      </c>
      <c r="DT293" s="132" t="inlineStr">
        <is>
          <t>-1</t>
        </is>
      </c>
      <c r="DU293" s="133" t="inlineStr">
        <is>
          <t>-1,25%</t>
        </is>
      </c>
      <c r="DV293" s="134" t="inlineStr">
        <is>
          <t>503</t>
        </is>
      </c>
      <c r="DW293" s="135" t="inlineStr">
        <is>
          <t>15</t>
        </is>
      </c>
      <c r="DX293" s="136" t="inlineStr">
        <is>
          <t>3,07%</t>
        </is>
      </c>
      <c r="DY293" s="137" t="inlineStr">
        <is>
          <t>PitchBook Research</t>
        </is>
      </c>
      <c r="DZ293" s="785">
        <f>HYPERLINK("https://my.pitchbook.com?c=158507-38", "View company online")</f>
      </c>
    </row>
    <row r="294">
      <c r="A294" s="139" t="inlineStr">
        <is>
          <t>58999-15</t>
        </is>
      </c>
      <c r="B294" s="140" t="inlineStr">
        <is>
          <t>Mirakl</t>
        </is>
      </c>
      <c r="C294" s="141" t="inlineStr">
        <is>
          <t/>
        </is>
      </c>
      <c r="D294" s="142" t="inlineStr">
        <is>
          <t/>
        </is>
      </c>
      <c r="E294" s="143" t="inlineStr">
        <is>
          <t>58999-15</t>
        </is>
      </c>
      <c r="F294" s="144" t="inlineStr">
        <is>
          <t>Provider of SAAS marketplace platform designed to plug directly into e-commerce tech ecosystem. The company's SAAS marketplace platform focuses on identifying and onboarding new sellers and integrate with e-commerce website properties, enabling brands and retailers grow without overhead.</t>
        </is>
      </c>
      <c r="G294" s="145" t="inlineStr">
        <is>
          <t>Information Technology</t>
        </is>
      </c>
      <c r="H294" s="146" t="inlineStr">
        <is>
          <t>Software</t>
        </is>
      </c>
      <c r="I294" s="147" t="inlineStr">
        <is>
          <t>Business/Productivity Software</t>
        </is>
      </c>
      <c r="J294" s="148" t="inlineStr">
        <is>
          <t>Business/Productivity Software*; Media and Information Services (B2B)</t>
        </is>
      </c>
      <c r="K294" s="149" t="inlineStr">
        <is>
          <t>E-Commerce, SaaS</t>
        </is>
      </c>
      <c r="L294" s="150" t="inlineStr">
        <is>
          <t>Venture Capital-Backed</t>
        </is>
      </c>
      <c r="M294" s="151" t="n">
        <v>20.66</v>
      </c>
      <c r="N294" s="152" t="inlineStr">
        <is>
          <t>Generating Revenue</t>
        </is>
      </c>
      <c r="O294" s="153" t="inlineStr">
        <is>
          <t>Privately Held (backing)</t>
        </is>
      </c>
      <c r="P294" s="154" t="inlineStr">
        <is>
          <t>Venture Capital</t>
        </is>
      </c>
      <c r="Q294" s="155" t="inlineStr">
        <is>
          <t>www.mirakl.com</t>
        </is>
      </c>
      <c r="R294" s="156" t="n">
        <v>50.0</v>
      </c>
      <c r="S294" s="157" t="inlineStr">
        <is>
          <t/>
        </is>
      </c>
      <c r="T294" s="158" t="inlineStr">
        <is>
          <t/>
        </is>
      </c>
      <c r="U294" s="159" t="n">
        <v>2012.0</v>
      </c>
      <c r="V294" s="160" t="inlineStr">
        <is>
          <t/>
        </is>
      </c>
      <c r="W294" s="161" t="inlineStr">
        <is>
          <t/>
        </is>
      </c>
      <c r="X294" s="162" t="inlineStr">
        <is>
          <t/>
        </is>
      </c>
      <c r="Y294" s="163" t="n">
        <v>2.70348</v>
      </c>
      <c r="Z294" s="164" t="inlineStr">
        <is>
          <t/>
        </is>
      </c>
      <c r="AA294" s="165" t="inlineStr">
        <is>
          <t/>
        </is>
      </c>
      <c r="AB294" s="166" t="inlineStr">
        <is>
          <t/>
        </is>
      </c>
      <c r="AC294" s="167" t="inlineStr">
        <is>
          <t/>
        </is>
      </c>
      <c r="AD294" s="168" t="inlineStr">
        <is>
          <t>FY 2016</t>
        </is>
      </c>
      <c r="AE294" s="169" t="inlineStr">
        <is>
          <t>56150-47P</t>
        </is>
      </c>
      <c r="AF294" s="170" t="inlineStr">
        <is>
          <t>Philippe Corrot</t>
        </is>
      </c>
      <c r="AG294" s="171" t="inlineStr">
        <is>
          <t>Co-Founder, Executive Vice President &amp; Chief Executive Officer</t>
        </is>
      </c>
      <c r="AH294" s="172" t="inlineStr">
        <is>
          <t>philippe@mirakl.com</t>
        </is>
      </c>
      <c r="AI294" s="173" t="inlineStr">
        <is>
          <t>+33 (0)1 72 31 62 00</t>
        </is>
      </c>
      <c r="AJ294" s="174" t="inlineStr">
        <is>
          <t>Paris, France</t>
        </is>
      </c>
      <c r="AK294" s="175" t="inlineStr">
        <is>
          <t>45 rue de la Bienfaisance</t>
        </is>
      </c>
      <c r="AL294" s="176" t="inlineStr">
        <is>
          <t/>
        </is>
      </c>
      <c r="AM294" s="177" t="inlineStr">
        <is>
          <t>Paris</t>
        </is>
      </c>
      <c r="AN294" s="178" t="inlineStr">
        <is>
          <t/>
        </is>
      </c>
      <c r="AO294" s="179" t="inlineStr">
        <is>
          <t>75008</t>
        </is>
      </c>
      <c r="AP294" s="180" t="inlineStr">
        <is>
          <t>France</t>
        </is>
      </c>
      <c r="AQ294" s="181" t="inlineStr">
        <is>
          <t>+33 (0)1 72 31 62 00</t>
        </is>
      </c>
      <c r="AR294" s="182" t="inlineStr">
        <is>
          <t/>
        </is>
      </c>
      <c r="AS294" s="183" t="inlineStr">
        <is>
          <t>info@mirakl.com</t>
        </is>
      </c>
      <c r="AT294" s="184" t="inlineStr">
        <is>
          <t>Europe</t>
        </is>
      </c>
      <c r="AU294" s="185" t="inlineStr">
        <is>
          <t>Western Europe</t>
        </is>
      </c>
      <c r="AV294" s="186" t="inlineStr">
        <is>
          <t>The company raised $20 million of Series B funding in a deal led by 83North on July 22, 2015. Felix Capital, Elaia Partners, Laurent Dassault, Frederic Court and Dave Strohm also participated. The cash will be used to take its platform to more B2C and B2B retailers globally.</t>
        </is>
      </c>
      <c r="AW294" s="187" t="inlineStr">
        <is>
          <t>83North, Dave Strohm, Elaia Partners, Felix Capital, IBM SmartCamp, Kamal Kirpalani, Laurent Dassault, Xavier Niel</t>
        </is>
      </c>
      <c r="AX294" s="188" t="n">
        <v>8.0</v>
      </c>
      <c r="AY294" s="189" t="inlineStr">
        <is>
          <t/>
        </is>
      </c>
      <c r="AZ294" s="190" t="inlineStr">
        <is>
          <t/>
        </is>
      </c>
      <c r="BA294" s="191" t="inlineStr">
        <is>
          <t/>
        </is>
      </c>
      <c r="BB294" s="192" t="inlineStr">
        <is>
          <t>83North (www.83north.com), Elaia Partners (www.elaia.com), Felix Capital (www.felixcap.com), IBM SmartCamp (www.smartcamp2016.com)</t>
        </is>
      </c>
      <c r="BC294" s="193" t="inlineStr">
        <is>
          <t/>
        </is>
      </c>
      <c r="BD294" s="194" t="inlineStr">
        <is>
          <t/>
        </is>
      </c>
      <c r="BE294" s="195" t="inlineStr">
        <is>
          <t/>
        </is>
      </c>
      <c r="BF294" s="196" t="inlineStr">
        <is>
          <t>Jones Day (Legal Advisor), Alpha Capital Partners (Lead Manager or Arranger)</t>
        </is>
      </c>
      <c r="BG294" s="197" t="n">
        <v>41229.0</v>
      </c>
      <c r="BH294" s="198" t="n">
        <v>2.5</v>
      </c>
      <c r="BI294" s="199" t="inlineStr">
        <is>
          <t>Actual</t>
        </is>
      </c>
      <c r="BJ294" s="200" t="inlineStr">
        <is>
          <t/>
        </is>
      </c>
      <c r="BK294" s="201" t="inlineStr">
        <is>
          <t/>
        </is>
      </c>
      <c r="BL294" s="202" t="inlineStr">
        <is>
          <t>Early Stage VC</t>
        </is>
      </c>
      <c r="BM294" s="203" t="inlineStr">
        <is>
          <t>Series A</t>
        </is>
      </c>
      <c r="BN294" s="204" t="inlineStr">
        <is>
          <t/>
        </is>
      </c>
      <c r="BO294" s="205" t="inlineStr">
        <is>
          <t>Venture Capital</t>
        </is>
      </c>
      <c r="BP294" s="206" t="inlineStr">
        <is>
          <t/>
        </is>
      </c>
      <c r="BQ294" s="207" t="inlineStr">
        <is>
          <t/>
        </is>
      </c>
      <c r="BR294" s="208" t="inlineStr">
        <is>
          <t/>
        </is>
      </c>
      <c r="BS294" s="209" t="inlineStr">
        <is>
          <t>Completed</t>
        </is>
      </c>
      <c r="BT294" s="210" t="n">
        <v>42187.0</v>
      </c>
      <c r="BU294" s="211" t="n">
        <v>18.16</v>
      </c>
      <c r="BV294" s="212" t="inlineStr">
        <is>
          <t>Actual</t>
        </is>
      </c>
      <c r="BW294" s="213" t="inlineStr">
        <is>
          <t/>
        </is>
      </c>
      <c r="BX294" s="214" t="inlineStr">
        <is>
          <t/>
        </is>
      </c>
      <c r="BY294" s="215" t="inlineStr">
        <is>
          <t>Early Stage VC</t>
        </is>
      </c>
      <c r="BZ294" s="216" t="inlineStr">
        <is>
          <t>Series B</t>
        </is>
      </c>
      <c r="CA294" s="217" t="inlineStr">
        <is>
          <t/>
        </is>
      </c>
      <c r="CB294" s="218" t="inlineStr">
        <is>
          <t>Venture Capital</t>
        </is>
      </c>
      <c r="CC294" s="219" t="inlineStr">
        <is>
          <t/>
        </is>
      </c>
      <c r="CD294" s="220" t="inlineStr">
        <is>
          <t/>
        </is>
      </c>
      <c r="CE294" s="221" t="inlineStr">
        <is>
          <t/>
        </is>
      </c>
      <c r="CF294" s="222" t="inlineStr">
        <is>
          <t>Completed</t>
        </is>
      </c>
      <c r="CG294" s="223" t="inlineStr">
        <is>
          <t>-2,02%</t>
        </is>
      </c>
      <c r="CH294" s="224" t="inlineStr">
        <is>
          <t>3</t>
        </is>
      </c>
      <c r="CI294" s="225" t="inlineStr">
        <is>
          <t>-0,12%</t>
        </is>
      </c>
      <c r="CJ294" s="226" t="inlineStr">
        <is>
          <t>-6,49%</t>
        </is>
      </c>
      <c r="CK294" s="227" t="inlineStr">
        <is>
          <t>-4,23%</t>
        </is>
      </c>
      <c r="CL294" s="228" t="inlineStr">
        <is>
          <t>2</t>
        </is>
      </c>
      <c r="CM294" s="229" t="inlineStr">
        <is>
          <t>0,20%</t>
        </is>
      </c>
      <c r="CN294" s="230" t="inlineStr">
        <is>
          <t>73</t>
        </is>
      </c>
      <c r="CO294" s="231" t="inlineStr">
        <is>
          <t>-9,90%</t>
        </is>
      </c>
      <c r="CP294" s="232" t="inlineStr">
        <is>
          <t>2</t>
        </is>
      </c>
      <c r="CQ294" s="233" t="inlineStr">
        <is>
          <t>1,44%</t>
        </is>
      </c>
      <c r="CR294" s="234" t="inlineStr">
        <is>
          <t>90</t>
        </is>
      </c>
      <c r="CS294" s="235" t="inlineStr">
        <is>
          <t>0,16%</t>
        </is>
      </c>
      <c r="CT294" s="236" t="inlineStr">
        <is>
          <t>66</t>
        </is>
      </c>
      <c r="CU294" s="237" t="inlineStr">
        <is>
          <t>0,23%</t>
        </is>
      </c>
      <c r="CV294" s="238" t="inlineStr">
        <is>
          <t>80</t>
        </is>
      </c>
      <c r="CW294" s="239" t="inlineStr">
        <is>
          <t>8,28x</t>
        </is>
      </c>
      <c r="CX294" s="240" t="inlineStr">
        <is>
          <t>85</t>
        </is>
      </c>
      <c r="CY294" s="241" t="inlineStr">
        <is>
          <t>0,18x</t>
        </is>
      </c>
      <c r="CZ294" s="242" t="inlineStr">
        <is>
          <t>2,21%</t>
        </is>
      </c>
      <c r="DA294" s="243" t="inlineStr">
        <is>
          <t>14,16x</t>
        </is>
      </c>
      <c r="DB294" s="244" t="inlineStr">
        <is>
          <t>90</t>
        </is>
      </c>
      <c r="DC294" s="245" t="inlineStr">
        <is>
          <t>2,41x</t>
        </is>
      </c>
      <c r="DD294" s="246" t="inlineStr">
        <is>
          <t>65</t>
        </is>
      </c>
      <c r="DE294" s="247" t="inlineStr">
        <is>
          <t>8,57x</t>
        </is>
      </c>
      <c r="DF294" s="248" t="inlineStr">
        <is>
          <t>82</t>
        </is>
      </c>
      <c r="DG294" s="249" t="inlineStr">
        <is>
          <t>19,75x</t>
        </is>
      </c>
      <c r="DH294" s="250" t="inlineStr">
        <is>
          <t>92</t>
        </is>
      </c>
      <c r="DI294" s="251" t="inlineStr">
        <is>
          <t>0,20x</t>
        </is>
      </c>
      <c r="DJ294" s="252" t="inlineStr">
        <is>
          <t>23</t>
        </is>
      </c>
      <c r="DK294" s="253" t="inlineStr">
        <is>
          <t>4,61x</t>
        </is>
      </c>
      <c r="DL294" s="254" t="inlineStr">
        <is>
          <t>77</t>
        </is>
      </c>
      <c r="DM294" s="255" t="inlineStr">
        <is>
          <t>5.426</t>
        </is>
      </c>
      <c r="DN294" s="256" t="inlineStr">
        <is>
          <t>-459</t>
        </is>
      </c>
      <c r="DO294" s="257" t="inlineStr">
        <is>
          <t>-7,80%</t>
        </is>
      </c>
      <c r="DP294" s="258" t="inlineStr">
        <is>
          <t>160</t>
        </is>
      </c>
      <c r="DQ294" s="259" t="inlineStr">
        <is>
          <t>0</t>
        </is>
      </c>
      <c r="DR294" s="260" t="inlineStr">
        <is>
          <t>0,00%</t>
        </is>
      </c>
      <c r="DS294" s="261" t="inlineStr">
        <is>
          <t>709</t>
        </is>
      </c>
      <c r="DT294" s="262" t="inlineStr">
        <is>
          <t>-29</t>
        </is>
      </c>
      <c r="DU294" s="263" t="inlineStr">
        <is>
          <t>-3,93%</t>
        </is>
      </c>
      <c r="DV294" s="264" t="inlineStr">
        <is>
          <t>1.579</t>
        </is>
      </c>
      <c r="DW294" s="265" t="inlineStr">
        <is>
          <t>3</t>
        </is>
      </c>
      <c r="DX294" s="266" t="inlineStr">
        <is>
          <t>0,19%</t>
        </is>
      </c>
      <c r="DY294" s="267" t="inlineStr">
        <is>
          <t>PitchBook Research</t>
        </is>
      </c>
      <c r="DZ294" s="786">
        <f>HYPERLINK("https://my.pitchbook.com?c=58999-15", "View company online")</f>
      </c>
    </row>
    <row r="295">
      <c r="A295" s="9" t="inlineStr">
        <is>
          <t>101903-86</t>
        </is>
      </c>
      <c r="B295" s="10" t="inlineStr">
        <is>
          <t>Misterb&amp;b</t>
        </is>
      </c>
      <c r="C295" s="11" t="inlineStr">
        <is>
          <t/>
        </is>
      </c>
      <c r="D295" s="12" t="inlineStr">
        <is>
          <t/>
        </is>
      </c>
      <c r="E295" s="13" t="inlineStr">
        <is>
          <t>101903-86</t>
        </is>
      </c>
      <c r="F295" s="14" t="inlineStr">
        <is>
          <t>Provider of a property rental marketplace designed to connect travellers and hosts in the LGBT community. The company's apartment renting marketplace offers a searchable database of short-term rentals of homes, rooms and apartments, enabling homosexual individuals to earn money from their spare space and affordably travel the world in a comfortable manner.</t>
        </is>
      </c>
      <c r="G295" s="15" t="inlineStr">
        <is>
          <t>Consumer Products and Services (B2C)</t>
        </is>
      </c>
      <c r="H295" s="16" t="inlineStr">
        <is>
          <t>Media</t>
        </is>
      </c>
      <c r="I295" s="17" t="inlineStr">
        <is>
          <t>Information Services (B2C)</t>
        </is>
      </c>
      <c r="J295" s="18" t="inlineStr">
        <is>
          <t>Information Services (B2C)*; Real Estate Services (B2C); Application Software</t>
        </is>
      </c>
      <c r="K295" s="19" t="inlineStr">
        <is>
          <t>Mobile</t>
        </is>
      </c>
      <c r="L295" s="20" t="inlineStr">
        <is>
          <t>Venture Capital-Backed</t>
        </is>
      </c>
      <c r="M295" s="21" t="n">
        <v>9.45</v>
      </c>
      <c r="N295" s="22" t="inlineStr">
        <is>
          <t>Generating Revenue</t>
        </is>
      </c>
      <c r="O295" s="23" t="inlineStr">
        <is>
          <t>Privately Held (backing)</t>
        </is>
      </c>
      <c r="P295" s="24" t="inlineStr">
        <is>
          <t>Venture Capital</t>
        </is>
      </c>
      <c r="Q295" s="25" t="inlineStr">
        <is>
          <t>www.misterbandb.com</t>
        </is>
      </c>
      <c r="R295" s="26" t="n">
        <v>8.0</v>
      </c>
      <c r="S295" s="27" t="inlineStr">
        <is>
          <t/>
        </is>
      </c>
      <c r="T295" s="28" t="inlineStr">
        <is>
          <t/>
        </is>
      </c>
      <c r="U295" s="29" t="n">
        <v>2013.0</v>
      </c>
      <c r="V295" s="30" t="inlineStr">
        <is>
          <t/>
        </is>
      </c>
      <c r="W295" s="31" t="inlineStr">
        <is>
          <t/>
        </is>
      </c>
      <c r="X295" s="32" t="inlineStr">
        <is>
          <t/>
        </is>
      </c>
      <c r="Y295" s="33" t="n">
        <v>3.67492</v>
      </c>
      <c r="Z295" s="34" t="inlineStr">
        <is>
          <t/>
        </is>
      </c>
      <c r="AA295" s="35" t="inlineStr">
        <is>
          <t/>
        </is>
      </c>
      <c r="AB295" s="36" t="inlineStr">
        <is>
          <t/>
        </is>
      </c>
      <c r="AC295" s="37" t="inlineStr">
        <is>
          <t/>
        </is>
      </c>
      <c r="AD295" s="38" t="inlineStr">
        <is>
          <t>FY 2015</t>
        </is>
      </c>
      <c r="AE295" s="39" t="inlineStr">
        <is>
          <t>91674-55P</t>
        </is>
      </c>
      <c r="AF295" s="40" t="inlineStr">
        <is>
          <t>Matthieu Jost</t>
        </is>
      </c>
      <c r="AG295" s="41" t="inlineStr">
        <is>
          <t>Chief Executive Officer &amp; Co-Founder</t>
        </is>
      </c>
      <c r="AH295" s="42" t="inlineStr">
        <is>
          <t>matthieu@misterbnb.com</t>
        </is>
      </c>
      <c r="AI295" s="43" t="inlineStr">
        <is>
          <t/>
        </is>
      </c>
      <c r="AJ295" s="44" t="inlineStr">
        <is>
          <t>Paris, France</t>
        </is>
      </c>
      <c r="AK295" s="45" t="inlineStr">
        <is>
          <t>15, rue Navarin</t>
        </is>
      </c>
      <c r="AL295" s="46" t="inlineStr">
        <is>
          <t/>
        </is>
      </c>
      <c r="AM295" s="47" t="inlineStr">
        <is>
          <t>Paris</t>
        </is>
      </c>
      <c r="AN295" s="48" t="inlineStr">
        <is>
          <t/>
        </is>
      </c>
      <c r="AO295" s="49" t="inlineStr">
        <is>
          <t>75009</t>
        </is>
      </c>
      <c r="AP295" s="50" t="inlineStr">
        <is>
          <t>France</t>
        </is>
      </c>
      <c r="AQ295" s="51" t="inlineStr">
        <is>
          <t/>
        </is>
      </c>
      <c r="AR295" s="52" t="inlineStr">
        <is>
          <t/>
        </is>
      </c>
      <c r="AS295" s="53" t="inlineStr">
        <is>
          <t>contact@misterbnb.com</t>
        </is>
      </c>
      <c r="AT295" s="54" t="inlineStr">
        <is>
          <t>Europe</t>
        </is>
      </c>
      <c r="AU295" s="55" t="inlineStr">
        <is>
          <t>Western Europe</t>
        </is>
      </c>
      <c r="AV295" s="56" t="inlineStr">
        <is>
          <t>The company raised $8.5 million of Series A venture funding in a deal led by Project A Ventures and Ventech on June 7, 2017. The funds will be used to expand global operations.</t>
        </is>
      </c>
      <c r="AW295" s="57" t="inlineStr">
        <is>
          <t>500 Startups, AngelVest Group, China Growth Capital, Chris Sinton, Jacky Leclerc, Jim Brandt, Joel Simkhai, Laurent Benhamou, Lorenzo Thione, MicroVentures, Pôle Capital, Project A Ventures, Ventech</t>
        </is>
      </c>
      <c r="AX295" s="58" t="n">
        <v>13.0</v>
      </c>
      <c r="AY295" s="59" t="inlineStr">
        <is>
          <t/>
        </is>
      </c>
      <c r="AZ295" s="60" t="inlineStr">
        <is>
          <t/>
        </is>
      </c>
      <c r="BA295" s="61" t="inlineStr">
        <is>
          <t/>
        </is>
      </c>
      <c r="BB295" s="62" t="inlineStr">
        <is>
          <t>500 Startups (www.500.co), AngelVest Group (www.angelvestgroup.com), China Growth Capital (www.chinagrowthcapital.com), MicroVentures (www.microventures.com), Pôle Capital (www.polecapital.com), Project A Ventures (www.project-a.com/en), Ventech (www.ventechvc.com)</t>
        </is>
      </c>
      <c r="BC295" s="63" t="inlineStr">
        <is>
          <t/>
        </is>
      </c>
      <c r="BD295" s="64" t="inlineStr">
        <is>
          <t/>
        </is>
      </c>
      <c r="BE295" s="65" t="inlineStr">
        <is>
          <t>U-Start (Advisor), Paradigm Counsel (Legal Advisor)</t>
        </is>
      </c>
      <c r="BF295" s="66" t="inlineStr">
        <is>
          <t>Paradigm Counsel (Legal Advisor)</t>
        </is>
      </c>
      <c r="BG295" s="67" t="n">
        <v>41609.0</v>
      </c>
      <c r="BH295" s="68" t="n">
        <v>0.02</v>
      </c>
      <c r="BI295" s="69" t="inlineStr">
        <is>
          <t>Actual</t>
        </is>
      </c>
      <c r="BJ295" s="70" t="inlineStr">
        <is>
          <t/>
        </is>
      </c>
      <c r="BK295" s="71" t="inlineStr">
        <is>
          <t/>
        </is>
      </c>
      <c r="BL295" s="72" t="inlineStr">
        <is>
          <t>Seed Round</t>
        </is>
      </c>
      <c r="BM295" s="73" t="inlineStr">
        <is>
          <t>Seed</t>
        </is>
      </c>
      <c r="BN295" s="74" t="inlineStr">
        <is>
          <t/>
        </is>
      </c>
      <c r="BO295" s="75" t="inlineStr">
        <is>
          <t>Venture Capital</t>
        </is>
      </c>
      <c r="BP295" s="76" t="inlineStr">
        <is>
          <t/>
        </is>
      </c>
      <c r="BQ295" s="77" t="inlineStr">
        <is>
          <t/>
        </is>
      </c>
      <c r="BR295" s="78" t="inlineStr">
        <is>
          <t/>
        </is>
      </c>
      <c r="BS295" s="79" t="inlineStr">
        <is>
          <t>Completed</t>
        </is>
      </c>
      <c r="BT295" s="80" t="n">
        <v>42893.0</v>
      </c>
      <c r="BU295" s="81" t="n">
        <v>7.58</v>
      </c>
      <c r="BV295" s="82" t="inlineStr">
        <is>
          <t>Actual</t>
        </is>
      </c>
      <c r="BW295" s="83" t="inlineStr">
        <is>
          <t/>
        </is>
      </c>
      <c r="BX295" s="84" t="inlineStr">
        <is>
          <t/>
        </is>
      </c>
      <c r="BY295" s="85" t="inlineStr">
        <is>
          <t>Early Stage VC</t>
        </is>
      </c>
      <c r="BZ295" s="86" t="inlineStr">
        <is>
          <t>Series A</t>
        </is>
      </c>
      <c r="CA295" s="87" t="inlineStr">
        <is>
          <t/>
        </is>
      </c>
      <c r="CB295" s="88" t="inlineStr">
        <is>
          <t>Venture Capital</t>
        </is>
      </c>
      <c r="CC295" s="89" t="inlineStr">
        <is>
          <t/>
        </is>
      </c>
      <c r="CD295" s="90" t="inlineStr">
        <is>
          <t/>
        </is>
      </c>
      <c r="CE295" s="91" t="inlineStr">
        <is>
          <t/>
        </is>
      </c>
      <c r="CF295" s="92" t="inlineStr">
        <is>
          <t>Completed</t>
        </is>
      </c>
      <c r="CG295" s="93" t="inlineStr">
        <is>
          <t>0,05%</t>
        </is>
      </c>
      <c r="CH295" s="94" t="inlineStr">
        <is>
          <t>69</t>
        </is>
      </c>
      <c r="CI295" s="95" t="inlineStr">
        <is>
          <t>0,16%</t>
        </is>
      </c>
      <c r="CJ295" s="96" t="inlineStr">
        <is>
          <t>138,00%</t>
        </is>
      </c>
      <c r="CK295" s="97" t="inlineStr">
        <is>
          <t>-2,23%</t>
        </is>
      </c>
      <c r="CL295" s="98" t="inlineStr">
        <is>
          <t>5</t>
        </is>
      </c>
      <c r="CM295" s="99" t="inlineStr">
        <is>
          <t>0,86%</t>
        </is>
      </c>
      <c r="CN295" s="100" t="inlineStr">
        <is>
          <t>95</t>
        </is>
      </c>
      <c r="CO295" s="101" t="inlineStr">
        <is>
          <t>-2,23%</t>
        </is>
      </c>
      <c r="CP295" s="102" t="inlineStr">
        <is>
          <t>14</t>
        </is>
      </c>
      <c r="CQ295" s="103" t="inlineStr">
        <is>
          <t/>
        </is>
      </c>
      <c r="CR295" s="104" t="inlineStr">
        <is>
          <t/>
        </is>
      </c>
      <c r="CS295" s="105" t="inlineStr">
        <is>
          <t>1,47%</t>
        </is>
      </c>
      <c r="CT295" s="106" t="inlineStr">
        <is>
          <t>97</t>
        </is>
      </c>
      <c r="CU295" s="107" t="inlineStr">
        <is>
          <t>0,24%</t>
        </is>
      </c>
      <c r="CV295" s="108" t="inlineStr">
        <is>
          <t>81</t>
        </is>
      </c>
      <c r="CW295" s="109" t="inlineStr">
        <is>
          <t>62,05x</t>
        </is>
      </c>
      <c r="CX295" s="110" t="inlineStr">
        <is>
          <t>96</t>
        </is>
      </c>
      <c r="CY295" s="111" t="inlineStr">
        <is>
          <t>12,65x</t>
        </is>
      </c>
      <c r="CZ295" s="112" t="inlineStr">
        <is>
          <t>25,61%</t>
        </is>
      </c>
      <c r="DA295" s="113" t="inlineStr">
        <is>
          <t>126,65x</t>
        </is>
      </c>
      <c r="DB295" s="114" t="inlineStr">
        <is>
          <t>98</t>
        </is>
      </c>
      <c r="DC295" s="115" t="inlineStr">
        <is>
          <t>56,51x</t>
        </is>
      </c>
      <c r="DD295" s="116" t="inlineStr">
        <is>
          <t>95</t>
        </is>
      </c>
      <c r="DE295" s="117" t="inlineStr">
        <is>
          <t>126,65x</t>
        </is>
      </c>
      <c r="DF295" s="118" t="inlineStr">
        <is>
          <t>96</t>
        </is>
      </c>
      <c r="DG295" s="119" t="inlineStr">
        <is>
          <t/>
        </is>
      </c>
      <c r="DH295" s="120" t="inlineStr">
        <is>
          <t/>
        </is>
      </c>
      <c r="DI295" s="121" t="inlineStr">
        <is>
          <t>94,01x</t>
        </is>
      </c>
      <c r="DJ295" s="122" t="inlineStr">
        <is>
          <t>95</t>
        </is>
      </c>
      <c r="DK295" s="123" t="inlineStr">
        <is>
          <t>19,01x</t>
        </is>
      </c>
      <c r="DL295" s="124" t="inlineStr">
        <is>
          <t>91</t>
        </is>
      </c>
      <c r="DM295" s="125" t="inlineStr">
        <is>
          <t>79.189</t>
        </is>
      </c>
      <c r="DN295" s="126" t="inlineStr">
        <is>
          <t>-3.903</t>
        </is>
      </c>
      <c r="DO295" s="127" t="inlineStr">
        <is>
          <t>-4,70%</t>
        </is>
      </c>
      <c r="DP295" s="128" t="inlineStr">
        <is>
          <t>74.927</t>
        </is>
      </c>
      <c r="DQ295" s="129" t="inlineStr">
        <is>
          <t>545</t>
        </is>
      </c>
      <c r="DR295" s="130" t="inlineStr">
        <is>
          <t>0,73%</t>
        </is>
      </c>
      <c r="DS295" s="131" t="inlineStr">
        <is>
          <t/>
        </is>
      </c>
      <c r="DT295" s="132" t="inlineStr">
        <is>
          <t/>
        </is>
      </c>
      <c r="DU295" s="133" t="inlineStr">
        <is>
          <t/>
        </is>
      </c>
      <c r="DV295" s="134" t="inlineStr">
        <is>
          <t>6.517</t>
        </is>
      </c>
      <c r="DW295" s="135" t="inlineStr">
        <is>
          <t>3</t>
        </is>
      </c>
      <c r="DX295" s="136" t="inlineStr">
        <is>
          <t>0,05%</t>
        </is>
      </c>
      <c r="DY295" s="137" t="inlineStr">
        <is>
          <t>PitchBook Research</t>
        </is>
      </c>
      <c r="DZ295" s="785">
        <f>HYPERLINK("https://my.pitchbook.com?c=101903-86", "View company online")</f>
      </c>
    </row>
    <row r="296">
      <c r="A296" s="139" t="inlineStr">
        <is>
          <t>63344-62</t>
        </is>
      </c>
      <c r="B296" s="140" t="inlineStr">
        <is>
          <t>Mobacar</t>
        </is>
      </c>
      <c r="C296" s="141" t="inlineStr">
        <is>
          <t/>
        </is>
      </c>
      <c r="D296" s="142" t="inlineStr">
        <is>
          <t/>
        </is>
      </c>
      <c r="E296" s="143" t="inlineStr">
        <is>
          <t>63344-62</t>
        </is>
      </c>
      <c r="F296" s="144" t="inlineStr">
        <is>
          <t>Provider of car renting services. The company operates through a car rental distribution platform which connects airlines, online travel companies and travel agents access the array of ground transportation options in real time.</t>
        </is>
      </c>
      <c r="G296" s="145" t="inlineStr">
        <is>
          <t>Business Products and Services (B2B)</t>
        </is>
      </c>
      <c r="H296" s="146" t="inlineStr">
        <is>
          <t>Commercial Transportation</t>
        </is>
      </c>
      <c r="I296" s="147" t="inlineStr">
        <is>
          <t>Road</t>
        </is>
      </c>
      <c r="J296" s="148" t="inlineStr">
        <is>
          <t>Road*; Automotive; Social/Platform Software</t>
        </is>
      </c>
      <c r="K296" s="149" t="inlineStr">
        <is>
          <t/>
        </is>
      </c>
      <c r="L296" s="150" t="inlineStr">
        <is>
          <t>Venture Capital-Backed</t>
        </is>
      </c>
      <c r="M296" s="151" t="n">
        <v>6.9</v>
      </c>
      <c r="N296" s="152" t="inlineStr">
        <is>
          <t>Generating Revenue</t>
        </is>
      </c>
      <c r="O296" s="153" t="inlineStr">
        <is>
          <t>Privately Held (backing)</t>
        </is>
      </c>
      <c r="P296" s="154" t="inlineStr">
        <is>
          <t>Venture Capital</t>
        </is>
      </c>
      <c r="Q296" s="155" t="inlineStr">
        <is>
          <t>www.mobacar.com</t>
        </is>
      </c>
      <c r="R296" s="156" t="n">
        <v>26.0</v>
      </c>
      <c r="S296" s="157" t="inlineStr">
        <is>
          <t/>
        </is>
      </c>
      <c r="T296" s="158" t="inlineStr">
        <is>
          <t/>
        </is>
      </c>
      <c r="U296" s="159" t="n">
        <v>2014.0</v>
      </c>
      <c r="V296" s="160" t="inlineStr">
        <is>
          <t/>
        </is>
      </c>
      <c r="W296" s="161" t="inlineStr">
        <is>
          <t/>
        </is>
      </c>
      <c r="X296" s="162" t="inlineStr">
        <is>
          <t/>
        </is>
      </c>
      <c r="Y296" s="163" t="n">
        <v>0.4318</v>
      </c>
      <c r="Z296" s="164" t="inlineStr">
        <is>
          <t/>
        </is>
      </c>
      <c r="AA296" s="165" t="n">
        <v>-2.10389</v>
      </c>
      <c r="AB296" s="166" t="inlineStr">
        <is>
          <t/>
        </is>
      </c>
      <c r="AC296" s="167" t="inlineStr">
        <is>
          <t/>
        </is>
      </c>
      <c r="AD296" s="168" t="inlineStr">
        <is>
          <t>FY 2015</t>
        </is>
      </c>
      <c r="AE296" s="169" t="inlineStr">
        <is>
          <t>67834-54P</t>
        </is>
      </c>
      <c r="AF296" s="170" t="inlineStr">
        <is>
          <t>Michael Webster</t>
        </is>
      </c>
      <c r="AG296" s="171" t="inlineStr">
        <is>
          <t>Founder &amp; Chief Executive Officer</t>
        </is>
      </c>
      <c r="AH296" s="172" t="inlineStr">
        <is>
          <t>michael@mobacar.com</t>
        </is>
      </c>
      <c r="AI296" s="173" t="inlineStr">
        <is>
          <t>+353 (0)64 776 4276</t>
        </is>
      </c>
      <c r="AJ296" s="174" t="inlineStr">
        <is>
          <t>Killarney, Ireland</t>
        </is>
      </c>
      <c r="AK296" s="175" t="inlineStr">
        <is>
          <t>Mobacar House</t>
        </is>
      </c>
      <c r="AL296" s="176" t="inlineStr">
        <is>
          <t>Muckross Road, County Kerry</t>
        </is>
      </c>
      <c r="AM296" s="177" t="inlineStr">
        <is>
          <t>Killarney</t>
        </is>
      </c>
      <c r="AN296" s="178" t="inlineStr">
        <is>
          <t/>
        </is>
      </c>
      <c r="AO296" s="179" t="inlineStr">
        <is>
          <t>V93 RC95</t>
        </is>
      </c>
      <c r="AP296" s="180" t="inlineStr">
        <is>
          <t>Ireland</t>
        </is>
      </c>
      <c r="AQ296" s="181" t="inlineStr">
        <is>
          <t>+353 (0)64 776 4276</t>
        </is>
      </c>
      <c r="AR296" s="182" t="inlineStr">
        <is>
          <t/>
        </is>
      </c>
      <c r="AS296" s="183" t="inlineStr">
        <is>
          <t>info@mobacar.com</t>
        </is>
      </c>
      <c r="AT296" s="184" t="inlineStr">
        <is>
          <t>Europe</t>
        </is>
      </c>
      <c r="AU296" s="185" t="inlineStr">
        <is>
          <t>Western Europe</t>
        </is>
      </c>
      <c r="AV296" s="186" t="inlineStr">
        <is>
          <t>The company raised EUR 850,000 of venture funding from Delta Partners in July 2016. Earlier, the company raised EUR 300,000 of venture funding from Delta Partners and an undisclosed investor in April 2016.</t>
        </is>
      </c>
      <c r="AW296" s="187" t="inlineStr">
        <is>
          <t>Auto Europe, Delta Partners, Enterprise Ireland</t>
        </is>
      </c>
      <c r="AX296" s="188" t="n">
        <v>3.0</v>
      </c>
      <c r="AY296" s="189" t="inlineStr">
        <is>
          <t/>
        </is>
      </c>
      <c r="AZ296" s="190" t="inlineStr">
        <is>
          <t/>
        </is>
      </c>
      <c r="BA296" s="191" t="inlineStr">
        <is>
          <t/>
        </is>
      </c>
      <c r="BB296" s="192" t="inlineStr">
        <is>
          <t>Auto Europe (www.autoeurope.com), Delta Partners (www.deltapartners.com), Enterprise Ireland (www.enterprise-ireland.com)</t>
        </is>
      </c>
      <c r="BC296" s="193" t="inlineStr">
        <is>
          <t/>
        </is>
      </c>
      <c r="BD296" s="194" t="inlineStr">
        <is>
          <t/>
        </is>
      </c>
      <c r="BE296" s="195" t="inlineStr">
        <is>
          <t/>
        </is>
      </c>
      <c r="BF296" s="196" t="inlineStr">
        <is>
          <t>William Fry (Legal Advisor), Beauchamps Solicitors (Legal Advisor)</t>
        </is>
      </c>
      <c r="BG296" s="197" t="n">
        <v>41913.0</v>
      </c>
      <c r="BH296" s="198" t="n">
        <v>4.0</v>
      </c>
      <c r="BI296" s="199" t="inlineStr">
        <is>
          <t>Actual</t>
        </is>
      </c>
      <c r="BJ296" s="200" t="inlineStr">
        <is>
          <t/>
        </is>
      </c>
      <c r="BK296" s="201" t="inlineStr">
        <is>
          <t/>
        </is>
      </c>
      <c r="BL296" s="202" t="inlineStr">
        <is>
          <t>Early Stage VC</t>
        </is>
      </c>
      <c r="BM296" s="203" t="inlineStr">
        <is>
          <t/>
        </is>
      </c>
      <c r="BN296" s="204" t="inlineStr">
        <is>
          <t/>
        </is>
      </c>
      <c r="BO296" s="205" t="inlineStr">
        <is>
          <t>Venture Capital</t>
        </is>
      </c>
      <c r="BP296" s="206" t="inlineStr">
        <is>
          <t/>
        </is>
      </c>
      <c r="BQ296" s="207" t="inlineStr">
        <is>
          <t/>
        </is>
      </c>
      <c r="BR296" s="208" t="inlineStr">
        <is>
          <t/>
        </is>
      </c>
      <c r="BS296" s="209" t="inlineStr">
        <is>
          <t>Completed</t>
        </is>
      </c>
      <c r="BT296" s="210" t="n">
        <v>42552.0</v>
      </c>
      <c r="BU296" s="211" t="n">
        <v>0.85</v>
      </c>
      <c r="BV296" s="212" t="inlineStr">
        <is>
          <t>Actual</t>
        </is>
      </c>
      <c r="BW296" s="213" t="inlineStr">
        <is>
          <t/>
        </is>
      </c>
      <c r="BX296" s="214" t="inlineStr">
        <is>
          <t/>
        </is>
      </c>
      <c r="BY296" s="215" t="inlineStr">
        <is>
          <t>Early Stage VC</t>
        </is>
      </c>
      <c r="BZ296" s="216" t="inlineStr">
        <is>
          <t/>
        </is>
      </c>
      <c r="CA296" s="217" t="inlineStr">
        <is>
          <t/>
        </is>
      </c>
      <c r="CB296" s="218" t="inlineStr">
        <is>
          <t>Venture Capital</t>
        </is>
      </c>
      <c r="CC296" s="219" t="inlineStr">
        <is>
          <t/>
        </is>
      </c>
      <c r="CD296" s="220" t="inlineStr">
        <is>
          <t/>
        </is>
      </c>
      <c r="CE296" s="221" t="inlineStr">
        <is>
          <t/>
        </is>
      </c>
      <c r="CF296" s="222" t="inlineStr">
        <is>
          <t>Completed</t>
        </is>
      </c>
      <c r="CG296" s="223" t="inlineStr">
        <is>
          <t>0,57%</t>
        </is>
      </c>
      <c r="CH296" s="224" t="inlineStr">
        <is>
          <t>85</t>
        </is>
      </c>
      <c r="CI296" s="225" t="inlineStr">
        <is>
          <t>0,16%</t>
        </is>
      </c>
      <c r="CJ296" s="226" t="inlineStr">
        <is>
          <t>39,80%</t>
        </is>
      </c>
      <c r="CK296" s="227" t="inlineStr">
        <is>
          <t>0,00%</t>
        </is>
      </c>
      <c r="CL296" s="228" t="inlineStr">
        <is>
          <t>18</t>
        </is>
      </c>
      <c r="CM296" s="229" t="inlineStr">
        <is>
          <t>1,15%</t>
        </is>
      </c>
      <c r="CN296" s="230" t="inlineStr">
        <is>
          <t>97</t>
        </is>
      </c>
      <c r="CO296" s="231" t="inlineStr">
        <is>
          <t>0,00%</t>
        </is>
      </c>
      <c r="CP296" s="232" t="inlineStr">
        <is>
          <t>26</t>
        </is>
      </c>
      <c r="CQ296" s="233" t="inlineStr">
        <is>
          <t>0,00%</t>
        </is>
      </c>
      <c r="CR296" s="234" t="inlineStr">
        <is>
          <t>13</t>
        </is>
      </c>
      <c r="CS296" s="235" t="inlineStr">
        <is>
          <t>1,32%</t>
        </is>
      </c>
      <c r="CT296" s="236" t="inlineStr">
        <is>
          <t>96</t>
        </is>
      </c>
      <c r="CU296" s="237" t="inlineStr">
        <is>
          <t>0,98%</t>
        </is>
      </c>
      <c r="CV296" s="238" t="inlineStr">
        <is>
          <t>97</t>
        </is>
      </c>
      <c r="CW296" s="239" t="inlineStr">
        <is>
          <t>0,59x</t>
        </is>
      </c>
      <c r="CX296" s="240" t="inlineStr">
        <is>
          <t>37</t>
        </is>
      </c>
      <c r="CY296" s="241" t="inlineStr">
        <is>
          <t>0,02x</t>
        </is>
      </c>
      <c r="CZ296" s="242" t="inlineStr">
        <is>
          <t>2,85%</t>
        </is>
      </c>
      <c r="DA296" s="243" t="inlineStr">
        <is>
          <t>0,69x</t>
        </is>
      </c>
      <c r="DB296" s="244" t="inlineStr">
        <is>
          <t>43</t>
        </is>
      </c>
      <c r="DC296" s="245" t="inlineStr">
        <is>
          <t>0,48x</t>
        </is>
      </c>
      <c r="DD296" s="246" t="inlineStr">
        <is>
          <t>35</t>
        </is>
      </c>
      <c r="DE296" s="247" t="inlineStr">
        <is>
          <t>0,47x</t>
        </is>
      </c>
      <c r="DF296" s="248" t="inlineStr">
        <is>
          <t>35</t>
        </is>
      </c>
      <c r="DG296" s="249" t="inlineStr">
        <is>
          <t>0,92x</t>
        </is>
      </c>
      <c r="DH296" s="250" t="inlineStr">
        <is>
          <t>48</t>
        </is>
      </c>
      <c r="DI296" s="251" t="inlineStr">
        <is>
          <t>0,18x</t>
        </is>
      </c>
      <c r="DJ296" s="252" t="inlineStr">
        <is>
          <t>22</t>
        </is>
      </c>
      <c r="DK296" s="253" t="inlineStr">
        <is>
          <t>0,78x</t>
        </is>
      </c>
      <c r="DL296" s="254" t="inlineStr">
        <is>
          <t>46</t>
        </is>
      </c>
      <c r="DM296" s="255" t="inlineStr">
        <is>
          <t>290</t>
        </is>
      </c>
      <c r="DN296" s="256" t="inlineStr">
        <is>
          <t>-11</t>
        </is>
      </c>
      <c r="DO296" s="257" t="inlineStr">
        <is>
          <t>-3,65%</t>
        </is>
      </c>
      <c r="DP296" s="258" t="inlineStr">
        <is>
          <t>141</t>
        </is>
      </c>
      <c r="DQ296" s="259" t="inlineStr">
        <is>
          <t>3</t>
        </is>
      </c>
      <c r="DR296" s="260" t="inlineStr">
        <is>
          <t>2,17%</t>
        </is>
      </c>
      <c r="DS296" s="261" t="inlineStr">
        <is>
          <t>33</t>
        </is>
      </c>
      <c r="DT296" s="262" t="inlineStr">
        <is>
          <t>1</t>
        </is>
      </c>
      <c r="DU296" s="263" t="inlineStr">
        <is>
          <t>3,13%</t>
        </is>
      </c>
      <c r="DV296" s="264" t="inlineStr">
        <is>
          <t>269</t>
        </is>
      </c>
      <c r="DW296" s="265" t="inlineStr">
        <is>
          <t>11</t>
        </is>
      </c>
      <c r="DX296" s="266" t="inlineStr">
        <is>
          <t>4,26%</t>
        </is>
      </c>
      <c r="DY296" s="267" t="inlineStr">
        <is>
          <t>PitchBook Research</t>
        </is>
      </c>
      <c r="DZ296" s="786">
        <f>HYPERLINK("https://my.pitchbook.com?c=63344-62", "View company online")</f>
      </c>
    </row>
    <row r="297">
      <c r="A297" s="9" t="inlineStr">
        <is>
          <t>96417-10</t>
        </is>
      </c>
      <c r="B297" s="10" t="inlineStr">
        <is>
          <t>Molotov</t>
        </is>
      </c>
      <c r="C297" s="11" t="inlineStr">
        <is>
          <t/>
        </is>
      </c>
      <c r="D297" s="12" t="inlineStr">
        <is>
          <t/>
        </is>
      </c>
      <c r="E297" s="13" t="inlineStr">
        <is>
          <t>96417-10</t>
        </is>
      </c>
      <c r="F297" s="14" t="inlineStr">
        <is>
          <t>Provider of OTT television content to users. The company offers access to different TV channels, allows users to watch live TV, go back in time to the beginning of a show, catch up on past episodes in a single, unified interface, while allowing for bookmarking the TV shows and movies in the cloud.</t>
        </is>
      </c>
      <c r="G297" s="15" t="inlineStr">
        <is>
          <t>Consumer Products and Services (B2C)</t>
        </is>
      </c>
      <c r="H297" s="16" t="inlineStr">
        <is>
          <t>Media</t>
        </is>
      </c>
      <c r="I297" s="17" t="inlineStr">
        <is>
          <t>Broadcasting, Radio and Television</t>
        </is>
      </c>
      <c r="J297" s="18" t="inlineStr">
        <is>
          <t>Broadcasting, Radio and Television*; Other Software; Social/Platform Software</t>
        </is>
      </c>
      <c r="K297" s="19" t="inlineStr">
        <is>
          <t/>
        </is>
      </c>
      <c r="L297" s="20" t="inlineStr">
        <is>
          <t>Venture Capital-Backed</t>
        </is>
      </c>
      <c r="M297" s="21" t="n">
        <v>32.33</v>
      </c>
      <c r="N297" s="22" t="inlineStr">
        <is>
          <t>Generating Revenue</t>
        </is>
      </c>
      <c r="O297" s="23" t="inlineStr">
        <is>
          <t>Privately Held (backing)</t>
        </is>
      </c>
      <c r="P297" s="24" t="inlineStr">
        <is>
          <t>Venture Capital</t>
        </is>
      </c>
      <c r="Q297" s="25" t="inlineStr">
        <is>
          <t>www.molotov.tv</t>
        </is>
      </c>
      <c r="R297" s="26" t="n">
        <v>3.0</v>
      </c>
      <c r="S297" s="27" t="inlineStr">
        <is>
          <t/>
        </is>
      </c>
      <c r="T297" s="28" t="inlineStr">
        <is>
          <t/>
        </is>
      </c>
      <c r="U297" s="29" t="n">
        <v>2015.0</v>
      </c>
      <c r="V297" s="30" t="inlineStr">
        <is>
          <t/>
        </is>
      </c>
      <c r="W297" s="31" t="inlineStr">
        <is>
          <t/>
        </is>
      </c>
      <c r="X297" s="32" t="inlineStr">
        <is>
          <t/>
        </is>
      </c>
      <c r="Y297" s="33" t="inlineStr">
        <is>
          <t/>
        </is>
      </c>
      <c r="Z297" s="34" t="inlineStr">
        <is>
          <t/>
        </is>
      </c>
      <c r="AA297" s="35" t="inlineStr">
        <is>
          <t/>
        </is>
      </c>
      <c r="AB297" s="36" t="inlineStr">
        <is>
          <t/>
        </is>
      </c>
      <c r="AC297" s="37" t="inlineStr">
        <is>
          <t/>
        </is>
      </c>
      <c r="AD297" s="38" t="inlineStr">
        <is>
          <t/>
        </is>
      </c>
      <c r="AE297" s="39" t="inlineStr">
        <is>
          <t>103610-08P</t>
        </is>
      </c>
      <c r="AF297" s="40" t="inlineStr">
        <is>
          <t>Jean David Blanc</t>
        </is>
      </c>
      <c r="AG297" s="41" t="inlineStr">
        <is>
          <t>Co-Founder &amp; Chief Executive Officer</t>
        </is>
      </c>
      <c r="AH297" s="42" t="inlineStr">
        <is>
          <t>jd@molotov.tv</t>
        </is>
      </c>
      <c r="AI297" s="43" t="inlineStr">
        <is>
          <t/>
        </is>
      </c>
      <c r="AJ297" s="44" t="inlineStr">
        <is>
          <t>Paris, France</t>
        </is>
      </c>
      <c r="AK297" s="45" t="inlineStr">
        <is>
          <t>11 rue de Laborde</t>
        </is>
      </c>
      <c r="AL297" s="46" t="inlineStr">
        <is>
          <t/>
        </is>
      </c>
      <c r="AM297" s="47" t="inlineStr">
        <is>
          <t>Paris</t>
        </is>
      </c>
      <c r="AN297" s="48" t="inlineStr">
        <is>
          <t/>
        </is>
      </c>
      <c r="AO297" s="49" t="inlineStr">
        <is>
          <t>75008</t>
        </is>
      </c>
      <c r="AP297" s="50" t="inlineStr">
        <is>
          <t>France</t>
        </is>
      </c>
      <c r="AQ297" s="51" t="inlineStr">
        <is>
          <t/>
        </is>
      </c>
      <c r="AR297" s="52" t="inlineStr">
        <is>
          <t/>
        </is>
      </c>
      <c r="AS297" s="53" t="inlineStr">
        <is>
          <t>hello@molotov.tv</t>
        </is>
      </c>
      <c r="AT297" s="54" t="inlineStr">
        <is>
          <t>Europe</t>
        </is>
      </c>
      <c r="AU297" s="55" t="inlineStr">
        <is>
          <t>Western Europe</t>
        </is>
      </c>
      <c r="AV297" s="56" t="inlineStr">
        <is>
          <t>The company raised EUR 22 million of Series B venture funding from Sky Startup Investment, IDInvest Partners and TDF on August 15, 2016. Mikhail Fridman also participated in the round. The company will use the funding to expand its footprint internationally.</t>
        </is>
      </c>
      <c r="AW297" s="57" t="inlineStr">
        <is>
          <t>IdInvest Partners, Jean-Emile Rosenblum, Mikhail Fridman, Oleg Tscheltzoff, Sky Startup Investments &amp; Partnerships, TDF</t>
        </is>
      </c>
      <c r="AX297" s="58" t="n">
        <v>6.0</v>
      </c>
      <c r="AY297" s="59" t="inlineStr">
        <is>
          <t/>
        </is>
      </c>
      <c r="AZ297" s="60" t="inlineStr">
        <is>
          <t/>
        </is>
      </c>
      <c r="BA297" s="61" t="inlineStr">
        <is>
          <t/>
        </is>
      </c>
      <c r="BB297" s="62" t="inlineStr">
        <is>
          <t>IdInvest Partners (www.idinvest.com), Sky Startup Investments &amp; Partnerships (www.startups.sky.com), TDF (www.tdf.fr)</t>
        </is>
      </c>
      <c r="BC297" s="63" t="inlineStr">
        <is>
          <t/>
        </is>
      </c>
      <c r="BD297" s="64" t="inlineStr">
        <is>
          <t/>
        </is>
      </c>
      <c r="BE297" s="65" t="inlineStr">
        <is>
          <t/>
        </is>
      </c>
      <c r="BF297" s="66" t="inlineStr">
        <is>
          <t>Clipperton Finance (Advisor)</t>
        </is>
      </c>
      <c r="BG297" s="67" t="n">
        <v>42064.0</v>
      </c>
      <c r="BH297" s="68" t="n">
        <v>10.33</v>
      </c>
      <c r="BI297" s="69" t="inlineStr">
        <is>
          <t>Actual</t>
        </is>
      </c>
      <c r="BJ297" s="70" t="inlineStr">
        <is>
          <t/>
        </is>
      </c>
      <c r="BK297" s="71" t="inlineStr">
        <is>
          <t/>
        </is>
      </c>
      <c r="BL297" s="72" t="inlineStr">
        <is>
          <t>Early Stage VC</t>
        </is>
      </c>
      <c r="BM297" s="73" t="inlineStr">
        <is>
          <t/>
        </is>
      </c>
      <c r="BN297" s="74" t="inlineStr">
        <is>
          <t/>
        </is>
      </c>
      <c r="BO297" s="75" t="inlineStr">
        <is>
          <t>Venture Capital</t>
        </is>
      </c>
      <c r="BP297" s="76" t="inlineStr">
        <is>
          <t/>
        </is>
      </c>
      <c r="BQ297" s="77" t="inlineStr">
        <is>
          <t/>
        </is>
      </c>
      <c r="BR297" s="78" t="inlineStr">
        <is>
          <t/>
        </is>
      </c>
      <c r="BS297" s="79" t="inlineStr">
        <is>
          <t>Completed</t>
        </is>
      </c>
      <c r="BT297" s="80" t="n">
        <v>42712.0</v>
      </c>
      <c r="BU297" s="81" t="n">
        <v>22.0</v>
      </c>
      <c r="BV297" s="82" t="inlineStr">
        <is>
          <t>Actual</t>
        </is>
      </c>
      <c r="BW297" s="83" t="inlineStr">
        <is>
          <t/>
        </is>
      </c>
      <c r="BX297" s="84" t="inlineStr">
        <is>
          <t/>
        </is>
      </c>
      <c r="BY297" s="85" t="inlineStr">
        <is>
          <t>Early Stage VC</t>
        </is>
      </c>
      <c r="BZ297" s="86" t="inlineStr">
        <is>
          <t>Series B</t>
        </is>
      </c>
      <c r="CA297" s="87" t="inlineStr">
        <is>
          <t/>
        </is>
      </c>
      <c r="CB297" s="88" t="inlineStr">
        <is>
          <t>Venture Capital</t>
        </is>
      </c>
      <c r="CC297" s="89" t="inlineStr">
        <is>
          <t/>
        </is>
      </c>
      <c r="CD297" s="90" t="inlineStr">
        <is>
          <t/>
        </is>
      </c>
      <c r="CE297" s="91" t="inlineStr">
        <is>
          <t/>
        </is>
      </c>
      <c r="CF297" s="92" t="inlineStr">
        <is>
          <t>Completed</t>
        </is>
      </c>
      <c r="CG297" s="93" t="inlineStr">
        <is>
          <t>1,66%</t>
        </is>
      </c>
      <c r="CH297" s="94" t="inlineStr">
        <is>
          <t>92</t>
        </is>
      </c>
      <c r="CI297" s="95" t="inlineStr">
        <is>
          <t>-0,15%</t>
        </is>
      </c>
      <c r="CJ297" s="96" t="inlineStr">
        <is>
          <t>-8,14%</t>
        </is>
      </c>
      <c r="CK297" s="97" t="inlineStr">
        <is>
          <t>1,97%</t>
        </is>
      </c>
      <c r="CL297" s="98" t="inlineStr">
        <is>
          <t>91</t>
        </is>
      </c>
      <c r="CM297" s="99" t="inlineStr">
        <is>
          <t>1,34%</t>
        </is>
      </c>
      <c r="CN297" s="100" t="inlineStr">
        <is>
          <t>97</t>
        </is>
      </c>
      <c r="CO297" s="101" t="inlineStr">
        <is>
          <t>4,10%</t>
        </is>
      </c>
      <c r="CP297" s="102" t="inlineStr">
        <is>
          <t>95</t>
        </is>
      </c>
      <c r="CQ297" s="103" t="inlineStr">
        <is>
          <t>-0,16%</t>
        </is>
      </c>
      <c r="CR297" s="104" t="inlineStr">
        <is>
          <t>11</t>
        </is>
      </c>
      <c r="CS297" s="105" t="inlineStr">
        <is>
          <t>1,83%</t>
        </is>
      </c>
      <c r="CT297" s="106" t="inlineStr">
        <is>
          <t>98</t>
        </is>
      </c>
      <c r="CU297" s="107" t="inlineStr">
        <is>
          <t>0,86%</t>
        </is>
      </c>
      <c r="CV297" s="108" t="inlineStr">
        <is>
          <t>96</t>
        </is>
      </c>
      <c r="CW297" s="109" t="inlineStr">
        <is>
          <t>105,75x</t>
        </is>
      </c>
      <c r="CX297" s="110" t="inlineStr">
        <is>
          <t>98</t>
        </is>
      </c>
      <c r="CY297" s="111" t="inlineStr">
        <is>
          <t>0,49x</t>
        </is>
      </c>
      <c r="CZ297" s="112" t="inlineStr">
        <is>
          <t>0,47%</t>
        </is>
      </c>
      <c r="DA297" s="113" t="inlineStr">
        <is>
          <t>183,46x</t>
        </is>
      </c>
      <c r="DB297" s="114" t="inlineStr">
        <is>
          <t>99</t>
        </is>
      </c>
      <c r="DC297" s="115" t="inlineStr">
        <is>
          <t>28,03x</t>
        </is>
      </c>
      <c r="DD297" s="116" t="inlineStr">
        <is>
          <t>92</t>
        </is>
      </c>
      <c r="DE297" s="117" t="inlineStr">
        <is>
          <t>349,59x</t>
        </is>
      </c>
      <c r="DF297" s="118" t="inlineStr">
        <is>
          <t>98</t>
        </is>
      </c>
      <c r="DG297" s="119" t="inlineStr">
        <is>
          <t>17,33x</t>
        </is>
      </c>
      <c r="DH297" s="120" t="inlineStr">
        <is>
          <t>91</t>
        </is>
      </c>
      <c r="DI297" s="121" t="inlineStr">
        <is>
          <t>23,54x</t>
        </is>
      </c>
      <c r="DJ297" s="122" t="inlineStr">
        <is>
          <t>89</t>
        </is>
      </c>
      <c r="DK297" s="123" t="inlineStr">
        <is>
          <t>32,52x</t>
        </is>
      </c>
      <c r="DL297" s="124" t="inlineStr">
        <is>
          <t>94</t>
        </is>
      </c>
      <c r="DM297" s="125" t="inlineStr">
        <is>
          <t>215.028</t>
        </is>
      </c>
      <c r="DN297" s="126" t="inlineStr">
        <is>
          <t>-96</t>
        </is>
      </c>
      <c r="DO297" s="127" t="inlineStr">
        <is>
          <t>-0,04%</t>
        </is>
      </c>
      <c r="DP297" s="128" t="inlineStr">
        <is>
          <t>18.682</t>
        </is>
      </c>
      <c r="DQ297" s="129" t="inlineStr">
        <is>
          <t>312</t>
        </is>
      </c>
      <c r="DR297" s="130" t="inlineStr">
        <is>
          <t>1,70%</t>
        </is>
      </c>
      <c r="DS297" s="131" t="inlineStr">
        <is>
          <t>626</t>
        </is>
      </c>
      <c r="DT297" s="132" t="inlineStr">
        <is>
          <t>-4</t>
        </is>
      </c>
      <c r="DU297" s="133" t="inlineStr">
        <is>
          <t>-0,63%</t>
        </is>
      </c>
      <c r="DV297" s="134" t="inlineStr">
        <is>
          <t>11.142</t>
        </is>
      </c>
      <c r="DW297" s="135" t="inlineStr">
        <is>
          <t>51</t>
        </is>
      </c>
      <c r="DX297" s="136" t="inlineStr">
        <is>
          <t>0,46%</t>
        </is>
      </c>
      <c r="DY297" s="137" t="inlineStr">
        <is>
          <t>PitchBook Research</t>
        </is>
      </c>
      <c r="DZ297" s="785">
        <f>HYPERLINK("https://my.pitchbook.com?c=96417-10", "View company online")</f>
      </c>
    </row>
    <row r="298">
      <c r="A298" s="139" t="inlineStr">
        <is>
          <t>89983-09</t>
        </is>
      </c>
      <c r="B298" s="140" t="inlineStr">
        <is>
          <t>Monese</t>
        </is>
      </c>
      <c r="C298" s="141" t="inlineStr">
        <is>
          <t/>
        </is>
      </c>
      <c r="D298" s="142" t="inlineStr">
        <is>
          <t/>
        </is>
      </c>
      <c r="E298" s="143" t="inlineStr">
        <is>
          <t>89983-09</t>
        </is>
      </c>
      <c r="F298" s="144" t="inlineStr">
        <is>
          <t>Provider of a mobile banking application that enables users to open and manage their current account. The company's app enables users to shop online, receive salary and also make purchases at stores. It allows customers from all over Europe to open a UK current account in as little as 120 seconds, without the credit checks or residency restrictions imposed by traditional banks.</t>
        </is>
      </c>
      <c r="G298" s="145" t="inlineStr">
        <is>
          <t>Information Technology</t>
        </is>
      </c>
      <c r="H298" s="146" t="inlineStr">
        <is>
          <t>Software</t>
        </is>
      </c>
      <c r="I298" s="147" t="inlineStr">
        <is>
          <t>Financial Software</t>
        </is>
      </c>
      <c r="J298" s="148" t="inlineStr">
        <is>
          <t>Financial Software*; Application Software</t>
        </is>
      </c>
      <c r="K298" s="149" t="inlineStr">
        <is>
          <t>FinTech, Mobile, SaaS</t>
        </is>
      </c>
      <c r="L298" s="150" t="inlineStr">
        <is>
          <t>Venture Capital-Backed</t>
        </is>
      </c>
      <c r="M298" s="151" t="n">
        <v>10.42</v>
      </c>
      <c r="N298" s="152" t="inlineStr">
        <is>
          <t>Generating Revenue</t>
        </is>
      </c>
      <c r="O298" s="153" t="inlineStr">
        <is>
          <t>Privately Held (backing)</t>
        </is>
      </c>
      <c r="P298" s="154" t="inlineStr">
        <is>
          <t>Venture Capital</t>
        </is>
      </c>
      <c r="Q298" s="155" t="inlineStr">
        <is>
          <t>www.monese.com</t>
        </is>
      </c>
      <c r="R298" s="156" t="n">
        <v>20.0</v>
      </c>
      <c r="S298" s="157" t="inlineStr">
        <is>
          <t/>
        </is>
      </c>
      <c r="T298" s="158" t="inlineStr">
        <is>
          <t/>
        </is>
      </c>
      <c r="U298" s="159" t="n">
        <v>2013.0</v>
      </c>
      <c r="V298" s="160" t="inlineStr">
        <is>
          <t/>
        </is>
      </c>
      <c r="W298" s="161" t="inlineStr">
        <is>
          <t/>
        </is>
      </c>
      <c r="X298" s="162" t="inlineStr">
        <is>
          <t/>
        </is>
      </c>
      <c r="Y298" s="163" t="inlineStr">
        <is>
          <t/>
        </is>
      </c>
      <c r="Z298" s="164" t="n">
        <v>-0.29399</v>
      </c>
      <c r="AA298" s="165" t="n">
        <v>-2.11308</v>
      </c>
      <c r="AB298" s="166" t="inlineStr">
        <is>
          <t/>
        </is>
      </c>
      <c r="AC298" s="167" t="n">
        <v>-1.6629</v>
      </c>
      <c r="AD298" s="168" t="inlineStr">
        <is>
          <t>FY 2015</t>
        </is>
      </c>
      <c r="AE298" s="169" t="inlineStr">
        <is>
          <t>98210-80P</t>
        </is>
      </c>
      <c r="AF298" s="170" t="inlineStr">
        <is>
          <t>Norris Koppel</t>
        </is>
      </c>
      <c r="AG298" s="171" t="inlineStr">
        <is>
          <t>Board Member, Founder &amp; Chief Executive Officer</t>
        </is>
      </c>
      <c r="AH298" s="172" t="inlineStr">
        <is>
          <t>norris@monese.com</t>
        </is>
      </c>
      <c r="AI298" s="173" t="inlineStr">
        <is>
          <t>+44 (0)74 1505 2795</t>
        </is>
      </c>
      <c r="AJ298" s="174" t="inlineStr">
        <is>
          <t>London, United Kingdom</t>
        </is>
      </c>
      <c r="AK298" s="175" t="inlineStr">
        <is>
          <t>Floor 3, 1 Fore Street</t>
        </is>
      </c>
      <c r="AL298" s="176" t="inlineStr">
        <is>
          <t>Moorgate</t>
        </is>
      </c>
      <c r="AM298" s="177" t="inlineStr">
        <is>
          <t>London</t>
        </is>
      </c>
      <c r="AN298" s="178" t="inlineStr">
        <is>
          <t>England</t>
        </is>
      </c>
      <c r="AO298" s="179" t="inlineStr">
        <is>
          <t>EC27 9DT</t>
        </is>
      </c>
      <c r="AP298" s="180" t="inlineStr">
        <is>
          <t>United Kingdom</t>
        </is>
      </c>
      <c r="AQ298" s="181" t="inlineStr">
        <is>
          <t>+44 (0)74 1505 2795</t>
        </is>
      </c>
      <c r="AR298" s="182" t="inlineStr">
        <is>
          <t/>
        </is>
      </c>
      <c r="AS298" s="183" t="inlineStr">
        <is>
          <t>hello@monese.com</t>
        </is>
      </c>
      <c r="AT298" s="184" t="inlineStr">
        <is>
          <t>Europe</t>
        </is>
      </c>
      <c r="AU298" s="185" t="inlineStr">
        <is>
          <t>Western Europe</t>
        </is>
      </c>
      <c r="AV298" s="186" t="inlineStr">
        <is>
          <t>The company raised $10 million of Series A venture funding from Anthemis Exponential Ventures, STE capital and Korea Investment Partners on January 3, 2017. Smartcap and Seecamp also participated in the round. The funds will be used to launch Euro current accounts and become available to customers in other European markets as well as a host of new features like direct debit and credit services. This brings total funding raised by the company to $15.8 million.</t>
        </is>
      </c>
      <c r="AW298" s="187" t="inlineStr">
        <is>
          <t>Anthemis Exponential Ventures, Anthemis Group, Horizon 2020, Korea Investment Partners, Seedcamp, Shakil Khan, SmartCap, Spring Capital, STE Capital, United Partners</t>
        </is>
      </c>
      <c r="AX298" s="188" t="n">
        <v>10.0</v>
      </c>
      <c r="AY298" s="189" t="inlineStr">
        <is>
          <t/>
        </is>
      </c>
      <c r="AZ298" s="190" t="inlineStr">
        <is>
          <t/>
        </is>
      </c>
      <c r="BA298" s="191" t="inlineStr">
        <is>
          <t/>
        </is>
      </c>
      <c r="BB298" s="192" t="inlineStr">
        <is>
          <t>Anthemis Group (www.anthemis.com), Korea Investment Partners (www.kipvc.com), Seedcamp (www.seedcamp.com), SmartCap (www.smartcap.ee), Spring Capital (www.springcapital.ee), STE Capital (www.stecapital.net), United Partners (www.unitedpartners.ee)</t>
        </is>
      </c>
      <c r="BC298" s="193" t="inlineStr">
        <is>
          <t/>
        </is>
      </c>
      <c r="BD298" s="194" t="inlineStr">
        <is>
          <t/>
        </is>
      </c>
      <c r="BE298" s="195" t="inlineStr">
        <is>
          <t/>
        </is>
      </c>
      <c r="BF298" s="196" t="inlineStr">
        <is>
          <t/>
        </is>
      </c>
      <c r="BG298" s="197" t="n">
        <v>42444.0</v>
      </c>
      <c r="BH298" s="198" t="n">
        <v>1.13</v>
      </c>
      <c r="BI298" s="199" t="inlineStr">
        <is>
          <t>Actual</t>
        </is>
      </c>
      <c r="BJ298" s="200" t="inlineStr">
        <is>
          <t/>
        </is>
      </c>
      <c r="BK298" s="201" t="inlineStr">
        <is>
          <t/>
        </is>
      </c>
      <c r="BL298" s="202" t="inlineStr">
        <is>
          <t>Grant</t>
        </is>
      </c>
      <c r="BM298" s="203" t="inlineStr">
        <is>
          <t/>
        </is>
      </c>
      <c r="BN298" s="204" t="inlineStr">
        <is>
          <t/>
        </is>
      </c>
      <c r="BO298" s="205" t="inlineStr">
        <is>
          <t>Other</t>
        </is>
      </c>
      <c r="BP298" s="206" t="inlineStr">
        <is>
          <t/>
        </is>
      </c>
      <c r="BQ298" s="207" t="inlineStr">
        <is>
          <t/>
        </is>
      </c>
      <c r="BR298" s="208" t="inlineStr">
        <is>
          <t/>
        </is>
      </c>
      <c r="BS298" s="209" t="inlineStr">
        <is>
          <t>Completed</t>
        </is>
      </c>
      <c r="BT298" s="210" t="n">
        <v>42738.0</v>
      </c>
      <c r="BU298" s="211" t="n">
        <v>9.42</v>
      </c>
      <c r="BV298" s="212" t="inlineStr">
        <is>
          <t>Actual</t>
        </is>
      </c>
      <c r="BW298" s="213" t="inlineStr">
        <is>
          <t/>
        </is>
      </c>
      <c r="BX298" s="214" t="inlineStr">
        <is>
          <t/>
        </is>
      </c>
      <c r="BY298" s="215" t="inlineStr">
        <is>
          <t>Early Stage VC</t>
        </is>
      </c>
      <c r="BZ298" s="216" t="inlineStr">
        <is>
          <t>Series A</t>
        </is>
      </c>
      <c r="CA298" s="217" t="inlineStr">
        <is>
          <t/>
        </is>
      </c>
      <c r="CB298" s="218" t="inlineStr">
        <is>
          <t>Venture Capital</t>
        </is>
      </c>
      <c r="CC298" s="219" t="inlineStr">
        <is>
          <t/>
        </is>
      </c>
      <c r="CD298" s="220" t="inlineStr">
        <is>
          <t/>
        </is>
      </c>
      <c r="CE298" s="221" t="inlineStr">
        <is>
          <t/>
        </is>
      </c>
      <c r="CF298" s="222" t="inlineStr">
        <is>
          <t>Completed</t>
        </is>
      </c>
      <c r="CG298" s="223" t="inlineStr">
        <is>
          <t>2,90%</t>
        </is>
      </c>
      <c r="CH298" s="224" t="inlineStr">
        <is>
          <t>96</t>
        </is>
      </c>
      <c r="CI298" s="225" t="inlineStr">
        <is>
          <t>0,01%</t>
        </is>
      </c>
      <c r="CJ298" s="226" t="inlineStr">
        <is>
          <t>0,19%</t>
        </is>
      </c>
      <c r="CK298" s="227" t="inlineStr">
        <is>
          <t>-0,71%</t>
        </is>
      </c>
      <c r="CL298" s="228" t="inlineStr">
        <is>
          <t>10</t>
        </is>
      </c>
      <c r="CM298" s="229" t="inlineStr">
        <is>
          <t>0,92%</t>
        </is>
      </c>
      <c r="CN298" s="230" t="inlineStr">
        <is>
          <t>95</t>
        </is>
      </c>
      <c r="CO298" s="231" t="inlineStr">
        <is>
          <t>-0,83%</t>
        </is>
      </c>
      <c r="CP298" s="232" t="inlineStr">
        <is>
          <t>21</t>
        </is>
      </c>
      <c r="CQ298" s="233" t="inlineStr">
        <is>
          <t>-0,59%</t>
        </is>
      </c>
      <c r="CR298" s="234" t="inlineStr">
        <is>
          <t>6</t>
        </is>
      </c>
      <c r="CS298" s="235" t="inlineStr">
        <is>
          <t>1,68%</t>
        </is>
      </c>
      <c r="CT298" s="236" t="inlineStr">
        <is>
          <t>97</t>
        </is>
      </c>
      <c r="CU298" s="237" t="inlineStr">
        <is>
          <t>0,15%</t>
        </is>
      </c>
      <c r="CV298" s="238" t="inlineStr">
        <is>
          <t>73</t>
        </is>
      </c>
      <c r="CW298" s="239" t="inlineStr">
        <is>
          <t>32,27x</t>
        </is>
      </c>
      <c r="CX298" s="240" t="inlineStr">
        <is>
          <t>94</t>
        </is>
      </c>
      <c r="CY298" s="241" t="inlineStr">
        <is>
          <t>0,76x</t>
        </is>
      </c>
      <c r="CZ298" s="242" t="inlineStr">
        <is>
          <t>2,40%</t>
        </is>
      </c>
      <c r="DA298" s="243" t="inlineStr">
        <is>
          <t>28,66x</t>
        </is>
      </c>
      <c r="DB298" s="244" t="inlineStr">
        <is>
          <t>94</t>
        </is>
      </c>
      <c r="DC298" s="245" t="inlineStr">
        <is>
          <t>66,94x</t>
        </is>
      </c>
      <c r="DD298" s="246" t="inlineStr">
        <is>
          <t>96</t>
        </is>
      </c>
      <c r="DE298" s="247" t="inlineStr">
        <is>
          <t>44,66x</t>
        </is>
      </c>
      <c r="DF298" s="248" t="inlineStr">
        <is>
          <t>93</t>
        </is>
      </c>
      <c r="DG298" s="249" t="inlineStr">
        <is>
          <t>12,67x</t>
        </is>
      </c>
      <c r="DH298" s="250" t="inlineStr">
        <is>
          <t>89</t>
        </is>
      </c>
      <c r="DI298" s="251" t="inlineStr">
        <is>
          <t>64,26x</t>
        </is>
      </c>
      <c r="DJ298" s="252" t="inlineStr">
        <is>
          <t>94</t>
        </is>
      </c>
      <c r="DK298" s="253" t="inlineStr">
        <is>
          <t>69,62x</t>
        </is>
      </c>
      <c r="DL298" s="254" t="inlineStr">
        <is>
          <t>97</t>
        </is>
      </c>
      <c r="DM298" s="255" t="inlineStr">
        <is>
          <t>28.119</t>
        </is>
      </c>
      <c r="DN298" s="256" t="inlineStr">
        <is>
          <t>-1.961</t>
        </is>
      </c>
      <c r="DO298" s="257" t="inlineStr">
        <is>
          <t>-6,52%</t>
        </is>
      </c>
      <c r="DP298" s="258" t="inlineStr">
        <is>
          <t>50.998</t>
        </is>
      </c>
      <c r="DQ298" s="259" t="inlineStr">
        <is>
          <t>1.227</t>
        </is>
      </c>
      <c r="DR298" s="260" t="inlineStr">
        <is>
          <t>2,47%</t>
        </is>
      </c>
      <c r="DS298" s="261" t="inlineStr">
        <is>
          <t>456</t>
        </is>
      </c>
      <c r="DT298" s="262" t="inlineStr">
        <is>
          <t>-2</t>
        </is>
      </c>
      <c r="DU298" s="263" t="inlineStr">
        <is>
          <t>-0,44%</t>
        </is>
      </c>
      <c r="DV298" s="264" t="inlineStr">
        <is>
          <t>23.867</t>
        </is>
      </c>
      <c r="DW298" s="265" t="inlineStr">
        <is>
          <t>14</t>
        </is>
      </c>
      <c r="DX298" s="266" t="inlineStr">
        <is>
          <t>0,06%</t>
        </is>
      </c>
      <c r="DY298" s="267" t="inlineStr">
        <is>
          <t>PitchBook Research</t>
        </is>
      </c>
      <c r="DZ298" s="786">
        <f>HYPERLINK("https://my.pitchbook.com?c=89983-09", "View company online")</f>
      </c>
    </row>
    <row r="299">
      <c r="A299" s="9" t="inlineStr">
        <is>
          <t>151333-39</t>
        </is>
      </c>
      <c r="B299" s="10" t="inlineStr">
        <is>
          <t>Moneybox (Application Software)</t>
        </is>
      </c>
      <c r="C299" s="11" t="inlineStr">
        <is>
          <t/>
        </is>
      </c>
      <c r="D299" s="12" t="inlineStr">
        <is>
          <t/>
        </is>
      </c>
      <c r="E299" s="13" t="inlineStr">
        <is>
          <t>151333-39</t>
        </is>
      </c>
      <c r="F299" s="14" t="inlineStr">
        <is>
          <t>Provider of a mobile savings and investment application intended to round up the everyday purchases to the nearest pound and invest the spare change. The company's mobile savings and investment application help to open personal savings account where users can save and invest the spare changes generated from everyday card transactions, enabling users get higher long term returns than leaving the money in a current or saving account.</t>
        </is>
      </c>
      <c r="G299" s="15" t="inlineStr">
        <is>
          <t>Information Technology</t>
        </is>
      </c>
      <c r="H299" s="16" t="inlineStr">
        <is>
          <t>Software</t>
        </is>
      </c>
      <c r="I299" s="17" t="inlineStr">
        <is>
          <t>Application Software</t>
        </is>
      </c>
      <c r="J299" s="18" t="inlineStr">
        <is>
          <t>Application Software*; Financial Software</t>
        </is>
      </c>
      <c r="K299" s="19" t="inlineStr">
        <is>
          <t>Mobile</t>
        </is>
      </c>
      <c r="L299" s="20" t="inlineStr">
        <is>
          <t>Venture Capital-Backed</t>
        </is>
      </c>
      <c r="M299" s="21" t="n">
        <v>9.02</v>
      </c>
      <c r="N299" s="22" t="inlineStr">
        <is>
          <t>Startup</t>
        </is>
      </c>
      <c r="O299" s="23" t="inlineStr">
        <is>
          <t>Privately Held (backing)</t>
        </is>
      </c>
      <c r="P299" s="24" t="inlineStr">
        <is>
          <t>Venture Capital</t>
        </is>
      </c>
      <c r="Q299" s="25" t="inlineStr">
        <is>
          <t>www.moneyboxapp.com</t>
        </is>
      </c>
      <c r="R299" s="26" t="n">
        <v>11.0</v>
      </c>
      <c r="S299" s="27" t="inlineStr">
        <is>
          <t/>
        </is>
      </c>
      <c r="T299" s="28" t="inlineStr">
        <is>
          <t/>
        </is>
      </c>
      <c r="U299" s="29" t="n">
        <v>2015.0</v>
      </c>
      <c r="V299" s="30" t="inlineStr">
        <is>
          <t/>
        </is>
      </c>
      <c r="W299" s="31" t="inlineStr">
        <is>
          <t/>
        </is>
      </c>
      <c r="X299" s="32" t="inlineStr">
        <is>
          <t/>
        </is>
      </c>
      <c r="Y299" s="33" t="inlineStr">
        <is>
          <t/>
        </is>
      </c>
      <c r="Z299" s="34" t="inlineStr">
        <is>
          <t/>
        </is>
      </c>
      <c r="AA299" s="35" t="inlineStr">
        <is>
          <t/>
        </is>
      </c>
      <c r="AB299" s="36" t="inlineStr">
        <is>
          <t/>
        </is>
      </c>
      <c r="AC299" s="37" t="inlineStr">
        <is>
          <t/>
        </is>
      </c>
      <c r="AD299" s="38" t="inlineStr">
        <is>
          <t/>
        </is>
      </c>
      <c r="AE299" s="39" t="inlineStr">
        <is>
          <t>69797-17P</t>
        </is>
      </c>
      <c r="AF299" s="40" t="inlineStr">
        <is>
          <t>Charlie Mortimer</t>
        </is>
      </c>
      <c r="AG299" s="41" t="inlineStr">
        <is>
          <t>Co-Founder</t>
        </is>
      </c>
      <c r="AH299" s="42" t="inlineStr">
        <is>
          <t>charlie@moneyboxapp.com</t>
        </is>
      </c>
      <c r="AI299" s="43" t="inlineStr">
        <is>
          <t>+44 (0)33 0808 1866</t>
        </is>
      </c>
      <c r="AJ299" s="44" t="inlineStr">
        <is>
          <t>London, United Kingdom</t>
        </is>
      </c>
      <c r="AK299" s="45" t="inlineStr">
        <is>
          <t>1-2 Hatfields</t>
        </is>
      </c>
      <c r="AL299" s="46" t="inlineStr">
        <is>
          <t>Suite 1.07</t>
        </is>
      </c>
      <c r="AM299" s="47" t="inlineStr">
        <is>
          <t>London</t>
        </is>
      </c>
      <c r="AN299" s="48" t="inlineStr">
        <is>
          <t>England</t>
        </is>
      </c>
      <c r="AO299" s="49" t="inlineStr">
        <is>
          <t>SE1 9PG</t>
        </is>
      </c>
      <c r="AP299" s="50" t="inlineStr">
        <is>
          <t>United Kingdom</t>
        </is>
      </c>
      <c r="AQ299" s="51" t="inlineStr">
        <is>
          <t>+44 (0)33 0808 1866</t>
        </is>
      </c>
      <c r="AR299" s="52" t="inlineStr">
        <is>
          <t/>
        </is>
      </c>
      <c r="AS299" s="53" t="inlineStr">
        <is>
          <t>hello@moneyapp.com</t>
        </is>
      </c>
      <c r="AT299" s="54" t="inlineStr">
        <is>
          <t>Europe</t>
        </is>
      </c>
      <c r="AU299" s="55" t="inlineStr">
        <is>
          <t>Western Europe</t>
        </is>
      </c>
      <c r="AV299" s="56" t="inlineStr">
        <is>
          <t>The company raised GBP 4 million of venture funding from Oxford Capital Partners and other undisclosed investors on April 25, 2017.</t>
        </is>
      </c>
      <c r="AW299" s="57" t="inlineStr">
        <is>
          <t>Anthony Bolton, Financial Conduct Authority, Oxford Capital Partners, Paddy Power Betfair, Samos Investments</t>
        </is>
      </c>
      <c r="AX299" s="58" t="n">
        <v>5.0</v>
      </c>
      <c r="AY299" s="59" t="inlineStr">
        <is>
          <t/>
        </is>
      </c>
      <c r="AZ299" s="60" t="inlineStr">
        <is>
          <t/>
        </is>
      </c>
      <c r="BA299" s="61" t="inlineStr">
        <is>
          <t/>
        </is>
      </c>
      <c r="BB299" s="62" t="inlineStr">
        <is>
          <t>Financial Conduct Authority (fca.org.uk), Oxford Capital Partners (www.oxcp.com), Paddy Power Betfair (www.paddypowerbetfair.com), Samos Investments (www.samos.uk.com)</t>
        </is>
      </c>
      <c r="BC299" s="63" t="inlineStr">
        <is>
          <t/>
        </is>
      </c>
      <c r="BD299" s="64" t="inlineStr">
        <is>
          <t/>
        </is>
      </c>
      <c r="BE299" s="65" t="inlineStr">
        <is>
          <t/>
        </is>
      </c>
      <c r="BF299" s="66" t="inlineStr">
        <is>
          <t/>
        </is>
      </c>
      <c r="BG299" s="67" t="inlineStr">
        <is>
          <t/>
        </is>
      </c>
      <c r="BH299" s="68" t="inlineStr">
        <is>
          <t/>
        </is>
      </c>
      <c r="BI299" s="69" t="inlineStr">
        <is>
          <t/>
        </is>
      </c>
      <c r="BJ299" s="70" t="inlineStr">
        <is>
          <t/>
        </is>
      </c>
      <c r="BK299" s="71" t="inlineStr">
        <is>
          <t/>
        </is>
      </c>
      <c r="BL299" s="72" t="inlineStr">
        <is>
          <t>Accelerator/Incubator</t>
        </is>
      </c>
      <c r="BM299" s="73" t="inlineStr">
        <is>
          <t/>
        </is>
      </c>
      <c r="BN299" s="74" t="inlineStr">
        <is>
          <t/>
        </is>
      </c>
      <c r="BO299" s="75" t="inlineStr">
        <is>
          <t>Other</t>
        </is>
      </c>
      <c r="BP299" s="76" t="inlineStr">
        <is>
          <t/>
        </is>
      </c>
      <c r="BQ299" s="77" t="inlineStr">
        <is>
          <t/>
        </is>
      </c>
      <c r="BR299" s="78" t="inlineStr">
        <is>
          <t/>
        </is>
      </c>
      <c r="BS299" s="79" t="inlineStr">
        <is>
          <t>Completed</t>
        </is>
      </c>
      <c r="BT299" s="80" t="n">
        <v>42850.0</v>
      </c>
      <c r="BU299" s="81" t="n">
        <v>4.72</v>
      </c>
      <c r="BV299" s="82" t="inlineStr">
        <is>
          <t>Actual</t>
        </is>
      </c>
      <c r="BW299" s="83" t="inlineStr">
        <is>
          <t/>
        </is>
      </c>
      <c r="BX299" s="84" t="inlineStr">
        <is>
          <t/>
        </is>
      </c>
      <c r="BY299" s="85" t="inlineStr">
        <is>
          <t>Early Stage VC</t>
        </is>
      </c>
      <c r="BZ299" s="86" t="inlineStr">
        <is>
          <t/>
        </is>
      </c>
      <c r="CA299" s="87" t="inlineStr">
        <is>
          <t/>
        </is>
      </c>
      <c r="CB299" s="88" t="inlineStr">
        <is>
          <t>Venture Capital</t>
        </is>
      </c>
      <c r="CC299" s="89" t="inlineStr">
        <is>
          <t/>
        </is>
      </c>
      <c r="CD299" s="90" t="inlineStr">
        <is>
          <t/>
        </is>
      </c>
      <c r="CE299" s="91" t="inlineStr">
        <is>
          <t/>
        </is>
      </c>
      <c r="CF299" s="92" t="inlineStr">
        <is>
          <t>Completed</t>
        </is>
      </c>
      <c r="CG299" s="93" t="inlineStr">
        <is>
          <t>2,44%</t>
        </is>
      </c>
      <c r="CH299" s="94" t="inlineStr">
        <is>
          <t>95</t>
        </is>
      </c>
      <c r="CI299" s="95" t="inlineStr">
        <is>
          <t>-0,10%</t>
        </is>
      </c>
      <c r="CJ299" s="96" t="inlineStr">
        <is>
          <t>-3,99%</t>
        </is>
      </c>
      <c r="CK299" s="97" t="inlineStr">
        <is>
          <t>0,51%</t>
        </is>
      </c>
      <c r="CL299" s="98" t="inlineStr">
        <is>
          <t>84</t>
        </is>
      </c>
      <c r="CM299" s="99" t="inlineStr">
        <is>
          <t>4,37%</t>
        </is>
      </c>
      <c r="CN299" s="100" t="inlineStr">
        <is>
          <t>100</t>
        </is>
      </c>
      <c r="CO299" s="101" t="inlineStr">
        <is>
          <t>-0,47%</t>
        </is>
      </c>
      <c r="CP299" s="102" t="inlineStr">
        <is>
          <t>23</t>
        </is>
      </c>
      <c r="CQ299" s="103" t="inlineStr">
        <is>
          <t>1,50%</t>
        </is>
      </c>
      <c r="CR299" s="104" t="inlineStr">
        <is>
          <t>90</t>
        </is>
      </c>
      <c r="CS299" s="105" t="inlineStr">
        <is>
          <t>7,70%</t>
        </is>
      </c>
      <c r="CT299" s="106" t="inlineStr">
        <is>
          <t>100</t>
        </is>
      </c>
      <c r="CU299" s="107" t="inlineStr">
        <is>
          <t>1,05%</t>
        </is>
      </c>
      <c r="CV299" s="108" t="inlineStr">
        <is>
          <t>97</t>
        </is>
      </c>
      <c r="CW299" s="109" t="inlineStr">
        <is>
          <t>9,72x</t>
        </is>
      </c>
      <c r="CX299" s="110" t="inlineStr">
        <is>
          <t>86</t>
        </is>
      </c>
      <c r="CY299" s="111" t="inlineStr">
        <is>
          <t>0,19x</t>
        </is>
      </c>
      <c r="CZ299" s="112" t="inlineStr">
        <is>
          <t>1,95%</t>
        </is>
      </c>
      <c r="DA299" s="113" t="inlineStr">
        <is>
          <t>12,70x</t>
        </is>
      </c>
      <c r="DB299" s="114" t="inlineStr">
        <is>
          <t>89</t>
        </is>
      </c>
      <c r="DC299" s="115" t="inlineStr">
        <is>
          <t>6,73x</t>
        </is>
      </c>
      <c r="DD299" s="116" t="inlineStr">
        <is>
          <t>80</t>
        </is>
      </c>
      <c r="DE299" s="117" t="inlineStr">
        <is>
          <t>19,44x</t>
        </is>
      </c>
      <c r="DF299" s="118" t="inlineStr">
        <is>
          <t>88</t>
        </is>
      </c>
      <c r="DG299" s="119" t="inlineStr">
        <is>
          <t>5,97x</t>
        </is>
      </c>
      <c r="DH299" s="120" t="inlineStr">
        <is>
          <t>81</t>
        </is>
      </c>
      <c r="DI299" s="121" t="inlineStr">
        <is>
          <t>4,03x</t>
        </is>
      </c>
      <c r="DJ299" s="122" t="inlineStr">
        <is>
          <t>72</t>
        </is>
      </c>
      <c r="DK299" s="123" t="inlineStr">
        <is>
          <t>9,43x</t>
        </is>
      </c>
      <c r="DL299" s="124" t="inlineStr">
        <is>
          <t>86</t>
        </is>
      </c>
      <c r="DM299" s="125" t="inlineStr">
        <is>
          <t>12.053</t>
        </is>
      </c>
      <c r="DN299" s="126" t="inlineStr">
        <is>
          <t>-299</t>
        </is>
      </c>
      <c r="DO299" s="127" t="inlineStr">
        <is>
          <t>-2,42%</t>
        </is>
      </c>
      <c r="DP299" s="128" t="inlineStr">
        <is>
          <t>3.166</t>
        </is>
      </c>
      <c r="DQ299" s="129" t="inlineStr">
        <is>
          <t>114</t>
        </is>
      </c>
      <c r="DR299" s="130" t="inlineStr">
        <is>
          <t>3,74%</t>
        </is>
      </c>
      <c r="DS299" s="131" t="inlineStr">
        <is>
          <t>214</t>
        </is>
      </c>
      <c r="DT299" s="132" t="inlineStr">
        <is>
          <t>4</t>
        </is>
      </c>
      <c r="DU299" s="133" t="inlineStr">
        <is>
          <t>1,90%</t>
        </is>
      </c>
      <c r="DV299" s="134" t="inlineStr">
        <is>
          <t>3.226</t>
        </is>
      </c>
      <c r="DW299" s="135" t="inlineStr">
        <is>
          <t>33</t>
        </is>
      </c>
      <c r="DX299" s="136" t="inlineStr">
        <is>
          <t>1,03%</t>
        </is>
      </c>
      <c r="DY299" s="137" t="inlineStr">
        <is>
          <t>PitchBook Research</t>
        </is>
      </c>
      <c r="DZ299" s="785">
        <f>HYPERLINK("https://my.pitchbook.com?c=151333-39", "View company online")</f>
      </c>
    </row>
    <row r="300">
      <c r="A300" s="139" t="inlineStr">
        <is>
          <t>55069-39</t>
        </is>
      </c>
      <c r="B300" s="140" t="inlineStr">
        <is>
          <t>Monoqi</t>
        </is>
      </c>
      <c r="C300" s="141" t="inlineStr">
        <is>
          <t/>
        </is>
      </c>
      <c r="D300" s="142" t="inlineStr">
        <is>
          <t/>
        </is>
      </c>
      <c r="E300" s="143" t="inlineStr">
        <is>
          <t>55069-39</t>
        </is>
      </c>
      <c r="F300" s="144" t="inlineStr">
        <is>
          <t>Provider of an online shopping platform intended to offer hand-picked design products. The company's online furniture platform offers a curated selection of hard-to-find and limited-edition design products of furniture and home accessories by international interior, tech and accessory designers, enabling design brands and buyers to do business online.</t>
        </is>
      </c>
      <c r="G300" s="145" t="inlineStr">
        <is>
          <t>Consumer Products and Services (B2C)</t>
        </is>
      </c>
      <c r="H300" s="146" t="inlineStr">
        <is>
          <t>Consumer Durables</t>
        </is>
      </c>
      <c r="I300" s="147" t="inlineStr">
        <is>
          <t>Home Furnishings</t>
        </is>
      </c>
      <c r="J300" s="148" t="inlineStr">
        <is>
          <t>Home Furnishings*; Internet Retail; Social/Platform Software</t>
        </is>
      </c>
      <c r="K300" s="149" t="inlineStr">
        <is>
          <t>E-Commerce</t>
        </is>
      </c>
      <c r="L300" s="150" t="inlineStr">
        <is>
          <t>Venture Capital-Backed</t>
        </is>
      </c>
      <c r="M300" s="151" t="n">
        <v>18.25</v>
      </c>
      <c r="N300" s="152" t="inlineStr">
        <is>
          <t>Generating Revenue</t>
        </is>
      </c>
      <c r="O300" s="153" t="inlineStr">
        <is>
          <t>Privately Held (backing)</t>
        </is>
      </c>
      <c r="P300" s="154" t="inlineStr">
        <is>
          <t>Venture Capital</t>
        </is>
      </c>
      <c r="Q300" s="155" t="inlineStr">
        <is>
          <t>www.monoqi.com</t>
        </is>
      </c>
      <c r="R300" s="156" t="n">
        <v>100.0</v>
      </c>
      <c r="S300" s="157" t="inlineStr">
        <is>
          <t/>
        </is>
      </c>
      <c r="T300" s="158" t="inlineStr">
        <is>
          <t/>
        </is>
      </c>
      <c r="U300" s="159" t="n">
        <v>2012.0</v>
      </c>
      <c r="V300" s="160" t="inlineStr">
        <is>
          <t/>
        </is>
      </c>
      <c r="W300" s="161" t="inlineStr">
        <is>
          <t/>
        </is>
      </c>
      <c r="X300" s="162" t="inlineStr">
        <is>
          <t/>
        </is>
      </c>
      <c r="Y300" s="163" t="n">
        <v>23.00331</v>
      </c>
      <c r="Z300" s="164" t="inlineStr">
        <is>
          <t/>
        </is>
      </c>
      <c r="AA300" s="165" t="inlineStr">
        <is>
          <t/>
        </is>
      </c>
      <c r="AB300" s="166" t="inlineStr">
        <is>
          <t/>
        </is>
      </c>
      <c r="AC300" s="167" t="inlineStr">
        <is>
          <t/>
        </is>
      </c>
      <c r="AD300" s="168" t="inlineStr">
        <is>
          <t>FY 2016</t>
        </is>
      </c>
      <c r="AE300" s="169" t="inlineStr">
        <is>
          <t>47914-93P</t>
        </is>
      </c>
      <c r="AF300" s="170" t="inlineStr">
        <is>
          <t>Felix Schlegel</t>
        </is>
      </c>
      <c r="AG300" s="171" t="inlineStr">
        <is>
          <t>Co-Founder &amp; Managing Director</t>
        </is>
      </c>
      <c r="AH300" s="172" t="inlineStr">
        <is>
          <t/>
        </is>
      </c>
      <c r="AI300" s="173" t="inlineStr">
        <is>
          <t>+49 (0)30 2201 2147 0</t>
        </is>
      </c>
      <c r="AJ300" s="174" t="inlineStr">
        <is>
          <t>Berlin, Germany</t>
        </is>
      </c>
      <c r="AK300" s="175" t="inlineStr">
        <is>
          <t>Gormannstrasse 22</t>
        </is>
      </c>
      <c r="AL300" s="176" t="inlineStr">
        <is>
          <t/>
        </is>
      </c>
      <c r="AM300" s="177" t="inlineStr">
        <is>
          <t>Berlin</t>
        </is>
      </c>
      <c r="AN300" s="178" t="inlineStr">
        <is>
          <t/>
        </is>
      </c>
      <c r="AO300" s="179" t="inlineStr">
        <is>
          <t>10119</t>
        </is>
      </c>
      <c r="AP300" s="180" t="inlineStr">
        <is>
          <t>Germany</t>
        </is>
      </c>
      <c r="AQ300" s="181" t="inlineStr">
        <is>
          <t>+49 (0)30 2201 2147 0</t>
        </is>
      </c>
      <c r="AR300" s="182" t="inlineStr">
        <is>
          <t/>
        </is>
      </c>
      <c r="AS300" s="183" t="inlineStr">
        <is>
          <t>hello@monoqi.com</t>
        </is>
      </c>
      <c r="AT300" s="184" t="inlineStr">
        <is>
          <t>Europe</t>
        </is>
      </c>
      <c r="AU300" s="185" t="inlineStr">
        <is>
          <t>Western Europe</t>
        </is>
      </c>
      <c r="AV300" s="186" t="inlineStr">
        <is>
          <t>The comany raised EUR 15 million of Series C venture funding from lead investor Al Jazeera Al Hadina on June 1, 2017. The company will use the funding to expand into Middle East. EUR 5 million of the total funding will be used for a joint venture to be launched in Dubai and Riyadh.</t>
        </is>
      </c>
      <c r="AW300" s="187" t="inlineStr">
        <is>
          <t>Advance Venture Partners, Al Jazeera Al Hadina, Atlantic Labs, btov Partners, Christophe Maire, Condé Nast, Dario Suter, DCM - Film &amp; Startups (Corporate Venture Arm), Kite Ventures, Raffay</t>
        </is>
      </c>
      <c r="AX300" s="188" t="n">
        <v>10.0</v>
      </c>
      <c r="AY300" s="189" t="inlineStr">
        <is>
          <t/>
        </is>
      </c>
      <c r="AZ300" s="190" t="inlineStr">
        <is>
          <t>Hasso Plattner Ventures</t>
        </is>
      </c>
      <c r="BA300" s="191" t="inlineStr">
        <is>
          <t/>
        </is>
      </c>
      <c r="BB300" s="192" t="inlineStr">
        <is>
          <t>Advance Venture Partners (www.avpgrowth.com), Atlantic Labs (www.atlanticlabs.de), btov Partners (www.btov.vc), Condé Nast (www.condenast.com), Kite Ventures (www.kiteventures.com), Raffay (www.raffay.com)</t>
        </is>
      </c>
      <c r="BC300" s="193" t="inlineStr">
        <is>
          <t>Hasso Plattner Ventures (www.hp-ventures.com)</t>
        </is>
      </c>
      <c r="BD300" s="194" t="inlineStr">
        <is>
          <t/>
        </is>
      </c>
      <c r="BE300" s="195" t="inlineStr">
        <is>
          <t/>
        </is>
      </c>
      <c r="BF300" s="196" t="inlineStr">
        <is>
          <t>Davidson Technology Growth Debt</t>
        </is>
      </c>
      <c r="BG300" s="197" t="n">
        <v>41142.0</v>
      </c>
      <c r="BH300" s="198" t="inlineStr">
        <is>
          <t/>
        </is>
      </c>
      <c r="BI300" s="199" t="inlineStr">
        <is>
          <t/>
        </is>
      </c>
      <c r="BJ300" s="200" t="inlineStr">
        <is>
          <t/>
        </is>
      </c>
      <c r="BK300" s="201" t="inlineStr">
        <is>
          <t/>
        </is>
      </c>
      <c r="BL300" s="202" t="inlineStr">
        <is>
          <t>Early Stage VC</t>
        </is>
      </c>
      <c r="BM300" s="203" t="inlineStr">
        <is>
          <t/>
        </is>
      </c>
      <c r="BN300" s="204" t="inlineStr">
        <is>
          <t/>
        </is>
      </c>
      <c r="BO300" s="205" t="inlineStr">
        <is>
          <t>Venture Capital</t>
        </is>
      </c>
      <c r="BP300" s="206" t="inlineStr">
        <is>
          <t/>
        </is>
      </c>
      <c r="BQ300" s="207" t="inlineStr">
        <is>
          <t/>
        </is>
      </c>
      <c r="BR300" s="208" t="inlineStr">
        <is>
          <t/>
        </is>
      </c>
      <c r="BS300" s="209" t="inlineStr">
        <is>
          <t>Completed</t>
        </is>
      </c>
      <c r="BT300" s="210" t="n">
        <v>42887.0</v>
      </c>
      <c r="BU300" s="211" t="n">
        <v>15.0</v>
      </c>
      <c r="BV300" s="212" t="inlineStr">
        <is>
          <t>Actual</t>
        </is>
      </c>
      <c r="BW300" s="213" t="inlineStr">
        <is>
          <t/>
        </is>
      </c>
      <c r="BX300" s="214" t="inlineStr">
        <is>
          <t/>
        </is>
      </c>
      <c r="BY300" s="215" t="inlineStr">
        <is>
          <t>Later Stage VC</t>
        </is>
      </c>
      <c r="BZ300" s="216" t="inlineStr">
        <is>
          <t>Series C</t>
        </is>
      </c>
      <c r="CA300" s="217" t="inlineStr">
        <is>
          <t/>
        </is>
      </c>
      <c r="CB300" s="218" t="inlineStr">
        <is>
          <t>Venture Capital</t>
        </is>
      </c>
      <c r="CC300" s="219" t="inlineStr">
        <is>
          <t/>
        </is>
      </c>
      <c r="CD300" s="220" t="inlineStr">
        <is>
          <t/>
        </is>
      </c>
      <c r="CE300" s="221" t="inlineStr">
        <is>
          <t/>
        </is>
      </c>
      <c r="CF300" s="222" t="inlineStr">
        <is>
          <t>Completed</t>
        </is>
      </c>
      <c r="CG300" s="223" t="inlineStr">
        <is>
          <t>3,68%</t>
        </is>
      </c>
      <c r="CH300" s="224" t="inlineStr">
        <is>
          <t>97</t>
        </is>
      </c>
      <c r="CI300" s="225" t="inlineStr">
        <is>
          <t>-0,02%</t>
        </is>
      </c>
      <c r="CJ300" s="226" t="inlineStr">
        <is>
          <t>-0,47%</t>
        </is>
      </c>
      <c r="CK300" s="227" t="inlineStr">
        <is>
          <t>7,17%</t>
        </is>
      </c>
      <c r="CL300" s="228" t="inlineStr">
        <is>
          <t>98</t>
        </is>
      </c>
      <c r="CM300" s="229" t="inlineStr">
        <is>
          <t>0,19%</t>
        </is>
      </c>
      <c r="CN300" s="230" t="inlineStr">
        <is>
          <t>72</t>
        </is>
      </c>
      <c r="CO300" s="231" t="inlineStr">
        <is>
          <t>-4,60%</t>
        </is>
      </c>
      <c r="CP300" s="232" t="inlineStr">
        <is>
          <t>8</t>
        </is>
      </c>
      <c r="CQ300" s="233" t="inlineStr">
        <is>
          <t>18,94%</t>
        </is>
      </c>
      <c r="CR300" s="234" t="inlineStr">
        <is>
          <t>99</t>
        </is>
      </c>
      <c r="CS300" s="235" t="inlineStr">
        <is>
          <t>0,35%</t>
        </is>
      </c>
      <c r="CT300" s="236" t="inlineStr">
        <is>
          <t>81</t>
        </is>
      </c>
      <c r="CU300" s="237" t="inlineStr">
        <is>
          <t>0,03%</t>
        </is>
      </c>
      <c r="CV300" s="238" t="inlineStr">
        <is>
          <t>58</t>
        </is>
      </c>
      <c r="CW300" s="239" t="inlineStr">
        <is>
          <t>159,61x</t>
        </is>
      </c>
      <c r="CX300" s="240" t="inlineStr">
        <is>
          <t>98</t>
        </is>
      </c>
      <c r="CY300" s="241" t="inlineStr">
        <is>
          <t>2,51x</t>
        </is>
      </c>
      <c r="CZ300" s="242" t="inlineStr">
        <is>
          <t>1,60%</t>
        </is>
      </c>
      <c r="DA300" s="243" t="inlineStr">
        <is>
          <t>116,47x</t>
        </is>
      </c>
      <c r="DB300" s="244" t="inlineStr">
        <is>
          <t>98</t>
        </is>
      </c>
      <c r="DC300" s="245" t="inlineStr">
        <is>
          <t>202,76x</t>
        </is>
      </c>
      <c r="DD300" s="246" t="inlineStr">
        <is>
          <t>98</t>
        </is>
      </c>
      <c r="DE300" s="247" t="inlineStr">
        <is>
          <t>220,88x</t>
        </is>
      </c>
      <c r="DF300" s="248" t="inlineStr">
        <is>
          <t>98</t>
        </is>
      </c>
      <c r="DG300" s="249" t="inlineStr">
        <is>
          <t>12,06x</t>
        </is>
      </c>
      <c r="DH300" s="250" t="inlineStr">
        <is>
          <t>88</t>
        </is>
      </c>
      <c r="DI300" s="251" t="inlineStr">
        <is>
          <t>393,54x</t>
        </is>
      </c>
      <c r="DJ300" s="252" t="inlineStr">
        <is>
          <t>98</t>
        </is>
      </c>
      <c r="DK300" s="253" t="inlineStr">
        <is>
          <t>11,98x</t>
        </is>
      </c>
      <c r="DL300" s="254" t="inlineStr">
        <is>
          <t>88</t>
        </is>
      </c>
      <c r="DM300" s="255" t="inlineStr">
        <is>
          <t>137.509</t>
        </is>
      </c>
      <c r="DN300" s="256" t="inlineStr">
        <is>
          <t>-5.011</t>
        </is>
      </c>
      <c r="DO300" s="257" t="inlineStr">
        <is>
          <t>-3,52%</t>
        </is>
      </c>
      <c r="DP300" s="258" t="inlineStr">
        <is>
          <t>314.085</t>
        </is>
      </c>
      <c r="DQ300" s="259" t="inlineStr">
        <is>
          <t>1.083</t>
        </is>
      </c>
      <c r="DR300" s="260" t="inlineStr">
        <is>
          <t>0,35%</t>
        </is>
      </c>
      <c r="DS300" s="261" t="inlineStr">
        <is>
          <t>431</t>
        </is>
      </c>
      <c r="DT300" s="262" t="inlineStr">
        <is>
          <t>5</t>
        </is>
      </c>
      <c r="DU300" s="263" t="inlineStr">
        <is>
          <t>1,17%</t>
        </is>
      </c>
      <c r="DV300" s="264" t="inlineStr">
        <is>
          <t>4.109</t>
        </is>
      </c>
      <c r="DW300" s="265" t="inlineStr">
        <is>
          <t>-1</t>
        </is>
      </c>
      <c r="DX300" s="266" t="inlineStr">
        <is>
          <t>-0,02%</t>
        </is>
      </c>
      <c r="DY300" s="267" t="inlineStr">
        <is>
          <t>PitchBook Research</t>
        </is>
      </c>
      <c r="DZ300" s="786">
        <f>HYPERLINK("https://my.pitchbook.com?c=55069-39", "View company online")</f>
      </c>
    </row>
    <row r="301">
      <c r="A301" s="9" t="inlineStr">
        <is>
          <t>118978-21</t>
        </is>
      </c>
      <c r="B301" s="10" t="inlineStr">
        <is>
          <t>Monzo</t>
        </is>
      </c>
      <c r="C301" s="11" t="inlineStr">
        <is>
          <t>Mondo</t>
        </is>
      </c>
      <c r="D301" s="12" t="inlineStr">
        <is>
          <t/>
        </is>
      </c>
      <c r="E301" s="13" t="inlineStr">
        <is>
          <t>118978-21</t>
        </is>
      </c>
      <c r="F301" s="14" t="inlineStr">
        <is>
          <t>Developer of a banking application designed to make a bank as smart as a phone. The company's banking application uses smartphone technology to update balances instantly, give intelligent notifications and track day-to-day financial transactions without any usage fees, enabling consumers to get a graphical timeline of their overall expenditures.</t>
        </is>
      </c>
      <c r="G301" s="15" t="inlineStr">
        <is>
          <t>Information Technology</t>
        </is>
      </c>
      <c r="H301" s="16" t="inlineStr">
        <is>
          <t>Software</t>
        </is>
      </c>
      <c r="I301" s="17" t="inlineStr">
        <is>
          <t>Application Software</t>
        </is>
      </c>
      <c r="J301" s="18" t="inlineStr">
        <is>
          <t>Application Software*; Information Services (B2C)</t>
        </is>
      </c>
      <c r="K301" s="19" t="inlineStr">
        <is>
          <t>FinTech, Mobile</t>
        </is>
      </c>
      <c r="L301" s="20" t="inlineStr">
        <is>
          <t>Venture Capital-Backed</t>
        </is>
      </c>
      <c r="M301" s="21" t="n">
        <v>41.67</v>
      </c>
      <c r="N301" s="22" t="inlineStr">
        <is>
          <t>Product In Beta Test</t>
        </is>
      </c>
      <c r="O301" s="23" t="inlineStr">
        <is>
          <t>Privately Held (backing)</t>
        </is>
      </c>
      <c r="P301" s="24" t="inlineStr">
        <is>
          <t>Venture Capital</t>
        </is>
      </c>
      <c r="Q301" s="25" t="inlineStr">
        <is>
          <t>www.monzo.com</t>
        </is>
      </c>
      <c r="R301" s="26" t="n">
        <v>47.0</v>
      </c>
      <c r="S301" s="27" t="inlineStr">
        <is>
          <t/>
        </is>
      </c>
      <c r="T301" s="28" t="inlineStr">
        <is>
          <t/>
        </is>
      </c>
      <c r="U301" s="29" t="n">
        <v>2015.0</v>
      </c>
      <c r="V301" s="30" t="inlineStr">
        <is>
          <t/>
        </is>
      </c>
      <c r="W301" s="31" t="inlineStr">
        <is>
          <t/>
        </is>
      </c>
      <c r="X301" s="32" t="inlineStr">
        <is>
          <t/>
        </is>
      </c>
      <c r="Y301" s="33" t="n">
        <v>0.14083</v>
      </c>
      <c r="Z301" s="34" t="inlineStr">
        <is>
          <t/>
        </is>
      </c>
      <c r="AA301" s="35" t="n">
        <v>-7.83944</v>
      </c>
      <c r="AB301" s="36" t="inlineStr">
        <is>
          <t/>
        </is>
      </c>
      <c r="AC301" s="37" t="n">
        <v>-9.24772</v>
      </c>
      <c r="AD301" s="38" t="inlineStr">
        <is>
          <t>FY 2017</t>
        </is>
      </c>
      <c r="AE301" s="39" t="inlineStr">
        <is>
          <t>104849-11P</t>
        </is>
      </c>
      <c r="AF301" s="40" t="inlineStr">
        <is>
          <t>Gary Dolman</t>
        </is>
      </c>
      <c r="AG301" s="41" t="inlineStr">
        <is>
          <t>Chief Financial Officer &amp; Co-Founder</t>
        </is>
      </c>
      <c r="AH301" s="42" t="inlineStr">
        <is>
          <t>gary@getmondo.co.uk</t>
        </is>
      </c>
      <c r="AI301" s="43" t="inlineStr">
        <is>
          <t/>
        </is>
      </c>
      <c r="AJ301" s="44" t="inlineStr">
        <is>
          <t>London, United Kingdom</t>
        </is>
      </c>
      <c r="AK301" s="45" t="inlineStr">
        <is>
          <t>230 City Road</t>
        </is>
      </c>
      <c r="AL301" s="46" t="inlineStr">
        <is>
          <t/>
        </is>
      </c>
      <c r="AM301" s="47" t="inlineStr">
        <is>
          <t>London</t>
        </is>
      </c>
      <c r="AN301" s="48" t="inlineStr">
        <is>
          <t>England</t>
        </is>
      </c>
      <c r="AO301" s="49" t="inlineStr">
        <is>
          <t>EC1V 2QY</t>
        </is>
      </c>
      <c r="AP301" s="50" t="inlineStr">
        <is>
          <t>United Kingdom</t>
        </is>
      </c>
      <c r="AQ301" s="51" t="inlineStr">
        <is>
          <t/>
        </is>
      </c>
      <c r="AR301" s="52" t="inlineStr">
        <is>
          <t/>
        </is>
      </c>
      <c r="AS301" s="53" t="inlineStr">
        <is>
          <t>hello@getmondo.co.uk</t>
        </is>
      </c>
      <c r="AT301" s="54" t="inlineStr">
        <is>
          <t>Europe</t>
        </is>
      </c>
      <c r="AU301" s="55" t="inlineStr">
        <is>
          <t>Western Europe</t>
        </is>
      </c>
      <c r="AV301" s="56" t="inlineStr">
        <is>
          <t>The company raised GBP 22 million of Series B venture funding in a deal led by Thrive capital via RNIB and Crowdcube on February 22, 2017, putting the company's pre money valuation at GBP 65 million. Passion Capital and Orange Digital Ventures also participated in this round. The funding will go towards fulfilling the company's capital requirements for becoming a full bank and on expanding the business and the bank plans to double its current staff of 85 over the next year.</t>
        </is>
      </c>
      <c r="AW301" s="57" t="inlineStr">
        <is>
          <t>Blue Wire Capital, Orange Digital Ventures, Passion Capital, SoftBank Group, Thrive Capital, Tom Odell</t>
        </is>
      </c>
      <c r="AX301" s="58" t="n">
        <v>6.0</v>
      </c>
      <c r="AY301" s="59" t="inlineStr">
        <is>
          <t/>
        </is>
      </c>
      <c r="AZ301" s="60" t="inlineStr">
        <is>
          <t/>
        </is>
      </c>
      <c r="BA301" s="61" t="inlineStr">
        <is>
          <t/>
        </is>
      </c>
      <c r="BB301" s="62" t="inlineStr">
        <is>
          <t>Blue Wire Capital (bluewirecapital.com), Orange Digital Ventures (www.digitalventures.orange.com), Passion Capital (www.passioncapital.com), SoftBank Group (www.softbank.jp), Thrive Capital (www.thrivecap.com)</t>
        </is>
      </c>
      <c r="BC301" s="63" t="inlineStr">
        <is>
          <t/>
        </is>
      </c>
      <c r="BD301" s="64" t="inlineStr">
        <is>
          <t/>
        </is>
      </c>
      <c r="BE301" s="65" t="inlineStr">
        <is>
          <t>Bank of Scotland (General Business Banking), EY (Auditor), Upscale UK (Consulting), Taylor Wessing (Legal Advisor)</t>
        </is>
      </c>
      <c r="BF301" s="66" t="inlineStr">
        <is>
          <t>RNIB (Lead Manager or Arranger), Crowdcube (Lead Manager or Arranger)</t>
        </is>
      </c>
      <c r="BG301" s="67" t="n">
        <v>42185.0</v>
      </c>
      <c r="BH301" s="68" t="n">
        <v>2.78</v>
      </c>
      <c r="BI301" s="69" t="inlineStr">
        <is>
          <t>Actual</t>
        </is>
      </c>
      <c r="BJ301" s="70" t="n">
        <v>12.49</v>
      </c>
      <c r="BK301" s="71" t="inlineStr">
        <is>
          <t>Actual</t>
        </is>
      </c>
      <c r="BL301" s="72" t="inlineStr">
        <is>
          <t>Early Stage VC</t>
        </is>
      </c>
      <c r="BM301" s="73" t="inlineStr">
        <is>
          <t/>
        </is>
      </c>
      <c r="BN301" s="74" t="inlineStr">
        <is>
          <t/>
        </is>
      </c>
      <c r="BO301" s="75" t="inlineStr">
        <is>
          <t>Venture Capital</t>
        </is>
      </c>
      <c r="BP301" s="76" t="inlineStr">
        <is>
          <t/>
        </is>
      </c>
      <c r="BQ301" s="77" t="inlineStr">
        <is>
          <t/>
        </is>
      </c>
      <c r="BR301" s="78" t="inlineStr">
        <is>
          <t/>
        </is>
      </c>
      <c r="BS301" s="79" t="inlineStr">
        <is>
          <t>Completed</t>
        </is>
      </c>
      <c r="BT301" s="80" t="n">
        <v>42788.0</v>
      </c>
      <c r="BU301" s="81" t="n">
        <v>25.79</v>
      </c>
      <c r="BV301" s="82" t="inlineStr">
        <is>
          <t>Actual</t>
        </is>
      </c>
      <c r="BW301" s="83" t="n">
        <v>101.98</v>
      </c>
      <c r="BX301" s="84" t="inlineStr">
        <is>
          <t>Actual</t>
        </is>
      </c>
      <c r="BY301" s="85" t="inlineStr">
        <is>
          <t>Early Stage VC</t>
        </is>
      </c>
      <c r="BZ301" s="86" t="inlineStr">
        <is>
          <t>Series B</t>
        </is>
      </c>
      <c r="CA301" s="87" t="inlineStr">
        <is>
          <t/>
        </is>
      </c>
      <c r="CB301" s="88" t="inlineStr">
        <is>
          <t>Venture Capital</t>
        </is>
      </c>
      <c r="CC301" s="89" t="inlineStr">
        <is>
          <t/>
        </is>
      </c>
      <c r="CD301" s="90" t="inlineStr">
        <is>
          <t/>
        </is>
      </c>
      <c r="CE301" s="91" t="inlineStr">
        <is>
          <t/>
        </is>
      </c>
      <c r="CF301" s="92" t="inlineStr">
        <is>
          <t>Completed</t>
        </is>
      </c>
      <c r="CG301" s="93" t="inlineStr">
        <is>
          <t>0,95%</t>
        </is>
      </c>
      <c r="CH301" s="94" t="inlineStr">
        <is>
          <t>88</t>
        </is>
      </c>
      <c r="CI301" s="95" t="inlineStr">
        <is>
          <t>-0,03%</t>
        </is>
      </c>
      <c r="CJ301" s="96" t="inlineStr">
        <is>
          <t>-3,10%</t>
        </is>
      </c>
      <c r="CK301" s="97" t="inlineStr">
        <is>
          <t>0,44%</t>
        </is>
      </c>
      <c r="CL301" s="98" t="inlineStr">
        <is>
          <t>83</t>
        </is>
      </c>
      <c r="CM301" s="99" t="inlineStr">
        <is>
          <t>1,38%</t>
        </is>
      </c>
      <c r="CN301" s="100" t="inlineStr">
        <is>
          <t>97</t>
        </is>
      </c>
      <c r="CO301" s="101" t="inlineStr">
        <is>
          <t>0,88%</t>
        </is>
      </c>
      <c r="CP301" s="102" t="inlineStr">
        <is>
          <t>84</t>
        </is>
      </c>
      <c r="CQ301" s="103" t="inlineStr">
        <is>
          <t>0,00%</t>
        </is>
      </c>
      <c r="CR301" s="104" t="inlineStr">
        <is>
          <t>13</t>
        </is>
      </c>
      <c r="CS301" s="105" t="inlineStr">
        <is>
          <t>1,34%</t>
        </is>
      </c>
      <c r="CT301" s="106" t="inlineStr">
        <is>
          <t>96</t>
        </is>
      </c>
      <c r="CU301" s="107" t="inlineStr">
        <is>
          <t>1,41%</t>
        </is>
      </c>
      <c r="CV301" s="108" t="inlineStr">
        <is>
          <t>98</t>
        </is>
      </c>
      <c r="CW301" s="109" t="inlineStr">
        <is>
          <t>69,80x</t>
        </is>
      </c>
      <c r="CX301" s="110" t="inlineStr">
        <is>
          <t>97</t>
        </is>
      </c>
      <c r="CY301" s="111" t="inlineStr">
        <is>
          <t>0,69x</t>
        </is>
      </c>
      <c r="CZ301" s="112" t="inlineStr">
        <is>
          <t>1,00%</t>
        </is>
      </c>
      <c r="DA301" s="113" t="inlineStr">
        <is>
          <t>137,53x</t>
        </is>
      </c>
      <c r="DB301" s="114" t="inlineStr">
        <is>
          <t>98</t>
        </is>
      </c>
      <c r="DC301" s="115" t="inlineStr">
        <is>
          <t>71,60x</t>
        </is>
      </c>
      <c r="DD301" s="116" t="inlineStr">
        <is>
          <t>96</t>
        </is>
      </c>
      <c r="DE301" s="117" t="inlineStr">
        <is>
          <t>273,46x</t>
        </is>
      </c>
      <c r="DF301" s="118" t="inlineStr">
        <is>
          <t>98</t>
        </is>
      </c>
      <c r="DG301" s="119" t="inlineStr">
        <is>
          <t>1,61x</t>
        </is>
      </c>
      <c r="DH301" s="120" t="inlineStr">
        <is>
          <t>60</t>
        </is>
      </c>
      <c r="DI301" s="121" t="inlineStr">
        <is>
          <t>22,84x</t>
        </is>
      </c>
      <c r="DJ301" s="122" t="inlineStr">
        <is>
          <t>89</t>
        </is>
      </c>
      <c r="DK301" s="123" t="inlineStr">
        <is>
          <t>120,35x</t>
        </is>
      </c>
      <c r="DL301" s="124" t="inlineStr">
        <is>
          <t>98</t>
        </is>
      </c>
      <c r="DM301" s="125" t="inlineStr">
        <is>
          <t>168.939</t>
        </is>
      </c>
      <c r="DN301" s="126" t="inlineStr">
        <is>
          <t>-2.293</t>
        </is>
      </c>
      <c r="DO301" s="127" t="inlineStr">
        <is>
          <t>-1,34%</t>
        </is>
      </c>
      <c r="DP301" s="128" t="inlineStr">
        <is>
          <t>18.162</t>
        </is>
      </c>
      <c r="DQ301" s="129" t="inlineStr">
        <is>
          <t>185</t>
        </is>
      </c>
      <c r="DR301" s="130" t="inlineStr">
        <is>
          <t>1,03%</t>
        </is>
      </c>
      <c r="DS301" s="131" t="inlineStr">
        <is>
          <t>57</t>
        </is>
      </c>
      <c r="DT301" s="132" t="inlineStr">
        <is>
          <t>1</t>
        </is>
      </c>
      <c r="DU301" s="133" t="inlineStr">
        <is>
          <t>1,79%</t>
        </is>
      </c>
      <c r="DV301" s="134" t="inlineStr">
        <is>
          <t>41.132</t>
        </is>
      </c>
      <c r="DW301" s="135" t="inlineStr">
        <is>
          <t>405</t>
        </is>
      </c>
      <c r="DX301" s="136" t="inlineStr">
        <is>
          <t>0,99%</t>
        </is>
      </c>
      <c r="DY301" s="137" t="inlineStr">
        <is>
          <t>PitchBook Research</t>
        </is>
      </c>
      <c r="DZ301" s="785">
        <f>HYPERLINK("https://my.pitchbook.com?c=118978-21", "View company online")</f>
      </c>
    </row>
    <row r="302">
      <c r="A302" s="139" t="inlineStr">
        <is>
          <t>122936-14</t>
        </is>
      </c>
      <c r="B302" s="140" t="inlineStr">
        <is>
          <t>Move24</t>
        </is>
      </c>
      <c r="C302" s="141" t="inlineStr">
        <is>
          <t>Movago</t>
        </is>
      </c>
      <c r="D302" s="142" t="inlineStr">
        <is>
          <t/>
        </is>
      </c>
      <c r="E302" s="143" t="inlineStr">
        <is>
          <t>122936-14</t>
        </is>
      </c>
      <c r="F302" s="144" t="inlineStr">
        <is>
          <t>Provider of professional relocation services intended to reduce empty trips and unused transport volume. The company operates a removal service platform offering a wide range of services such as house clearance, mounting and demounting, piano transport and packing boxes, leveraging a self-learning routing algorithm to operate a professional moving service for both private and corporate customers.</t>
        </is>
      </c>
      <c r="G302" s="145" t="inlineStr">
        <is>
          <t>Business Products and Services (B2B)</t>
        </is>
      </c>
      <c r="H302" s="146" t="inlineStr">
        <is>
          <t>Commercial Services</t>
        </is>
      </c>
      <c r="I302" s="147" t="inlineStr">
        <is>
          <t>Logistics</t>
        </is>
      </c>
      <c r="J302" s="148" t="inlineStr">
        <is>
          <t>Logistics*; Other Services (B2C Non-Financial)</t>
        </is>
      </c>
      <c r="K302" s="149" t="inlineStr">
        <is>
          <t/>
        </is>
      </c>
      <c r="L302" s="150" t="inlineStr">
        <is>
          <t>Venture Capital-Backed</t>
        </is>
      </c>
      <c r="M302" s="151" t="n">
        <v>35.6</v>
      </c>
      <c r="N302" s="152" t="inlineStr">
        <is>
          <t>Generating Revenue</t>
        </is>
      </c>
      <c r="O302" s="153" t="inlineStr">
        <is>
          <t>Privately Held (backing)</t>
        </is>
      </c>
      <c r="P302" s="154" t="inlineStr">
        <is>
          <t>Venture Capital</t>
        </is>
      </c>
      <c r="Q302" s="155" t="inlineStr">
        <is>
          <t>www.move24.com</t>
        </is>
      </c>
      <c r="R302" s="156" t="n">
        <v>100.0</v>
      </c>
      <c r="S302" s="157" t="inlineStr">
        <is>
          <t/>
        </is>
      </c>
      <c r="T302" s="158" t="inlineStr">
        <is>
          <t/>
        </is>
      </c>
      <c r="U302" s="159" t="n">
        <v>2015.0</v>
      </c>
      <c r="V302" s="160" t="inlineStr">
        <is>
          <t/>
        </is>
      </c>
      <c r="W302" s="161" t="inlineStr">
        <is>
          <t/>
        </is>
      </c>
      <c r="X302" s="162" t="inlineStr">
        <is>
          <t/>
        </is>
      </c>
      <c r="Y302" s="163" t="inlineStr">
        <is>
          <t/>
        </is>
      </c>
      <c r="Z302" s="164" t="inlineStr">
        <is>
          <t/>
        </is>
      </c>
      <c r="AA302" s="165" t="inlineStr">
        <is>
          <t/>
        </is>
      </c>
      <c r="AB302" s="166" t="inlineStr">
        <is>
          <t/>
        </is>
      </c>
      <c r="AC302" s="167" t="inlineStr">
        <is>
          <t/>
        </is>
      </c>
      <c r="AD302" s="168" t="inlineStr">
        <is>
          <t/>
        </is>
      </c>
      <c r="AE302" s="169" t="inlineStr">
        <is>
          <t>120659-77P</t>
        </is>
      </c>
      <c r="AF302" s="170" t="inlineStr">
        <is>
          <t>Carsten Bild</t>
        </is>
      </c>
      <c r="AG302" s="171" t="inlineStr">
        <is>
          <t>Co-Founder &amp; Managing Director</t>
        </is>
      </c>
      <c r="AH302" s="172" t="inlineStr">
        <is>
          <t/>
        </is>
      </c>
      <c r="AI302" s="173" t="inlineStr">
        <is>
          <t>+49 (0)44 2036 9511 01</t>
        </is>
      </c>
      <c r="AJ302" s="174" t="inlineStr">
        <is>
          <t>Berlin, Germany</t>
        </is>
      </c>
      <c r="AK302" s="175" t="inlineStr">
        <is>
          <t>Chausseestraße 86</t>
        </is>
      </c>
      <c r="AL302" s="176" t="inlineStr">
        <is>
          <t/>
        </is>
      </c>
      <c r="AM302" s="177" t="inlineStr">
        <is>
          <t>Berlin</t>
        </is>
      </c>
      <c r="AN302" s="178" t="inlineStr">
        <is>
          <t/>
        </is>
      </c>
      <c r="AO302" s="179" t="inlineStr">
        <is>
          <t>10115</t>
        </is>
      </c>
      <c r="AP302" s="180" t="inlineStr">
        <is>
          <t>Germany</t>
        </is>
      </c>
      <c r="AQ302" s="181" t="inlineStr">
        <is>
          <t>+49 (0)44 2036 9511 01</t>
        </is>
      </c>
      <c r="AR302" s="182" t="inlineStr">
        <is>
          <t>+49 (0)30 5557 4298 7</t>
        </is>
      </c>
      <c r="AS302" s="183" t="inlineStr">
        <is>
          <t/>
        </is>
      </c>
      <c r="AT302" s="184" t="inlineStr">
        <is>
          <t>Europe</t>
        </is>
      </c>
      <c r="AU302" s="185" t="inlineStr">
        <is>
          <t>Western Europe</t>
        </is>
      </c>
      <c r="AV302" s="186" t="inlineStr">
        <is>
          <t>The company raised EUR 13 million of Series C venture funding in a deal led by Innogy Venture Capital on May 5, 2017. Holtzbrinck Ventures, DN Capital, Piton Capital and Cherry Ventures. also participated in the round. The company intends to use the funds to offer more services connected with relocation, such as electricity contracts.</t>
        </is>
      </c>
      <c r="AW302" s="187" t="inlineStr">
        <is>
          <t>Cherry Ventures Management, Christian Bertemann, Christopher Muhr, DN Capital, Hakan Koc, Holtzbrinck Ventures, Innogy Venture Capital, Philipp Magin, Piton Capital, Ronny Lange</t>
        </is>
      </c>
      <c r="AX302" s="188" t="n">
        <v>10.0</v>
      </c>
      <c r="AY302" s="189" t="inlineStr">
        <is>
          <t/>
        </is>
      </c>
      <c r="AZ302" s="190" t="inlineStr">
        <is>
          <t/>
        </is>
      </c>
      <c r="BA302" s="191" t="inlineStr">
        <is>
          <t/>
        </is>
      </c>
      <c r="BB302" s="192" t="inlineStr">
        <is>
          <t>Cherry Ventures Management (cherry.vc), DN Capital (www.dncapital.com), Holtzbrinck Ventures (www.holtzbrinck-ventures.com), Innogy Venture Capital (www.innogy-ventures.com), Piton Capital (www.pitoncap.com)</t>
        </is>
      </c>
      <c r="BC302" s="193" t="inlineStr">
        <is>
          <t/>
        </is>
      </c>
      <c r="BD302" s="194" t="inlineStr">
        <is>
          <t/>
        </is>
      </c>
      <c r="BE302" s="195" t="inlineStr">
        <is>
          <t/>
        </is>
      </c>
      <c r="BF302" s="196" t="inlineStr">
        <is>
          <t/>
        </is>
      </c>
      <c r="BG302" s="197" t="n">
        <v>42244.0</v>
      </c>
      <c r="BH302" s="198" t="n">
        <v>2.6</v>
      </c>
      <c r="BI302" s="199" t="inlineStr">
        <is>
          <t>Actual</t>
        </is>
      </c>
      <c r="BJ302" s="200" t="inlineStr">
        <is>
          <t/>
        </is>
      </c>
      <c r="BK302" s="201" t="inlineStr">
        <is>
          <t/>
        </is>
      </c>
      <c r="BL302" s="202" t="inlineStr">
        <is>
          <t>Seed Round</t>
        </is>
      </c>
      <c r="BM302" s="203" t="inlineStr">
        <is>
          <t>Seed</t>
        </is>
      </c>
      <c r="BN302" s="204" t="inlineStr">
        <is>
          <t/>
        </is>
      </c>
      <c r="BO302" s="205" t="inlineStr">
        <is>
          <t>Venture Capital</t>
        </is>
      </c>
      <c r="BP302" s="206" t="inlineStr">
        <is>
          <t/>
        </is>
      </c>
      <c r="BQ302" s="207" t="inlineStr">
        <is>
          <t/>
        </is>
      </c>
      <c r="BR302" s="208" t="inlineStr">
        <is>
          <t/>
        </is>
      </c>
      <c r="BS302" s="209" t="inlineStr">
        <is>
          <t>Completed</t>
        </is>
      </c>
      <c r="BT302" s="210" t="n">
        <v>42860.0</v>
      </c>
      <c r="BU302" s="211" t="n">
        <v>13.0</v>
      </c>
      <c r="BV302" s="212" t="inlineStr">
        <is>
          <t>Actual</t>
        </is>
      </c>
      <c r="BW302" s="213" t="inlineStr">
        <is>
          <t/>
        </is>
      </c>
      <c r="BX302" s="214" t="inlineStr">
        <is>
          <t/>
        </is>
      </c>
      <c r="BY302" s="215" t="inlineStr">
        <is>
          <t>Later Stage VC</t>
        </is>
      </c>
      <c r="BZ302" s="216" t="inlineStr">
        <is>
          <t>Series C</t>
        </is>
      </c>
      <c r="CA302" s="217" t="inlineStr">
        <is>
          <t/>
        </is>
      </c>
      <c r="CB302" s="218" t="inlineStr">
        <is>
          <t>Venture Capital</t>
        </is>
      </c>
      <c r="CC302" s="219" t="inlineStr">
        <is>
          <t/>
        </is>
      </c>
      <c r="CD302" s="220" t="inlineStr">
        <is>
          <t/>
        </is>
      </c>
      <c r="CE302" s="221" t="inlineStr">
        <is>
          <t/>
        </is>
      </c>
      <c r="CF302" s="222" t="inlineStr">
        <is>
          <t>Completed</t>
        </is>
      </c>
      <c r="CG302" s="223" t="inlineStr">
        <is>
          <t>2,26%</t>
        </is>
      </c>
      <c r="CH302" s="224" t="inlineStr">
        <is>
          <t>94</t>
        </is>
      </c>
      <c r="CI302" s="225" t="inlineStr">
        <is>
          <t>0,00%</t>
        </is>
      </c>
      <c r="CJ302" s="226" t="inlineStr">
        <is>
          <t>-0,08%</t>
        </is>
      </c>
      <c r="CK302" s="227" t="inlineStr">
        <is>
          <t>4,48%</t>
        </is>
      </c>
      <c r="CL302" s="228" t="inlineStr">
        <is>
          <t>96</t>
        </is>
      </c>
      <c r="CM302" s="229" t="inlineStr">
        <is>
          <t>0,04%</t>
        </is>
      </c>
      <c r="CN302" s="230" t="inlineStr">
        <is>
          <t>50</t>
        </is>
      </c>
      <c r="CO302" s="231" t="inlineStr">
        <is>
          <t>4,48%</t>
        </is>
      </c>
      <c r="CP302" s="232" t="inlineStr">
        <is>
          <t>95</t>
        </is>
      </c>
      <c r="CQ302" s="233" t="inlineStr">
        <is>
          <t/>
        </is>
      </c>
      <c r="CR302" s="234" t="inlineStr">
        <is>
          <t/>
        </is>
      </c>
      <c r="CS302" s="235" t="inlineStr">
        <is>
          <t>0,04%</t>
        </is>
      </c>
      <c r="CT302" s="236" t="inlineStr">
        <is>
          <t>47</t>
        </is>
      </c>
      <c r="CU302" s="237" t="inlineStr">
        <is>
          <t/>
        </is>
      </c>
      <c r="CV302" s="238" t="inlineStr">
        <is>
          <t/>
        </is>
      </c>
      <c r="CW302" s="239" t="inlineStr">
        <is>
          <t>21,80x</t>
        </is>
      </c>
      <c r="CX302" s="240" t="inlineStr">
        <is>
          <t>92</t>
        </is>
      </c>
      <c r="CY302" s="241" t="inlineStr">
        <is>
          <t>0,05x</t>
        </is>
      </c>
      <c r="CZ302" s="242" t="inlineStr">
        <is>
          <t>0,22%</t>
        </is>
      </c>
      <c r="DA302" s="243" t="inlineStr">
        <is>
          <t>38,98x</t>
        </is>
      </c>
      <c r="DB302" s="244" t="inlineStr">
        <is>
          <t>95</t>
        </is>
      </c>
      <c r="DC302" s="245" t="inlineStr">
        <is>
          <t>4,63x</t>
        </is>
      </c>
      <c r="DD302" s="246" t="inlineStr">
        <is>
          <t>75</t>
        </is>
      </c>
      <c r="DE302" s="247" t="inlineStr">
        <is>
          <t>38,98x</t>
        </is>
      </c>
      <c r="DF302" s="248" t="inlineStr">
        <is>
          <t>92</t>
        </is>
      </c>
      <c r="DG302" s="249" t="inlineStr">
        <is>
          <t/>
        </is>
      </c>
      <c r="DH302" s="250" t="inlineStr">
        <is>
          <t/>
        </is>
      </c>
      <c r="DI302" s="251" t="inlineStr">
        <is>
          <t>4,63x</t>
        </is>
      </c>
      <c r="DJ302" s="252" t="inlineStr">
        <is>
          <t>74</t>
        </is>
      </c>
      <c r="DK302" s="253" t="inlineStr">
        <is>
          <t/>
        </is>
      </c>
      <c r="DL302" s="254" t="inlineStr">
        <is>
          <t/>
        </is>
      </c>
      <c r="DM302" s="255" t="inlineStr">
        <is>
          <t>23.767</t>
        </is>
      </c>
      <c r="DN302" s="256" t="inlineStr">
        <is>
          <t>612</t>
        </is>
      </c>
      <c r="DO302" s="257" t="inlineStr">
        <is>
          <t>2,64%</t>
        </is>
      </c>
      <c r="DP302" s="258" t="inlineStr">
        <is>
          <t>3.700</t>
        </is>
      </c>
      <c r="DQ302" s="259" t="inlineStr">
        <is>
          <t>1</t>
        </is>
      </c>
      <c r="DR302" s="260" t="inlineStr">
        <is>
          <t>0,03%</t>
        </is>
      </c>
      <c r="DS302" s="261" t="inlineStr">
        <is>
          <t/>
        </is>
      </c>
      <c r="DT302" s="262" t="inlineStr">
        <is>
          <t/>
        </is>
      </c>
      <c r="DU302" s="263" t="inlineStr">
        <is>
          <t/>
        </is>
      </c>
      <c r="DV302" s="264" t="inlineStr">
        <is>
          <t/>
        </is>
      </c>
      <c r="DW302" s="265" t="inlineStr">
        <is>
          <t/>
        </is>
      </c>
      <c r="DX302" s="266" t="inlineStr">
        <is>
          <t/>
        </is>
      </c>
      <c r="DY302" s="267" t="inlineStr">
        <is>
          <t>PitchBook Research</t>
        </is>
      </c>
      <c r="DZ302" s="786">
        <f>HYPERLINK("https://my.pitchbook.com?c=122936-14", "View company online")</f>
      </c>
    </row>
    <row r="303">
      <c r="A303" s="9" t="inlineStr">
        <is>
          <t>122849-92</t>
        </is>
      </c>
      <c r="B303" s="10" t="inlineStr">
        <is>
          <t>Movinga</t>
        </is>
      </c>
      <c r="C303" s="11" t="inlineStr">
        <is>
          <t/>
        </is>
      </c>
      <c r="D303" s="12" t="inlineStr">
        <is>
          <t/>
        </is>
      </c>
      <c r="E303" s="13" t="inlineStr">
        <is>
          <t>122849-92</t>
        </is>
      </c>
      <c r="F303" s="14" t="inlineStr">
        <is>
          <t>Provider of relocation services. The company develops an online platform enabling users to secure transportation and logistics services for moving their belongings.</t>
        </is>
      </c>
      <c r="G303" s="15" t="inlineStr">
        <is>
          <t>Business Products and Services (B2B)</t>
        </is>
      </c>
      <c r="H303" s="16" t="inlineStr">
        <is>
          <t>Commercial Services</t>
        </is>
      </c>
      <c r="I303" s="17" t="inlineStr">
        <is>
          <t>Logistics</t>
        </is>
      </c>
      <c r="J303" s="18" t="inlineStr">
        <is>
          <t>Logistics*; Social/Platform Software</t>
        </is>
      </c>
      <c r="K303" s="19" t="inlineStr">
        <is>
          <t/>
        </is>
      </c>
      <c r="L303" s="20" t="inlineStr">
        <is>
          <t>Venture Capital-Backed</t>
        </is>
      </c>
      <c r="M303" s="21" t="n">
        <v>46.0</v>
      </c>
      <c r="N303" s="22" t="inlineStr">
        <is>
          <t>Startup</t>
        </is>
      </c>
      <c r="O303" s="23" t="inlineStr">
        <is>
          <t>Privately Held (backing)</t>
        </is>
      </c>
      <c r="P303" s="24" t="inlineStr">
        <is>
          <t>Venture Capital</t>
        </is>
      </c>
      <c r="Q303" s="25" t="inlineStr">
        <is>
          <t>www.movinga.de</t>
        </is>
      </c>
      <c r="R303" s="26" t="n">
        <v>500.0</v>
      </c>
      <c r="S303" s="27" t="inlineStr">
        <is>
          <t/>
        </is>
      </c>
      <c r="T303" s="28" t="inlineStr">
        <is>
          <t/>
        </is>
      </c>
      <c r="U303" s="29" t="n">
        <v>2015.0</v>
      </c>
      <c r="V303" s="30" t="inlineStr">
        <is>
          <t/>
        </is>
      </c>
      <c r="W303" s="31" t="inlineStr">
        <is>
          <t/>
        </is>
      </c>
      <c r="X303" s="32" t="inlineStr">
        <is>
          <t/>
        </is>
      </c>
      <c r="Y303" s="33" t="inlineStr">
        <is>
          <t/>
        </is>
      </c>
      <c r="Z303" s="34" t="inlineStr">
        <is>
          <t/>
        </is>
      </c>
      <c r="AA303" s="35" t="inlineStr">
        <is>
          <t/>
        </is>
      </c>
      <c r="AB303" s="36" t="inlineStr">
        <is>
          <t/>
        </is>
      </c>
      <c r="AC303" s="37" t="inlineStr">
        <is>
          <t/>
        </is>
      </c>
      <c r="AD303" s="38" t="inlineStr">
        <is>
          <t/>
        </is>
      </c>
      <c r="AE303" s="39" t="inlineStr">
        <is>
          <t/>
        </is>
      </c>
      <c r="AF303" s="40" t="inlineStr">
        <is>
          <t/>
        </is>
      </c>
      <c r="AG303" s="41" t="inlineStr">
        <is>
          <t/>
        </is>
      </c>
      <c r="AH303" s="42" t="inlineStr">
        <is>
          <t/>
        </is>
      </c>
      <c r="AI303" s="43" t="inlineStr">
        <is>
          <t/>
        </is>
      </c>
      <c r="AJ303" s="44" t="inlineStr">
        <is>
          <t>Berlin, Germany</t>
        </is>
      </c>
      <c r="AK303" s="45" t="inlineStr">
        <is>
          <t>Sonnenburger Straße 73</t>
        </is>
      </c>
      <c r="AL303" s="46" t="inlineStr">
        <is>
          <t/>
        </is>
      </c>
      <c r="AM303" s="47" t="inlineStr">
        <is>
          <t>Berlin</t>
        </is>
      </c>
      <c r="AN303" s="48" t="inlineStr">
        <is>
          <t/>
        </is>
      </c>
      <c r="AO303" s="49" t="inlineStr">
        <is>
          <t>10437</t>
        </is>
      </c>
      <c r="AP303" s="50" t="inlineStr">
        <is>
          <t>Germany</t>
        </is>
      </c>
      <c r="AQ303" s="51" t="inlineStr">
        <is>
          <t>+49 (0)30 2219 5022</t>
        </is>
      </c>
      <c r="AR303" s="52" t="inlineStr">
        <is>
          <t/>
        </is>
      </c>
      <c r="AS303" s="53" t="inlineStr">
        <is>
          <t>info@movinga.de</t>
        </is>
      </c>
      <c r="AT303" s="54" t="inlineStr">
        <is>
          <t>Europe</t>
        </is>
      </c>
      <c r="AU303" s="55" t="inlineStr">
        <is>
          <t>Western Europe</t>
        </is>
      </c>
      <c r="AV303" s="56" t="inlineStr">
        <is>
          <t>The company raised EUR 17 million of Series C venture funding from Earlybird Venture Capital, Global Founders Capital and STS Ventures on December 8, 2016. Jan Kemper, Carlo Kölzer and Gert Purkert also participated in the round. Previously the company raised $25 million of Series B venture funding in a deal led by Index Ventures on January 4, 2016. Earlybird Venture Capital, Florian Heinemann, Christian Vollmann, Philipp Kreibohm, Global Founders Capital, STS Ventures, David Khalil, Lukas Brosseder, Marco Vietor, Heilemann Ventures, Tim Marbach and other undisclosed angel investors also participated.</t>
        </is>
      </c>
      <c r="AW303" s="57" t="inlineStr">
        <is>
          <t>Carlo Kolzer, Christian Vollmann, David Khalil, Earlybird Venture Capital, Florian Heinemann, Gert Purkert, Global Founders Capital, Heilemann Ventures, Index Ventures (UK), Jan Kemper, Lukas Brosseder, Marco Vietor, Philipp Kreibohm, STS Ventures, Tim Marbach</t>
        </is>
      </c>
      <c r="AX303" s="58" t="n">
        <v>15.0</v>
      </c>
      <c r="AY303" s="59" t="inlineStr">
        <is>
          <t/>
        </is>
      </c>
      <c r="AZ303" s="60" t="inlineStr">
        <is>
          <t/>
        </is>
      </c>
      <c r="BA303" s="61" t="inlineStr">
        <is>
          <t/>
        </is>
      </c>
      <c r="BB303" s="62" t="inlineStr">
        <is>
          <t>Earlybird Venture Capital (www.earlybird.com), Global Founders Capital (www.globalfounders.vc), Heilemann Ventures (www.heilemann-ventures.com), Index Ventures (UK) (www.indexventures.com), STS Ventures (www.sts-ventures.de)</t>
        </is>
      </c>
      <c r="BC303" s="63" t="inlineStr">
        <is>
          <t/>
        </is>
      </c>
      <c r="BD303" s="64" t="inlineStr">
        <is>
          <t/>
        </is>
      </c>
      <c r="BE303" s="65" t="inlineStr">
        <is>
          <t>Morrison &amp; Foerster (Legal Advisor)</t>
        </is>
      </c>
      <c r="BF303" s="66" t="inlineStr">
        <is>
          <t>Morrison &amp; Foerster (Legal Advisor), P+P Pöllath + Partners (Legal Advisor)</t>
        </is>
      </c>
      <c r="BG303" s="67" t="n">
        <v>42242.0</v>
      </c>
      <c r="BH303" s="68" t="n">
        <v>6.0</v>
      </c>
      <c r="BI303" s="69" t="inlineStr">
        <is>
          <t>Actual</t>
        </is>
      </c>
      <c r="BJ303" s="70" t="inlineStr">
        <is>
          <t/>
        </is>
      </c>
      <c r="BK303" s="71" t="inlineStr">
        <is>
          <t/>
        </is>
      </c>
      <c r="BL303" s="72" t="inlineStr">
        <is>
          <t>Early Stage VC</t>
        </is>
      </c>
      <c r="BM303" s="73" t="inlineStr">
        <is>
          <t/>
        </is>
      </c>
      <c r="BN303" s="74" t="inlineStr">
        <is>
          <t/>
        </is>
      </c>
      <c r="BO303" s="75" t="inlineStr">
        <is>
          <t>Venture Capital</t>
        </is>
      </c>
      <c r="BP303" s="76" t="inlineStr">
        <is>
          <t/>
        </is>
      </c>
      <c r="BQ303" s="77" t="inlineStr">
        <is>
          <t/>
        </is>
      </c>
      <c r="BR303" s="78" t="inlineStr">
        <is>
          <t/>
        </is>
      </c>
      <c r="BS303" s="79" t="inlineStr">
        <is>
          <t>Completed</t>
        </is>
      </c>
      <c r="BT303" s="80" t="n">
        <v>42712.0</v>
      </c>
      <c r="BU303" s="81" t="n">
        <v>17.0</v>
      </c>
      <c r="BV303" s="82" t="inlineStr">
        <is>
          <t>Actual</t>
        </is>
      </c>
      <c r="BW303" s="83" t="inlineStr">
        <is>
          <t/>
        </is>
      </c>
      <c r="BX303" s="84" t="inlineStr">
        <is>
          <t/>
        </is>
      </c>
      <c r="BY303" s="85" t="inlineStr">
        <is>
          <t>Later Stage VC</t>
        </is>
      </c>
      <c r="BZ303" s="86" t="inlineStr">
        <is>
          <t>Series C</t>
        </is>
      </c>
      <c r="CA303" s="87" t="inlineStr">
        <is>
          <t/>
        </is>
      </c>
      <c r="CB303" s="88" t="inlineStr">
        <is>
          <t>Venture Capital</t>
        </is>
      </c>
      <c r="CC303" s="89" t="inlineStr">
        <is>
          <t/>
        </is>
      </c>
      <c r="CD303" s="90" t="inlineStr">
        <is>
          <t/>
        </is>
      </c>
      <c r="CE303" s="91" t="inlineStr">
        <is>
          <t/>
        </is>
      </c>
      <c r="CF303" s="92" t="inlineStr">
        <is>
          <t>Completed</t>
        </is>
      </c>
      <c r="CG303" s="93" t="inlineStr">
        <is>
          <t>2,44%</t>
        </is>
      </c>
      <c r="CH303" s="94" t="inlineStr">
        <is>
          <t>95</t>
        </is>
      </c>
      <c r="CI303" s="95" t="inlineStr">
        <is>
          <t>1,06%</t>
        </is>
      </c>
      <c r="CJ303" s="96" t="inlineStr">
        <is>
          <t>77,20%</t>
        </is>
      </c>
      <c r="CK303" s="97" t="inlineStr">
        <is>
          <t>0,29%</t>
        </is>
      </c>
      <c r="CL303" s="98" t="inlineStr">
        <is>
          <t>82</t>
        </is>
      </c>
      <c r="CM303" s="99" t="inlineStr">
        <is>
          <t>4,60%</t>
        </is>
      </c>
      <c r="CN303" s="100" t="inlineStr">
        <is>
          <t>100</t>
        </is>
      </c>
      <c r="CO303" s="101" t="inlineStr">
        <is>
          <t>0,18%</t>
        </is>
      </c>
      <c r="CP303" s="102" t="inlineStr">
        <is>
          <t>80</t>
        </is>
      </c>
      <c r="CQ303" s="103" t="inlineStr">
        <is>
          <t>0,39%</t>
        </is>
      </c>
      <c r="CR303" s="104" t="inlineStr">
        <is>
          <t>85</t>
        </is>
      </c>
      <c r="CS303" s="105" t="inlineStr">
        <is>
          <t>-0,05%</t>
        </is>
      </c>
      <c r="CT303" s="106" t="inlineStr">
        <is>
          <t>6</t>
        </is>
      </c>
      <c r="CU303" s="107" t="inlineStr">
        <is>
          <t>9,25%</t>
        </is>
      </c>
      <c r="CV303" s="108" t="inlineStr">
        <is>
          <t>100</t>
        </is>
      </c>
      <c r="CW303" s="109" t="inlineStr">
        <is>
          <t>14,04x</t>
        </is>
      </c>
      <c r="CX303" s="110" t="inlineStr">
        <is>
          <t>89</t>
        </is>
      </c>
      <c r="CY303" s="111" t="inlineStr">
        <is>
          <t>0,25x</t>
        </is>
      </c>
      <c r="CZ303" s="112" t="inlineStr">
        <is>
          <t>1,79%</t>
        </is>
      </c>
      <c r="DA303" s="113" t="inlineStr">
        <is>
          <t>20,41x</t>
        </is>
      </c>
      <c r="DB303" s="114" t="inlineStr">
        <is>
          <t>92</t>
        </is>
      </c>
      <c r="DC303" s="115" t="inlineStr">
        <is>
          <t>7,67x</t>
        </is>
      </c>
      <c r="DD303" s="116" t="inlineStr">
        <is>
          <t>81</t>
        </is>
      </c>
      <c r="DE303" s="117" t="inlineStr">
        <is>
          <t>28,02x</t>
        </is>
      </c>
      <c r="DF303" s="118" t="inlineStr">
        <is>
          <t>91</t>
        </is>
      </c>
      <c r="DG303" s="119" t="inlineStr">
        <is>
          <t>12,81x</t>
        </is>
      </c>
      <c r="DH303" s="120" t="inlineStr">
        <is>
          <t>89</t>
        </is>
      </c>
      <c r="DI303" s="121" t="inlineStr">
        <is>
          <t>13,65x</t>
        </is>
      </c>
      <c r="DJ303" s="122" t="inlineStr">
        <is>
          <t>85</t>
        </is>
      </c>
      <c r="DK303" s="123" t="inlineStr">
        <is>
          <t>1,70x</t>
        </is>
      </c>
      <c r="DL303" s="124" t="inlineStr">
        <is>
          <t>60</t>
        </is>
      </c>
      <c r="DM303" s="125" t="inlineStr">
        <is>
          <t>17.281</t>
        </is>
      </c>
      <c r="DN303" s="126" t="inlineStr">
        <is>
          <t>-154</t>
        </is>
      </c>
      <c r="DO303" s="127" t="inlineStr">
        <is>
          <t>-0,88%</t>
        </is>
      </c>
      <c r="DP303" s="128" t="inlineStr">
        <is>
          <t>10.902</t>
        </is>
      </c>
      <c r="DQ303" s="129" t="inlineStr">
        <is>
          <t>-8</t>
        </is>
      </c>
      <c r="DR303" s="130" t="inlineStr">
        <is>
          <t>-0,07%</t>
        </is>
      </c>
      <c r="DS303" s="131" t="inlineStr">
        <is>
          <t>461</t>
        </is>
      </c>
      <c r="DT303" s="132" t="inlineStr">
        <is>
          <t>-1</t>
        </is>
      </c>
      <c r="DU303" s="133" t="inlineStr">
        <is>
          <t>-0,22%</t>
        </is>
      </c>
      <c r="DV303" s="134" t="inlineStr">
        <is>
          <t>523</t>
        </is>
      </c>
      <c r="DW303" s="135" t="inlineStr">
        <is>
          <t>141</t>
        </is>
      </c>
      <c r="DX303" s="136" t="inlineStr">
        <is>
          <t>36,91%</t>
        </is>
      </c>
      <c r="DY303" s="137" t="inlineStr">
        <is>
          <t>PitchBook Research</t>
        </is>
      </c>
      <c r="DZ303" s="785">
        <f>HYPERLINK("https://my.pitchbook.com?c=122849-92", "View company online")</f>
      </c>
    </row>
    <row r="304">
      <c r="A304" s="139" t="inlineStr">
        <is>
          <t>60126-85</t>
        </is>
      </c>
      <c r="B304" s="140" t="inlineStr">
        <is>
          <t>Musement</t>
        </is>
      </c>
      <c r="C304" s="141" t="inlineStr">
        <is>
          <t/>
        </is>
      </c>
      <c r="D304" s="142" t="inlineStr">
        <is>
          <t/>
        </is>
      </c>
      <c r="E304" s="143" t="inlineStr">
        <is>
          <t>60126-85</t>
        </is>
      </c>
      <c r="F304" s="144" t="inlineStr">
        <is>
          <t>Provider of an end-to-end ticketing service for travelers. The company provides a web and mobile application which enables travellers to discover and book local tours and attractions bookable on multiple devices triggered by geo-localized push notifications.</t>
        </is>
      </c>
      <c r="G304" s="145" t="inlineStr">
        <is>
          <t>Information Technology</t>
        </is>
      </c>
      <c r="H304" s="146" t="inlineStr">
        <is>
          <t>Software</t>
        </is>
      </c>
      <c r="I304" s="147" t="inlineStr">
        <is>
          <t>Application Software</t>
        </is>
      </c>
      <c r="J304" s="148" t="inlineStr">
        <is>
          <t>Application Software*; Social/Platform Software</t>
        </is>
      </c>
      <c r="K304" s="149" t="inlineStr">
        <is>
          <t>Mobile, SaaS</t>
        </is>
      </c>
      <c r="L304" s="150" t="inlineStr">
        <is>
          <t>Venture Capital-Backed</t>
        </is>
      </c>
      <c r="M304" s="151" t="n">
        <v>14.95</v>
      </c>
      <c r="N304" s="152" t="inlineStr">
        <is>
          <t>Startup</t>
        </is>
      </c>
      <c r="O304" s="153" t="inlineStr">
        <is>
          <t>Privately Held (backing)</t>
        </is>
      </c>
      <c r="P304" s="154" t="inlineStr">
        <is>
          <t>Venture Capital</t>
        </is>
      </c>
      <c r="Q304" s="155" t="inlineStr">
        <is>
          <t>www.musement.com</t>
        </is>
      </c>
      <c r="R304" s="156" t="n">
        <v>51.0</v>
      </c>
      <c r="S304" s="157" t="inlineStr">
        <is>
          <t/>
        </is>
      </c>
      <c r="T304" s="158" t="inlineStr">
        <is>
          <t/>
        </is>
      </c>
      <c r="U304" s="159" t="n">
        <v>2012.0</v>
      </c>
      <c r="V304" s="160" t="inlineStr">
        <is>
          <t/>
        </is>
      </c>
      <c r="W304" s="161" t="inlineStr">
        <is>
          <t/>
        </is>
      </c>
      <c r="X304" s="162" t="inlineStr">
        <is>
          <t/>
        </is>
      </c>
      <c r="Y304" s="163" t="inlineStr">
        <is>
          <t/>
        </is>
      </c>
      <c r="Z304" s="164" t="inlineStr">
        <is>
          <t/>
        </is>
      </c>
      <c r="AA304" s="165" t="inlineStr">
        <is>
          <t/>
        </is>
      </c>
      <c r="AB304" s="166" t="inlineStr">
        <is>
          <t/>
        </is>
      </c>
      <c r="AC304" s="167" t="inlineStr">
        <is>
          <t/>
        </is>
      </c>
      <c r="AD304" s="168" t="inlineStr">
        <is>
          <t/>
        </is>
      </c>
      <c r="AE304" s="169" t="inlineStr">
        <is>
          <t>55656-19P</t>
        </is>
      </c>
      <c r="AF304" s="170" t="inlineStr">
        <is>
          <t>Alessandro Petazzi</t>
        </is>
      </c>
      <c r="AG304" s="171" t="inlineStr">
        <is>
          <t>Co-Founder, Board Member &amp; Chief Executive Officer</t>
        </is>
      </c>
      <c r="AH304" s="172" t="inlineStr">
        <is>
          <t>alessandro@musement.com</t>
        </is>
      </c>
      <c r="AI304" s="173" t="inlineStr">
        <is>
          <t>+ 39 348 739 3117</t>
        </is>
      </c>
      <c r="AJ304" s="174" t="inlineStr">
        <is>
          <t>Milan, Italy</t>
        </is>
      </c>
      <c r="AK304" s="175" t="inlineStr">
        <is>
          <t>Via Polesine, 13</t>
        </is>
      </c>
      <c r="AL304" s="176" t="inlineStr">
        <is>
          <t/>
        </is>
      </c>
      <c r="AM304" s="177" t="inlineStr">
        <is>
          <t>Milan</t>
        </is>
      </c>
      <c r="AN304" s="178" t="inlineStr">
        <is>
          <t/>
        </is>
      </c>
      <c r="AO304" s="179" t="inlineStr">
        <is>
          <t>20139</t>
        </is>
      </c>
      <c r="AP304" s="180" t="inlineStr">
        <is>
          <t>Italy</t>
        </is>
      </c>
      <c r="AQ304" s="181" t="inlineStr">
        <is>
          <t>+39 02 4538 6900</t>
        </is>
      </c>
      <c r="AR304" s="182" t="inlineStr">
        <is>
          <t/>
        </is>
      </c>
      <c r="AS304" s="183" t="inlineStr">
        <is>
          <t>info@musement.com</t>
        </is>
      </c>
      <c r="AT304" s="184" t="inlineStr">
        <is>
          <t>Europe</t>
        </is>
      </c>
      <c r="AU304" s="185" t="inlineStr">
        <is>
          <t>Southern Europe</t>
        </is>
      </c>
      <c r="AV304" s="186" t="inlineStr">
        <is>
          <t>The company raised $10 million of Series B venture funding in a deal led by Francesco Micheli Associati on November 15, 2016. Follow on P101 and 360 Capital Partners also participated in the round. The company intends to use the funds to continue to develop the platform and expand operations.</t>
        </is>
      </c>
      <c r="AW304" s="187" t="inlineStr">
        <is>
          <t>360 Capital Partners, Francesco Micheli Associati, Italian Angels for Growth, P101</t>
        </is>
      </c>
      <c r="AX304" s="188" t="n">
        <v>4.0</v>
      </c>
      <c r="AY304" s="189" t="inlineStr">
        <is>
          <t/>
        </is>
      </c>
      <c r="AZ304" s="190" t="inlineStr">
        <is>
          <t/>
        </is>
      </c>
      <c r="BA304" s="191" t="inlineStr">
        <is>
          <t/>
        </is>
      </c>
      <c r="BB304" s="192" t="inlineStr">
        <is>
          <t>360 Capital Partners (www.360capitalpartners.com), Italian Angels for Growth (www.italianangels.net), P101 (www.p101.it)</t>
        </is>
      </c>
      <c r="BC304" s="193" t="inlineStr">
        <is>
          <t/>
        </is>
      </c>
      <c r="BD304" s="194" t="inlineStr">
        <is>
          <t/>
        </is>
      </c>
      <c r="BE304" s="195" t="inlineStr">
        <is>
          <t/>
        </is>
      </c>
      <c r="BF304" s="196" t="inlineStr">
        <is>
          <t/>
        </is>
      </c>
      <c r="BG304" s="197" t="n">
        <v>41577.0</v>
      </c>
      <c r="BH304" s="198" t="n">
        <v>0.7</v>
      </c>
      <c r="BI304" s="199" t="inlineStr">
        <is>
          <t>Actual</t>
        </is>
      </c>
      <c r="BJ304" s="200" t="inlineStr">
        <is>
          <t/>
        </is>
      </c>
      <c r="BK304" s="201" t="inlineStr">
        <is>
          <t/>
        </is>
      </c>
      <c r="BL304" s="202" t="inlineStr">
        <is>
          <t>Seed Round</t>
        </is>
      </c>
      <c r="BM304" s="203" t="inlineStr">
        <is>
          <t>Seed</t>
        </is>
      </c>
      <c r="BN304" s="204" t="inlineStr">
        <is>
          <t/>
        </is>
      </c>
      <c r="BO304" s="205" t="inlineStr">
        <is>
          <t>Venture Capital</t>
        </is>
      </c>
      <c r="BP304" s="206" t="inlineStr">
        <is>
          <t/>
        </is>
      </c>
      <c r="BQ304" s="207" t="inlineStr">
        <is>
          <t/>
        </is>
      </c>
      <c r="BR304" s="208" t="inlineStr">
        <is>
          <t/>
        </is>
      </c>
      <c r="BS304" s="209" t="inlineStr">
        <is>
          <t>Completed</t>
        </is>
      </c>
      <c r="BT304" s="210" t="n">
        <v>42689.0</v>
      </c>
      <c r="BU304" s="211" t="n">
        <v>9.25</v>
      </c>
      <c r="BV304" s="212" t="inlineStr">
        <is>
          <t>Actual</t>
        </is>
      </c>
      <c r="BW304" s="213" t="inlineStr">
        <is>
          <t/>
        </is>
      </c>
      <c r="BX304" s="214" t="inlineStr">
        <is>
          <t/>
        </is>
      </c>
      <c r="BY304" s="215" t="inlineStr">
        <is>
          <t>Early Stage VC</t>
        </is>
      </c>
      <c r="BZ304" s="216" t="inlineStr">
        <is>
          <t>Series B</t>
        </is>
      </c>
      <c r="CA304" s="217" t="inlineStr">
        <is>
          <t/>
        </is>
      </c>
      <c r="CB304" s="218" t="inlineStr">
        <is>
          <t>Venture Capital</t>
        </is>
      </c>
      <c r="CC304" s="219" t="inlineStr">
        <is>
          <t/>
        </is>
      </c>
      <c r="CD304" s="220" t="inlineStr">
        <is>
          <t/>
        </is>
      </c>
      <c r="CE304" s="221" t="inlineStr">
        <is>
          <t/>
        </is>
      </c>
      <c r="CF304" s="222" t="inlineStr">
        <is>
          <t>Completed</t>
        </is>
      </c>
      <c r="CG304" s="223" t="inlineStr">
        <is>
          <t>2,09%</t>
        </is>
      </c>
      <c r="CH304" s="224" t="inlineStr">
        <is>
          <t>94</t>
        </is>
      </c>
      <c r="CI304" s="225" t="inlineStr">
        <is>
          <t>1,26%</t>
        </is>
      </c>
      <c r="CJ304" s="226" t="inlineStr">
        <is>
          <t>152,17%</t>
        </is>
      </c>
      <c r="CK304" s="227" t="inlineStr">
        <is>
          <t>1,39%</t>
        </is>
      </c>
      <c r="CL304" s="228" t="inlineStr">
        <is>
          <t>88</t>
        </is>
      </c>
      <c r="CM304" s="229" t="inlineStr">
        <is>
          <t>0,22%</t>
        </is>
      </c>
      <c r="CN304" s="230" t="inlineStr">
        <is>
          <t>75</t>
        </is>
      </c>
      <c r="CO304" s="231" t="inlineStr">
        <is>
          <t>2,62%</t>
        </is>
      </c>
      <c r="CP304" s="232" t="inlineStr">
        <is>
          <t>91</t>
        </is>
      </c>
      <c r="CQ304" s="233" t="inlineStr">
        <is>
          <t>0,17%</t>
        </is>
      </c>
      <c r="CR304" s="234" t="inlineStr">
        <is>
          <t>84</t>
        </is>
      </c>
      <c r="CS304" s="235" t="inlineStr">
        <is>
          <t>0,46%</t>
        </is>
      </c>
      <c r="CT304" s="236" t="inlineStr">
        <is>
          <t>86</t>
        </is>
      </c>
      <c r="CU304" s="237" t="inlineStr">
        <is>
          <t>-0,02%</t>
        </is>
      </c>
      <c r="CV304" s="238" t="inlineStr">
        <is>
          <t>17</t>
        </is>
      </c>
      <c r="CW304" s="239" t="inlineStr">
        <is>
          <t>59,37x</t>
        </is>
      </c>
      <c r="CX304" s="240" t="inlineStr">
        <is>
          <t>96</t>
        </is>
      </c>
      <c r="CY304" s="241" t="inlineStr">
        <is>
          <t>-28,32x</t>
        </is>
      </c>
      <c r="CZ304" s="242" t="inlineStr">
        <is>
          <t>-32,29%</t>
        </is>
      </c>
      <c r="DA304" s="243" t="inlineStr">
        <is>
          <t>131,92x</t>
        </is>
      </c>
      <c r="DB304" s="244" t="inlineStr">
        <is>
          <t>98</t>
        </is>
      </c>
      <c r="DC304" s="245" t="inlineStr">
        <is>
          <t>45,04x</t>
        </is>
      </c>
      <c r="DD304" s="246" t="inlineStr">
        <is>
          <t>94</t>
        </is>
      </c>
      <c r="DE304" s="247" t="inlineStr">
        <is>
          <t>228,65x</t>
        </is>
      </c>
      <c r="DF304" s="248" t="inlineStr">
        <is>
          <t>98</t>
        </is>
      </c>
      <c r="DG304" s="249" t="inlineStr">
        <is>
          <t>35,19x</t>
        </is>
      </c>
      <c r="DH304" s="250" t="inlineStr">
        <is>
          <t>96</t>
        </is>
      </c>
      <c r="DI304" s="251" t="inlineStr">
        <is>
          <t>61,03x</t>
        </is>
      </c>
      <c r="DJ304" s="252" t="inlineStr">
        <is>
          <t>94</t>
        </is>
      </c>
      <c r="DK304" s="253" t="inlineStr">
        <is>
          <t>29,04x</t>
        </is>
      </c>
      <c r="DL304" s="254" t="inlineStr">
        <is>
          <t>94</t>
        </is>
      </c>
      <c r="DM304" s="255" t="inlineStr">
        <is>
          <t>142.642</t>
        </is>
      </c>
      <c r="DN304" s="256" t="inlineStr">
        <is>
          <t>-6.060</t>
        </is>
      </c>
      <c r="DO304" s="257" t="inlineStr">
        <is>
          <t>-4,08%</t>
        </is>
      </c>
      <c r="DP304" s="258" t="inlineStr">
        <is>
          <t>48.657</t>
        </is>
      </c>
      <c r="DQ304" s="259" t="inlineStr">
        <is>
          <t>212</t>
        </is>
      </c>
      <c r="DR304" s="260" t="inlineStr">
        <is>
          <t>0,44%</t>
        </is>
      </c>
      <c r="DS304" s="261" t="inlineStr">
        <is>
          <t>1.266</t>
        </is>
      </c>
      <c r="DT304" s="262" t="inlineStr">
        <is>
          <t>2</t>
        </is>
      </c>
      <c r="DU304" s="263" t="inlineStr">
        <is>
          <t>0,16%</t>
        </is>
      </c>
      <c r="DV304" s="264" t="inlineStr">
        <is>
          <t>9.964</t>
        </is>
      </c>
      <c r="DW304" s="265" t="inlineStr">
        <is>
          <t>-4</t>
        </is>
      </c>
      <c r="DX304" s="266" t="inlineStr">
        <is>
          <t>-0,04%</t>
        </is>
      </c>
      <c r="DY304" s="267" t="inlineStr">
        <is>
          <t>PitchBook Research</t>
        </is>
      </c>
      <c r="DZ304" s="786">
        <f>HYPERLINK("https://my.pitchbook.com?c=60126-85", "View company online")</f>
      </c>
    </row>
    <row r="305">
      <c r="A305" s="9" t="inlineStr">
        <is>
          <t>121642-21</t>
        </is>
      </c>
      <c r="B305" s="10" t="inlineStr">
        <is>
          <t>Muume</t>
        </is>
      </c>
      <c r="C305" s="11" t="inlineStr">
        <is>
          <t/>
        </is>
      </c>
      <c r="D305" s="12" t="inlineStr">
        <is>
          <t/>
        </is>
      </c>
      <c r="E305" s="13" t="inlineStr">
        <is>
          <t>121642-21</t>
        </is>
      </c>
      <c r="F305" s="14" t="inlineStr">
        <is>
          <t>Provider of a social mobile-payment platform intended to digitize everyday consumption processes on smartphones. The company's social mobile-payment platform provides a digital platform for digital self-service and daily consumption through which consumers can independently complete their purchases and orders on their smartphones, providing enterprises with a safe digital payment platform.</t>
        </is>
      </c>
      <c r="G305" s="15" t="inlineStr">
        <is>
          <t>Information Technology</t>
        </is>
      </c>
      <c r="H305" s="16" t="inlineStr">
        <is>
          <t>Software</t>
        </is>
      </c>
      <c r="I305" s="17" t="inlineStr">
        <is>
          <t>Application Software</t>
        </is>
      </c>
      <c r="J305" s="18" t="inlineStr">
        <is>
          <t>Application Software*; Business/Productivity Software; Financial Software</t>
        </is>
      </c>
      <c r="K305" s="19" t="inlineStr">
        <is>
          <t>Mobile, SaaS</t>
        </is>
      </c>
      <c r="L305" s="20" t="inlineStr">
        <is>
          <t>Venture Capital-Backed</t>
        </is>
      </c>
      <c r="M305" s="21" t="n">
        <v>7.28</v>
      </c>
      <c r="N305" s="22" t="inlineStr">
        <is>
          <t>Generating Revenue</t>
        </is>
      </c>
      <c r="O305" s="23" t="inlineStr">
        <is>
          <t>Privately Held (backing)</t>
        </is>
      </c>
      <c r="P305" s="24" t="inlineStr">
        <is>
          <t>Venture Capital</t>
        </is>
      </c>
      <c r="Q305" s="25" t="inlineStr">
        <is>
          <t>www.muume.com</t>
        </is>
      </c>
      <c r="R305" s="26" t="n">
        <v>51.0</v>
      </c>
      <c r="S305" s="27" t="inlineStr">
        <is>
          <t/>
        </is>
      </c>
      <c r="T305" s="28" t="inlineStr">
        <is>
          <t/>
        </is>
      </c>
      <c r="U305" s="29" t="n">
        <v>2013.0</v>
      </c>
      <c r="V305" s="30" t="inlineStr">
        <is>
          <t/>
        </is>
      </c>
      <c r="W305" s="31" t="inlineStr">
        <is>
          <t/>
        </is>
      </c>
      <c r="X305" s="32" t="inlineStr">
        <is>
          <t/>
        </is>
      </c>
      <c r="Y305" s="33" t="inlineStr">
        <is>
          <t/>
        </is>
      </c>
      <c r="Z305" s="34" t="inlineStr">
        <is>
          <t/>
        </is>
      </c>
      <c r="AA305" s="35" t="inlineStr">
        <is>
          <t/>
        </is>
      </c>
      <c r="AB305" s="36" t="inlineStr">
        <is>
          <t/>
        </is>
      </c>
      <c r="AC305" s="37" t="inlineStr">
        <is>
          <t/>
        </is>
      </c>
      <c r="AD305" s="38" t="inlineStr">
        <is>
          <t/>
        </is>
      </c>
      <c r="AE305" s="39" t="inlineStr">
        <is>
          <t>137370-43P</t>
        </is>
      </c>
      <c r="AF305" s="40" t="inlineStr">
        <is>
          <t>Patrick Urban</t>
        </is>
      </c>
      <c r="AG305" s="41" t="inlineStr">
        <is>
          <t>Chief Marketing Officer</t>
        </is>
      </c>
      <c r="AH305" s="42" t="inlineStr">
        <is>
          <t>patrick.urban@muume.com</t>
        </is>
      </c>
      <c r="AI305" s="43" t="inlineStr">
        <is>
          <t>+41 (0)41 511 1850</t>
        </is>
      </c>
      <c r="AJ305" s="44" t="inlineStr">
        <is>
          <t>Zug, Switzerland</t>
        </is>
      </c>
      <c r="AK305" s="45" t="inlineStr">
        <is>
          <t>Alte Steinhauserstrasse 1</t>
        </is>
      </c>
      <c r="AL305" s="46" t="inlineStr">
        <is>
          <t>Cham</t>
        </is>
      </c>
      <c r="AM305" s="47" t="inlineStr">
        <is>
          <t>Zug</t>
        </is>
      </c>
      <c r="AN305" s="48" t="inlineStr">
        <is>
          <t/>
        </is>
      </c>
      <c r="AO305" s="49" t="inlineStr">
        <is>
          <t>6330</t>
        </is>
      </c>
      <c r="AP305" s="50" t="inlineStr">
        <is>
          <t>Switzerland</t>
        </is>
      </c>
      <c r="AQ305" s="51" t="inlineStr">
        <is>
          <t>+41 (0)41 511 1850</t>
        </is>
      </c>
      <c r="AR305" s="52" t="inlineStr">
        <is>
          <t/>
        </is>
      </c>
      <c r="AS305" s="53" t="inlineStr">
        <is>
          <t>contact@muume.com</t>
        </is>
      </c>
      <c r="AT305" s="54" t="inlineStr">
        <is>
          <t>Europe</t>
        </is>
      </c>
      <c r="AU305" s="55" t="inlineStr">
        <is>
          <t>Western Europe</t>
        </is>
      </c>
      <c r="AV305" s="56" t="inlineStr">
        <is>
          <t>The company raised an estimated CHF 6 million of Series B venture funding from Heliad Equity Partner and other undisclosed investors on August 22, 2017. The company intends to use the funding to further strengthen its core markets in Germany and Switzerland and continue to drive growth in these and neighboring countries. Earlier, the company raised CHF 2.2 million of Series A venture funding led by Heliad Equity Partners on June 7, 2016.</t>
        </is>
      </c>
      <c r="AW305" s="57" t="inlineStr">
        <is>
          <t>Family Office Keller, Hans Thomas Gross, Heliad Equity Partners, Swiss Finance Startups</t>
        </is>
      </c>
      <c r="AX305" s="58" t="n">
        <v>4.0</v>
      </c>
      <c r="AY305" s="59" t="inlineStr">
        <is>
          <t/>
        </is>
      </c>
      <c r="AZ305" s="60" t="inlineStr">
        <is>
          <t/>
        </is>
      </c>
      <c r="BA305" s="61" t="inlineStr">
        <is>
          <t/>
        </is>
      </c>
      <c r="BB305" s="62" t="inlineStr">
        <is>
          <t>Heliad Equity Partners (www.heliad.com), Swiss Finance Startups (www.swissfinancestartups.com)</t>
        </is>
      </c>
      <c r="BC305" s="63" t="inlineStr">
        <is>
          <t/>
        </is>
      </c>
      <c r="BD305" s="64" t="inlineStr">
        <is>
          <t/>
        </is>
      </c>
      <c r="BE305" s="65" t="inlineStr">
        <is>
          <t/>
        </is>
      </c>
      <c r="BF305" s="66" t="inlineStr">
        <is>
          <t>CrowdTuesday (Lead Manager or Arranger)</t>
        </is>
      </c>
      <c r="BG305" s="67" t="inlineStr">
        <is>
          <t/>
        </is>
      </c>
      <c r="BH305" s="68" t="inlineStr">
        <is>
          <t/>
        </is>
      </c>
      <c r="BI305" s="69" t="inlineStr">
        <is>
          <t/>
        </is>
      </c>
      <c r="BJ305" s="70" t="inlineStr">
        <is>
          <t/>
        </is>
      </c>
      <c r="BK305" s="71" t="inlineStr">
        <is>
          <t/>
        </is>
      </c>
      <c r="BL305" s="72" t="inlineStr">
        <is>
          <t>Accelerator/Incubator</t>
        </is>
      </c>
      <c r="BM305" s="73" t="inlineStr">
        <is>
          <t/>
        </is>
      </c>
      <c r="BN305" s="74" t="inlineStr">
        <is>
          <t/>
        </is>
      </c>
      <c r="BO305" s="75" t="inlineStr">
        <is>
          <t>Other</t>
        </is>
      </c>
      <c r="BP305" s="76" t="inlineStr">
        <is>
          <t/>
        </is>
      </c>
      <c r="BQ305" s="77" t="inlineStr">
        <is>
          <t/>
        </is>
      </c>
      <c r="BR305" s="78" t="inlineStr">
        <is>
          <t/>
        </is>
      </c>
      <c r="BS305" s="79" t="inlineStr">
        <is>
          <t>Completed</t>
        </is>
      </c>
      <c r="BT305" s="80" t="n">
        <v>42969.0</v>
      </c>
      <c r="BU305" s="81" t="n">
        <v>5.26</v>
      </c>
      <c r="BV305" s="82" t="inlineStr">
        <is>
          <t>Estimated</t>
        </is>
      </c>
      <c r="BW305" s="83" t="n">
        <v>35.09</v>
      </c>
      <c r="BX305" s="84" t="inlineStr">
        <is>
          <t>Estimated</t>
        </is>
      </c>
      <c r="BY305" s="85" t="inlineStr">
        <is>
          <t>Early Stage VC</t>
        </is>
      </c>
      <c r="BZ305" s="86" t="inlineStr">
        <is>
          <t>Series B</t>
        </is>
      </c>
      <c r="CA305" s="87" t="inlineStr">
        <is>
          <t/>
        </is>
      </c>
      <c r="CB305" s="88" t="inlineStr">
        <is>
          <t>Venture Capital</t>
        </is>
      </c>
      <c r="CC305" s="89" t="inlineStr">
        <is>
          <t/>
        </is>
      </c>
      <c r="CD305" s="90" t="inlineStr">
        <is>
          <t/>
        </is>
      </c>
      <c r="CE305" s="91" t="inlineStr">
        <is>
          <t/>
        </is>
      </c>
      <c r="CF305" s="92" t="inlineStr">
        <is>
          <t>Completed</t>
        </is>
      </c>
      <c r="CG305" s="93" t="inlineStr">
        <is>
          <t>0,00%</t>
        </is>
      </c>
      <c r="CH305" s="94" t="inlineStr">
        <is>
          <t>23</t>
        </is>
      </c>
      <c r="CI305" s="95" t="inlineStr">
        <is>
          <t>0,00%</t>
        </is>
      </c>
      <c r="CJ305" s="96" t="inlineStr">
        <is>
          <t>0,00%</t>
        </is>
      </c>
      <c r="CK305" s="97" t="inlineStr">
        <is>
          <t>0,00%</t>
        </is>
      </c>
      <c r="CL305" s="98" t="inlineStr">
        <is>
          <t>18</t>
        </is>
      </c>
      <c r="CM305" s="99" t="inlineStr">
        <is>
          <t/>
        </is>
      </c>
      <c r="CN305" s="100" t="inlineStr">
        <is>
          <t/>
        </is>
      </c>
      <c r="CO305" s="101" t="inlineStr">
        <is>
          <t>0,00%</t>
        </is>
      </c>
      <c r="CP305" s="102" t="inlineStr">
        <is>
          <t>26</t>
        </is>
      </c>
      <c r="CQ305" s="103" t="inlineStr">
        <is>
          <t>0,00%</t>
        </is>
      </c>
      <c r="CR305" s="104" t="inlineStr">
        <is>
          <t>13</t>
        </is>
      </c>
      <c r="CS305" s="105" t="inlineStr">
        <is>
          <t/>
        </is>
      </c>
      <c r="CT305" s="106" t="inlineStr">
        <is>
          <t/>
        </is>
      </c>
      <c r="CU305" s="107" t="inlineStr">
        <is>
          <t/>
        </is>
      </c>
      <c r="CV305" s="108" t="inlineStr">
        <is>
          <t/>
        </is>
      </c>
      <c r="CW305" s="109" t="inlineStr">
        <is>
          <t>1,17x</t>
        </is>
      </c>
      <c r="CX305" s="110" t="inlineStr">
        <is>
          <t>53</t>
        </is>
      </c>
      <c r="CY305" s="111" t="inlineStr">
        <is>
          <t>0,01x</t>
        </is>
      </c>
      <c r="CZ305" s="112" t="inlineStr">
        <is>
          <t>1,26%</t>
        </is>
      </c>
      <c r="DA305" s="113" t="inlineStr">
        <is>
          <t>1,17x</t>
        </is>
      </c>
      <c r="DB305" s="114" t="inlineStr">
        <is>
          <t>55</t>
        </is>
      </c>
      <c r="DC305" s="115" t="inlineStr">
        <is>
          <t/>
        </is>
      </c>
      <c r="DD305" s="116" t="inlineStr">
        <is>
          <t/>
        </is>
      </c>
      <c r="DE305" s="117" t="inlineStr">
        <is>
          <t>1,26x</t>
        </is>
      </c>
      <c r="DF305" s="118" t="inlineStr">
        <is>
          <t>55</t>
        </is>
      </c>
      <c r="DG305" s="119" t="inlineStr">
        <is>
          <t>1,08x</t>
        </is>
      </c>
      <c r="DH305" s="120" t="inlineStr">
        <is>
          <t>52</t>
        </is>
      </c>
      <c r="DI305" s="121" t="inlineStr">
        <is>
          <t/>
        </is>
      </c>
      <c r="DJ305" s="122" t="inlineStr">
        <is>
          <t/>
        </is>
      </c>
      <c r="DK305" s="123" t="inlineStr">
        <is>
          <t/>
        </is>
      </c>
      <c r="DL305" s="124" t="inlineStr">
        <is>
          <t/>
        </is>
      </c>
      <c r="DM305" s="125" t="inlineStr">
        <is>
          <t>745</t>
        </is>
      </c>
      <c r="DN305" s="126" t="inlineStr">
        <is>
          <t>91</t>
        </is>
      </c>
      <c r="DO305" s="127" t="inlineStr">
        <is>
          <t>13,91%</t>
        </is>
      </c>
      <c r="DP305" s="128" t="inlineStr">
        <is>
          <t>150</t>
        </is>
      </c>
      <c r="DQ305" s="129" t="inlineStr">
        <is>
          <t>0</t>
        </is>
      </c>
      <c r="DR305" s="130" t="inlineStr">
        <is>
          <t>0,00%</t>
        </is>
      </c>
      <c r="DS305" s="131" t="inlineStr">
        <is>
          <t>39</t>
        </is>
      </c>
      <c r="DT305" s="132" t="inlineStr">
        <is>
          <t>0</t>
        </is>
      </c>
      <c r="DU305" s="133" t="inlineStr">
        <is>
          <t>0,00%</t>
        </is>
      </c>
      <c r="DV305" s="134" t="inlineStr">
        <is>
          <t>81</t>
        </is>
      </c>
      <c r="DW305" s="135" t="inlineStr">
        <is>
          <t>1</t>
        </is>
      </c>
      <c r="DX305" s="136" t="inlineStr">
        <is>
          <t>1,25%</t>
        </is>
      </c>
      <c r="DY305" s="137" t="inlineStr">
        <is>
          <t>PitchBook Research</t>
        </is>
      </c>
      <c r="DZ305" s="785">
        <f>HYPERLINK("https://my.pitchbook.com?c=121642-21", "View company online")</f>
      </c>
    </row>
    <row r="306">
      <c r="A306" s="139" t="inlineStr">
        <is>
          <t>178719-13</t>
        </is>
      </c>
      <c r="B306" s="140" t="inlineStr">
        <is>
          <t>Mycs</t>
        </is>
      </c>
      <c r="C306" s="141" t="inlineStr">
        <is>
          <t/>
        </is>
      </c>
      <c r="D306" s="142" t="inlineStr">
        <is>
          <t/>
        </is>
      </c>
      <c r="E306" s="143" t="inlineStr">
        <is>
          <t>178719-13</t>
        </is>
      </c>
      <c r="F306" s="144" t="inlineStr">
        <is>
          <t>Operator of an online furniture shop intended to provide designer furniture according to customers taste and needs. The company's online furniture shop helps the customers to choose products and customize them through photo-realistic and real-time 3D customization tools enabling them to select over a range of furniture including dining, coffee and side, wooden, office tables, bookshelves, libraries, wall units, wardrobes, sideboards, chests, high-boards, and TV stands.</t>
        </is>
      </c>
      <c r="G306" s="145" t="inlineStr">
        <is>
          <t>Consumer Products and Services (B2C)</t>
        </is>
      </c>
      <c r="H306" s="146" t="inlineStr">
        <is>
          <t>Consumer Non-Durables</t>
        </is>
      </c>
      <c r="I306" s="147" t="inlineStr">
        <is>
          <t>Household Products</t>
        </is>
      </c>
      <c r="J306" s="148" t="inlineStr">
        <is>
          <t>Household Products*; Internet Retail; Application Software</t>
        </is>
      </c>
      <c r="K306" s="149" t="inlineStr">
        <is>
          <t>Mobile</t>
        </is>
      </c>
      <c r="L306" s="150" t="inlineStr">
        <is>
          <t>Venture Capital-Backed</t>
        </is>
      </c>
      <c r="M306" s="151" t="n">
        <v>10.0</v>
      </c>
      <c r="N306" s="152" t="inlineStr">
        <is>
          <t>Generating Revenue</t>
        </is>
      </c>
      <c r="O306" s="153" t="inlineStr">
        <is>
          <t>Privately Held (backing)</t>
        </is>
      </c>
      <c r="P306" s="154" t="inlineStr">
        <is>
          <t>Venture Capital</t>
        </is>
      </c>
      <c r="Q306" s="155" t="inlineStr">
        <is>
          <t>de.mycs.com</t>
        </is>
      </c>
      <c r="R306" s="156" t="inlineStr">
        <is>
          <t/>
        </is>
      </c>
      <c r="S306" s="157" t="inlineStr">
        <is>
          <t/>
        </is>
      </c>
      <c r="T306" s="158" t="inlineStr">
        <is>
          <t/>
        </is>
      </c>
      <c r="U306" s="159" t="n">
        <v>2014.0</v>
      </c>
      <c r="V306" s="160" t="inlineStr">
        <is>
          <t/>
        </is>
      </c>
      <c r="W306" s="161" t="inlineStr">
        <is>
          <t/>
        </is>
      </c>
      <c r="X306" s="162" t="inlineStr">
        <is>
          <t/>
        </is>
      </c>
      <c r="Y306" s="163" t="inlineStr">
        <is>
          <t/>
        </is>
      </c>
      <c r="Z306" s="164" t="inlineStr">
        <is>
          <t/>
        </is>
      </c>
      <c r="AA306" s="165" t="inlineStr">
        <is>
          <t/>
        </is>
      </c>
      <c r="AB306" s="166" t="inlineStr">
        <is>
          <t/>
        </is>
      </c>
      <c r="AC306" s="167" t="inlineStr">
        <is>
          <t/>
        </is>
      </c>
      <c r="AD306" s="168" t="inlineStr">
        <is>
          <t/>
        </is>
      </c>
      <c r="AE306" s="169" t="inlineStr">
        <is>
          <t>159288-49P</t>
        </is>
      </c>
      <c r="AF306" s="170" t="inlineStr">
        <is>
          <t>Kachun To</t>
        </is>
      </c>
      <c r="AG306" s="171" t="inlineStr">
        <is>
          <t>Co-Founder &amp; Managing Director</t>
        </is>
      </c>
      <c r="AH306" s="172" t="inlineStr">
        <is>
          <t>kachun.to@mycs.com</t>
        </is>
      </c>
      <c r="AI306" s="173" t="inlineStr">
        <is>
          <t>+49 (0)30 2096 6587 0</t>
        </is>
      </c>
      <c r="AJ306" s="174" t="inlineStr">
        <is>
          <t>Berlin, Germany</t>
        </is>
      </c>
      <c r="AK306" s="175" t="inlineStr">
        <is>
          <t>Am Treptower Park 28-30 (Haus C)</t>
        </is>
      </c>
      <c r="AL306" s="176" t="inlineStr">
        <is>
          <t/>
        </is>
      </c>
      <c r="AM306" s="177" t="inlineStr">
        <is>
          <t>Berlin</t>
        </is>
      </c>
      <c r="AN306" s="178" t="inlineStr">
        <is>
          <t/>
        </is>
      </c>
      <c r="AO306" s="179" t="inlineStr">
        <is>
          <t>12435</t>
        </is>
      </c>
      <c r="AP306" s="180" t="inlineStr">
        <is>
          <t>Germany</t>
        </is>
      </c>
      <c r="AQ306" s="181" t="inlineStr">
        <is>
          <t>+49 (0)30 2096 6587 0</t>
        </is>
      </c>
      <c r="AR306" s="182" t="inlineStr">
        <is>
          <t/>
        </is>
      </c>
      <c r="AS306" s="183" t="inlineStr">
        <is>
          <t/>
        </is>
      </c>
      <c r="AT306" s="184" t="inlineStr">
        <is>
          <t>Europe</t>
        </is>
      </c>
      <c r="AU306" s="185" t="inlineStr">
        <is>
          <t>Western Europe</t>
        </is>
      </c>
      <c r="AV306" s="186" t="inlineStr">
        <is>
          <t>The company raised EUR 10 million of Series A venture funding from lead investor Global Founders Capital on March 20, 2017. TriPos, Florian Heinemann and Uwe Horstmann also participated in the round. The funds will be used to expand its offerings.</t>
        </is>
      </c>
      <c r="AW306" s="187" t="inlineStr">
        <is>
          <t>Florian Heinemann, Global Founders Capital, TriPos, Uwe Horstmann</t>
        </is>
      </c>
      <c r="AX306" s="188" t="n">
        <v>4.0</v>
      </c>
      <c r="AY306" s="189" t="inlineStr">
        <is>
          <t/>
        </is>
      </c>
      <c r="AZ306" s="190" t="inlineStr">
        <is>
          <t/>
        </is>
      </c>
      <c r="BA306" s="191" t="inlineStr">
        <is>
          <t/>
        </is>
      </c>
      <c r="BB306" s="192" t="inlineStr">
        <is>
          <t>Global Founders Capital (www.globalfounders.vc)</t>
        </is>
      </c>
      <c r="BC306" s="193" t="inlineStr">
        <is>
          <t/>
        </is>
      </c>
      <c r="BD306" s="194" t="inlineStr">
        <is>
          <t/>
        </is>
      </c>
      <c r="BE306" s="195" t="inlineStr">
        <is>
          <t/>
        </is>
      </c>
      <c r="BF306" s="196" t="inlineStr">
        <is>
          <t/>
        </is>
      </c>
      <c r="BG306" s="197" t="n">
        <v>42814.0</v>
      </c>
      <c r="BH306" s="198" t="n">
        <v>10.0</v>
      </c>
      <c r="BI306" s="199" t="inlineStr">
        <is>
          <t>Actual</t>
        </is>
      </c>
      <c r="BJ306" s="200" t="inlineStr">
        <is>
          <t/>
        </is>
      </c>
      <c r="BK306" s="201" t="inlineStr">
        <is>
          <t/>
        </is>
      </c>
      <c r="BL306" s="202" t="inlineStr">
        <is>
          <t>Early Stage VC</t>
        </is>
      </c>
      <c r="BM306" s="203" t="inlineStr">
        <is>
          <t>Series A</t>
        </is>
      </c>
      <c r="BN306" s="204" t="inlineStr">
        <is>
          <t/>
        </is>
      </c>
      <c r="BO306" s="205" t="inlineStr">
        <is>
          <t>Venture Capital</t>
        </is>
      </c>
      <c r="BP306" s="206" t="inlineStr">
        <is>
          <t/>
        </is>
      </c>
      <c r="BQ306" s="207" t="inlineStr">
        <is>
          <t/>
        </is>
      </c>
      <c r="BR306" s="208" t="inlineStr">
        <is>
          <t/>
        </is>
      </c>
      <c r="BS306" s="209" t="inlineStr">
        <is>
          <t>Completed</t>
        </is>
      </c>
      <c r="BT306" s="210" t="n">
        <v>42814.0</v>
      </c>
      <c r="BU306" s="211" t="n">
        <v>10.0</v>
      </c>
      <c r="BV306" s="212" t="inlineStr">
        <is>
          <t>Actual</t>
        </is>
      </c>
      <c r="BW306" s="213" t="inlineStr">
        <is>
          <t/>
        </is>
      </c>
      <c r="BX306" s="214" t="inlineStr">
        <is>
          <t/>
        </is>
      </c>
      <c r="BY306" s="215" t="inlineStr">
        <is>
          <t>Early Stage VC</t>
        </is>
      </c>
      <c r="BZ306" s="216" t="inlineStr">
        <is>
          <t>Series A</t>
        </is>
      </c>
      <c r="CA306" s="217" t="inlineStr">
        <is>
          <t/>
        </is>
      </c>
      <c r="CB306" s="218" t="inlineStr">
        <is>
          <t>Venture Capital</t>
        </is>
      </c>
      <c r="CC306" s="219" t="inlineStr">
        <is>
          <t/>
        </is>
      </c>
      <c r="CD306" s="220" t="inlineStr">
        <is>
          <t/>
        </is>
      </c>
      <c r="CE306" s="221" t="inlineStr">
        <is>
          <t/>
        </is>
      </c>
      <c r="CF306" s="222" t="inlineStr">
        <is>
          <t>Completed</t>
        </is>
      </c>
      <c r="CG306" s="223" t="inlineStr">
        <is>
          <t>0,50%</t>
        </is>
      </c>
      <c r="CH306" s="224" t="inlineStr">
        <is>
          <t>84</t>
        </is>
      </c>
      <c r="CI306" s="225" t="inlineStr">
        <is>
          <t>0,03%</t>
        </is>
      </c>
      <c r="CJ306" s="226" t="inlineStr">
        <is>
          <t>7,13%</t>
        </is>
      </c>
      <c r="CK306" s="227" t="inlineStr">
        <is>
          <t>0,40%</t>
        </is>
      </c>
      <c r="CL306" s="228" t="inlineStr">
        <is>
          <t>83</t>
        </is>
      </c>
      <c r="CM306" s="229" t="inlineStr">
        <is>
          <t>0,61%</t>
        </is>
      </c>
      <c r="CN306" s="230" t="inlineStr">
        <is>
          <t>92</t>
        </is>
      </c>
      <c r="CO306" s="231" t="inlineStr">
        <is>
          <t>0,79%</t>
        </is>
      </c>
      <c r="CP306" s="232" t="inlineStr">
        <is>
          <t>83</t>
        </is>
      </c>
      <c r="CQ306" s="233" t="inlineStr">
        <is>
          <t>0,00%</t>
        </is>
      </c>
      <c r="CR306" s="234" t="inlineStr">
        <is>
          <t>13</t>
        </is>
      </c>
      <c r="CS306" s="235" t="inlineStr">
        <is>
          <t>0,99%</t>
        </is>
      </c>
      <c r="CT306" s="236" t="inlineStr">
        <is>
          <t>94</t>
        </is>
      </c>
      <c r="CU306" s="237" t="inlineStr">
        <is>
          <t>0,23%</t>
        </is>
      </c>
      <c r="CV306" s="238" t="inlineStr">
        <is>
          <t>80</t>
        </is>
      </c>
      <c r="CW306" s="239" t="inlineStr">
        <is>
          <t>25,70x</t>
        </is>
      </c>
      <c r="CX306" s="240" t="inlineStr">
        <is>
          <t>93</t>
        </is>
      </c>
      <c r="CY306" s="241" t="inlineStr">
        <is>
          <t>0,07x</t>
        </is>
      </c>
      <c r="CZ306" s="242" t="inlineStr">
        <is>
          <t>0,27%</t>
        </is>
      </c>
      <c r="DA306" s="243" t="inlineStr">
        <is>
          <t>47,14x</t>
        </is>
      </c>
      <c r="DB306" s="244" t="inlineStr">
        <is>
          <t>96</t>
        </is>
      </c>
      <c r="DC306" s="245" t="inlineStr">
        <is>
          <t>4,26x</t>
        </is>
      </c>
      <c r="DD306" s="246" t="inlineStr">
        <is>
          <t>74</t>
        </is>
      </c>
      <c r="DE306" s="247" t="inlineStr">
        <is>
          <t>94,15x</t>
        </is>
      </c>
      <c r="DF306" s="248" t="inlineStr">
        <is>
          <t>96</t>
        </is>
      </c>
      <c r="DG306" s="249" t="inlineStr">
        <is>
          <t>0,14x</t>
        </is>
      </c>
      <c r="DH306" s="250" t="inlineStr">
        <is>
          <t>15</t>
        </is>
      </c>
      <c r="DI306" s="251" t="inlineStr">
        <is>
          <t>8,20x</t>
        </is>
      </c>
      <c r="DJ306" s="252" t="inlineStr">
        <is>
          <t>80</t>
        </is>
      </c>
      <c r="DK306" s="253" t="inlineStr">
        <is>
          <t>0,32x</t>
        </is>
      </c>
      <c r="DL306" s="254" t="inlineStr">
        <is>
          <t>32</t>
        </is>
      </c>
      <c r="DM306" s="255" t="inlineStr">
        <is>
          <t>57.710</t>
        </is>
      </c>
      <c r="DN306" s="256" t="inlineStr">
        <is>
          <t>576</t>
        </is>
      </c>
      <c r="DO306" s="257" t="inlineStr">
        <is>
          <t>1,01%</t>
        </is>
      </c>
      <c r="DP306" s="258" t="inlineStr">
        <is>
          <t>6.517</t>
        </is>
      </c>
      <c r="DQ306" s="259" t="inlineStr">
        <is>
          <t>70</t>
        </is>
      </c>
      <c r="DR306" s="260" t="inlineStr">
        <is>
          <t>1,09%</t>
        </is>
      </c>
      <c r="DS306" s="261" t="inlineStr">
        <is>
          <t>5</t>
        </is>
      </c>
      <c r="DT306" s="262" t="inlineStr">
        <is>
          <t>0</t>
        </is>
      </c>
      <c r="DU306" s="263" t="inlineStr">
        <is>
          <t>0,00%</t>
        </is>
      </c>
      <c r="DV306" s="264" t="inlineStr">
        <is>
          <t>109</t>
        </is>
      </c>
      <c r="DW306" s="265" t="inlineStr">
        <is>
          <t>0</t>
        </is>
      </c>
      <c r="DX306" s="266" t="inlineStr">
        <is>
          <t>0,00%</t>
        </is>
      </c>
      <c r="DY306" s="267" t="inlineStr">
        <is>
          <t>PitchBook Research</t>
        </is>
      </c>
      <c r="DZ306" s="786">
        <f>HYPERLINK("https://my.pitchbook.com?c=178719-13", "View company online")</f>
      </c>
    </row>
    <row r="307">
      <c r="A307" s="9" t="inlineStr">
        <is>
          <t>60025-60</t>
        </is>
      </c>
      <c r="B307" s="10" t="inlineStr">
        <is>
          <t>MyShowcase</t>
        </is>
      </c>
      <c r="C307" s="11" t="inlineStr">
        <is>
          <t/>
        </is>
      </c>
      <c r="D307" s="12" t="inlineStr">
        <is>
          <t/>
        </is>
      </c>
      <c r="E307" s="13" t="inlineStr">
        <is>
          <t>60025-60</t>
        </is>
      </c>
      <c r="F307" s="14" t="inlineStr">
        <is>
          <t>Provider of personal beauty shopping service designed to bring skincare and makeup into living rooms and offices across the country. The company's personal beauty shopping service offers accessories, body and bath products, skincare products, fragrances, greeting cards, hair care products, makeup products, nail polishes and other beauty products, enabling women to create career flexibility whilst closing the confidence gap for women.</t>
        </is>
      </c>
      <c r="G307" s="15" t="inlineStr">
        <is>
          <t>Consumer Products and Services (B2C)</t>
        </is>
      </c>
      <c r="H307" s="16" t="inlineStr">
        <is>
          <t>Retail</t>
        </is>
      </c>
      <c r="I307" s="17" t="inlineStr">
        <is>
          <t>Internet Retail</t>
        </is>
      </c>
      <c r="J307" s="18" t="inlineStr">
        <is>
          <t>Internet Retail*; Accessories; Personal Products</t>
        </is>
      </c>
      <c r="K307" s="19" t="inlineStr">
        <is>
          <t/>
        </is>
      </c>
      <c r="L307" s="20" t="inlineStr">
        <is>
          <t>Venture Capital-Backed</t>
        </is>
      </c>
      <c r="M307" s="21" t="n">
        <v>7.59</v>
      </c>
      <c r="N307" s="22" t="inlineStr">
        <is>
          <t>Generating Revenue</t>
        </is>
      </c>
      <c r="O307" s="23" t="inlineStr">
        <is>
          <t>Privately Held (backing)</t>
        </is>
      </c>
      <c r="P307" s="24" t="inlineStr">
        <is>
          <t>Venture Capital</t>
        </is>
      </c>
      <c r="Q307" s="25" t="inlineStr">
        <is>
          <t>www.myshowcase.com</t>
        </is>
      </c>
      <c r="R307" s="26" t="n">
        <v>55.0</v>
      </c>
      <c r="S307" s="27" t="inlineStr">
        <is>
          <t/>
        </is>
      </c>
      <c r="T307" s="28" t="inlineStr">
        <is>
          <t/>
        </is>
      </c>
      <c r="U307" s="29" t="n">
        <v>2012.0</v>
      </c>
      <c r="V307" s="30" t="inlineStr">
        <is>
          <t/>
        </is>
      </c>
      <c r="W307" s="31" t="inlineStr">
        <is>
          <t/>
        </is>
      </c>
      <c r="X307" s="32" t="inlineStr">
        <is>
          <t/>
        </is>
      </c>
      <c r="Y307" s="33" t="n">
        <v>1.5159</v>
      </c>
      <c r="Z307" s="34" t="inlineStr">
        <is>
          <t/>
        </is>
      </c>
      <c r="AA307" s="35" t="inlineStr">
        <is>
          <t/>
        </is>
      </c>
      <c r="AB307" s="36" t="inlineStr">
        <is>
          <t/>
        </is>
      </c>
      <c r="AC307" s="37" t="inlineStr">
        <is>
          <t/>
        </is>
      </c>
      <c r="AD307" s="38" t="inlineStr">
        <is>
          <t>FY 2015</t>
        </is>
      </c>
      <c r="AE307" s="39" t="inlineStr">
        <is>
          <t>61876-36P</t>
        </is>
      </c>
      <c r="AF307" s="40" t="inlineStr">
        <is>
          <t>Nancy Cruickshank</t>
        </is>
      </c>
      <c r="AG307" s="41" t="inlineStr">
        <is>
          <t>Board Member, Co-Founder and Chief Executive Officer</t>
        </is>
      </c>
      <c r="AH307" s="42" t="inlineStr">
        <is>
          <t>nancy@myshowcase.com</t>
        </is>
      </c>
      <c r="AI307" s="43" t="inlineStr">
        <is>
          <t>+44 (0)20 7384 9600</t>
        </is>
      </c>
      <c r="AJ307" s="44" t="inlineStr">
        <is>
          <t>Milton Keynes, United Kingdom</t>
        </is>
      </c>
      <c r="AK307" s="45" t="inlineStr">
        <is>
          <t>Witan Court, 305 Upper Fourth Street</t>
        </is>
      </c>
      <c r="AL307" s="46" t="inlineStr">
        <is>
          <t>Central Milton Keynes</t>
        </is>
      </c>
      <c r="AM307" s="47" t="inlineStr">
        <is>
          <t>Milton Keynes</t>
        </is>
      </c>
      <c r="AN307" s="48" t="inlineStr">
        <is>
          <t>England</t>
        </is>
      </c>
      <c r="AO307" s="49" t="inlineStr">
        <is>
          <t>MK9 1EH</t>
        </is>
      </c>
      <c r="AP307" s="50" t="inlineStr">
        <is>
          <t>United Kingdom</t>
        </is>
      </c>
      <c r="AQ307" s="51" t="inlineStr">
        <is>
          <t>+44 (0)20 7384 9600</t>
        </is>
      </c>
      <c r="AR307" s="52" t="inlineStr">
        <is>
          <t/>
        </is>
      </c>
      <c r="AS307" s="53" t="inlineStr">
        <is>
          <t>info@myshowcase.com</t>
        </is>
      </c>
      <c r="AT307" s="54" t="inlineStr">
        <is>
          <t>Europe</t>
        </is>
      </c>
      <c r="AU307" s="55" t="inlineStr">
        <is>
          <t>Western Europe</t>
        </is>
      </c>
      <c r="AV307" s="56" t="inlineStr">
        <is>
          <t>The company raised GBP 1.03 million of angel funding via crowdfunding platform CrowdCube on January 21, 2017. The business plans to use the cash to run smart tests on Facebook and added the extra investment would allow it to drive digital growth.</t>
        </is>
      </c>
      <c r="AW307" s="57" t="inlineStr">
        <is>
          <t>24Haymarket, Individual Investor, Miroma Ventures</t>
        </is>
      </c>
      <c r="AX307" s="58" t="n">
        <v>3.0</v>
      </c>
      <c r="AY307" s="59" t="inlineStr">
        <is>
          <t/>
        </is>
      </c>
      <c r="AZ307" s="60" t="inlineStr">
        <is>
          <t/>
        </is>
      </c>
      <c r="BA307" s="61" t="inlineStr">
        <is>
          <t/>
        </is>
      </c>
      <c r="BB307" s="62" t="inlineStr">
        <is>
          <t>24Haymarket (www.24haymarket.com), Miroma Ventures (www.miromaventures.com)</t>
        </is>
      </c>
      <c r="BC307" s="63" t="inlineStr">
        <is>
          <t/>
        </is>
      </c>
      <c r="BD307" s="64" t="inlineStr">
        <is>
          <t/>
        </is>
      </c>
      <c r="BE307" s="65" t="inlineStr">
        <is>
          <t/>
        </is>
      </c>
      <c r="BF307" s="66" t="inlineStr">
        <is>
          <t>Crowdcube (Lead Manager or Arranger), D5 Capital (Advisor)</t>
        </is>
      </c>
      <c r="BG307" s="67" t="n">
        <v>41437.0</v>
      </c>
      <c r="BH307" s="68" t="n">
        <v>0.7</v>
      </c>
      <c r="BI307" s="69" t="inlineStr">
        <is>
          <t>Actual</t>
        </is>
      </c>
      <c r="BJ307" s="70" t="n">
        <v>3.05</v>
      </c>
      <c r="BK307" s="71" t="inlineStr">
        <is>
          <t>Actual</t>
        </is>
      </c>
      <c r="BL307" s="72" t="inlineStr">
        <is>
          <t>Early Stage VC</t>
        </is>
      </c>
      <c r="BM307" s="73" t="inlineStr">
        <is>
          <t/>
        </is>
      </c>
      <c r="BN307" s="74" t="inlineStr">
        <is>
          <t/>
        </is>
      </c>
      <c r="BO307" s="75" t="inlineStr">
        <is>
          <t>Venture Capital</t>
        </is>
      </c>
      <c r="BP307" s="76" t="inlineStr">
        <is>
          <t/>
        </is>
      </c>
      <c r="BQ307" s="77" t="inlineStr">
        <is>
          <t/>
        </is>
      </c>
      <c r="BR307" s="78" t="inlineStr">
        <is>
          <t/>
        </is>
      </c>
      <c r="BS307" s="79" t="inlineStr">
        <is>
          <t>Completed</t>
        </is>
      </c>
      <c r="BT307" s="80" t="n">
        <v>42756.0</v>
      </c>
      <c r="BU307" s="81" t="n">
        <v>1.2</v>
      </c>
      <c r="BV307" s="82" t="inlineStr">
        <is>
          <t>Actual</t>
        </is>
      </c>
      <c r="BW307" s="83" t="inlineStr">
        <is>
          <t/>
        </is>
      </c>
      <c r="BX307" s="84" t="inlineStr">
        <is>
          <t/>
        </is>
      </c>
      <c r="BY307" s="85" t="inlineStr">
        <is>
          <t>Angel (individual)</t>
        </is>
      </c>
      <c r="BZ307" s="86" t="inlineStr">
        <is>
          <t>Angel</t>
        </is>
      </c>
      <c r="CA307" s="87" t="inlineStr">
        <is>
          <t/>
        </is>
      </c>
      <c r="CB307" s="88" t="inlineStr">
        <is>
          <t>Individual</t>
        </is>
      </c>
      <c r="CC307" s="89" t="inlineStr">
        <is>
          <t/>
        </is>
      </c>
      <c r="CD307" s="90" t="inlineStr">
        <is>
          <t/>
        </is>
      </c>
      <c r="CE307" s="91" t="inlineStr">
        <is>
          <t/>
        </is>
      </c>
      <c r="CF307" s="92" t="inlineStr">
        <is>
          <t>Completed</t>
        </is>
      </c>
      <c r="CG307" s="93" t="inlineStr">
        <is>
          <t>1,84%</t>
        </is>
      </c>
      <c r="CH307" s="94" t="inlineStr">
        <is>
          <t>93</t>
        </is>
      </c>
      <c r="CI307" s="95" t="inlineStr">
        <is>
          <t>-0,03%</t>
        </is>
      </c>
      <c r="CJ307" s="96" t="inlineStr">
        <is>
          <t>-1,83%</t>
        </is>
      </c>
      <c r="CK307" s="97" t="inlineStr">
        <is>
          <t>3,66%</t>
        </is>
      </c>
      <c r="CL307" s="98" t="inlineStr">
        <is>
          <t>94</t>
        </is>
      </c>
      <c r="CM307" s="99" t="inlineStr">
        <is>
          <t>0,02%</t>
        </is>
      </c>
      <c r="CN307" s="100" t="inlineStr">
        <is>
          <t>46</t>
        </is>
      </c>
      <c r="CO307" s="101" t="inlineStr">
        <is>
          <t>7,36%</t>
        </is>
      </c>
      <c r="CP307" s="102" t="inlineStr">
        <is>
          <t>98</t>
        </is>
      </c>
      <c r="CQ307" s="103" t="inlineStr">
        <is>
          <t>-0,04%</t>
        </is>
      </c>
      <c r="CR307" s="104" t="inlineStr">
        <is>
          <t>13</t>
        </is>
      </c>
      <c r="CS307" s="105" t="inlineStr">
        <is>
          <t>0,10%</t>
        </is>
      </c>
      <c r="CT307" s="106" t="inlineStr">
        <is>
          <t>58</t>
        </is>
      </c>
      <c r="CU307" s="107" t="inlineStr">
        <is>
          <t>-0,07%</t>
        </is>
      </c>
      <c r="CV307" s="108" t="inlineStr">
        <is>
          <t>9</t>
        </is>
      </c>
      <c r="CW307" s="109" t="inlineStr">
        <is>
          <t>7,70x</t>
        </is>
      </c>
      <c r="CX307" s="110" t="inlineStr">
        <is>
          <t>84</t>
        </is>
      </c>
      <c r="CY307" s="111" t="inlineStr">
        <is>
          <t>0,14x</t>
        </is>
      </c>
      <c r="CZ307" s="112" t="inlineStr">
        <is>
          <t>1,82%</t>
        </is>
      </c>
      <c r="DA307" s="113" t="inlineStr">
        <is>
          <t>5,53x</t>
        </is>
      </c>
      <c r="DB307" s="114" t="inlineStr">
        <is>
          <t>81</t>
        </is>
      </c>
      <c r="DC307" s="115" t="inlineStr">
        <is>
          <t>9,87x</t>
        </is>
      </c>
      <c r="DD307" s="116" t="inlineStr">
        <is>
          <t>84</t>
        </is>
      </c>
      <c r="DE307" s="117" t="inlineStr">
        <is>
          <t>3,48x</t>
        </is>
      </c>
      <c r="DF307" s="118" t="inlineStr">
        <is>
          <t>72</t>
        </is>
      </c>
      <c r="DG307" s="119" t="inlineStr">
        <is>
          <t>7,58x</t>
        </is>
      </c>
      <c r="DH307" s="120" t="inlineStr">
        <is>
          <t>83</t>
        </is>
      </c>
      <c r="DI307" s="121" t="inlineStr">
        <is>
          <t>6,37x</t>
        </is>
      </c>
      <c r="DJ307" s="122" t="inlineStr">
        <is>
          <t>78</t>
        </is>
      </c>
      <c r="DK307" s="123" t="inlineStr">
        <is>
          <t>13,38x</t>
        </is>
      </c>
      <c r="DL307" s="124" t="inlineStr">
        <is>
          <t>89</t>
        </is>
      </c>
      <c r="DM307" s="125" t="inlineStr">
        <is>
          <t>2.101</t>
        </is>
      </c>
      <c r="DN307" s="126" t="inlineStr">
        <is>
          <t>126</t>
        </is>
      </c>
      <c r="DO307" s="127" t="inlineStr">
        <is>
          <t>6,38%</t>
        </is>
      </c>
      <c r="DP307" s="128" t="inlineStr">
        <is>
          <t>5.085</t>
        </is>
      </c>
      <c r="DQ307" s="129" t="inlineStr">
        <is>
          <t>1</t>
        </is>
      </c>
      <c r="DR307" s="130" t="inlineStr">
        <is>
          <t>0,02%</t>
        </is>
      </c>
      <c r="DS307" s="131" t="inlineStr">
        <is>
          <t>273</t>
        </is>
      </c>
      <c r="DT307" s="132" t="inlineStr">
        <is>
          <t>-2</t>
        </is>
      </c>
      <c r="DU307" s="133" t="inlineStr">
        <is>
          <t>-0,73%</t>
        </is>
      </c>
      <c r="DV307" s="134" t="inlineStr">
        <is>
          <t>4.589</t>
        </is>
      </c>
      <c r="DW307" s="135" t="inlineStr">
        <is>
          <t>-4</t>
        </is>
      </c>
      <c r="DX307" s="136" t="inlineStr">
        <is>
          <t>-0,09%</t>
        </is>
      </c>
      <c r="DY307" s="137" t="inlineStr">
        <is>
          <t>PitchBook Research</t>
        </is>
      </c>
      <c r="DZ307" s="785">
        <f>HYPERLINK("https://my.pitchbook.com?c=60025-60", "View company online")</f>
      </c>
    </row>
    <row r="308">
      <c r="A308" s="139" t="inlineStr">
        <is>
          <t>61546-42</t>
        </is>
      </c>
      <c r="B308" s="140" t="inlineStr">
        <is>
          <t>myTomorrows</t>
        </is>
      </c>
      <c r="C308" s="141" t="inlineStr">
        <is>
          <t/>
        </is>
      </c>
      <c r="D308" s="142" t="inlineStr">
        <is>
          <t>MT</t>
        </is>
      </c>
      <c r="E308" s="143" t="inlineStr">
        <is>
          <t>61546-42</t>
        </is>
      </c>
      <c r="F308" s="144" t="inlineStr">
        <is>
          <t>Provider of a drug accessing platform for patients and medical professionals. The company offers an online database platform that enables patients and medical professionals to access information on nascent drugs which are still in clinical development stage to satisfy their unmet medical needs. It also enables drug development companies to run global early access programs.</t>
        </is>
      </c>
      <c r="G308" s="145" t="inlineStr">
        <is>
          <t>Information Technology</t>
        </is>
      </c>
      <c r="H308" s="146" t="inlineStr">
        <is>
          <t>Software</t>
        </is>
      </c>
      <c r="I308" s="147" t="inlineStr">
        <is>
          <t>Database Software</t>
        </is>
      </c>
      <c r="J308" s="148" t="inlineStr">
        <is>
          <t>Database Software*; Other Healthcare Services; Application Software</t>
        </is>
      </c>
      <c r="K308" s="149" t="inlineStr">
        <is>
          <t/>
        </is>
      </c>
      <c r="L308" s="150" t="inlineStr">
        <is>
          <t>Venture Capital-Backed</t>
        </is>
      </c>
      <c r="M308" s="151" t="n">
        <v>19.33</v>
      </c>
      <c r="N308" s="152" t="inlineStr">
        <is>
          <t>Startup</t>
        </is>
      </c>
      <c r="O308" s="153" t="inlineStr">
        <is>
          <t>Privately Held (backing)</t>
        </is>
      </c>
      <c r="P308" s="154" t="inlineStr">
        <is>
          <t>Venture Capital</t>
        </is>
      </c>
      <c r="Q308" s="155" t="inlineStr">
        <is>
          <t>www.mytomorrows.com</t>
        </is>
      </c>
      <c r="R308" s="156" t="n">
        <v>43.0</v>
      </c>
      <c r="S308" s="157" t="inlineStr">
        <is>
          <t/>
        </is>
      </c>
      <c r="T308" s="158" t="inlineStr">
        <is>
          <t/>
        </is>
      </c>
      <c r="U308" s="159" t="n">
        <v>2012.0</v>
      </c>
      <c r="V308" s="160" t="inlineStr">
        <is>
          <t/>
        </is>
      </c>
      <c r="W308" s="161" t="inlineStr">
        <is>
          <t/>
        </is>
      </c>
      <c r="X308" s="162" t="inlineStr">
        <is>
          <t/>
        </is>
      </c>
      <c r="Y308" s="163" t="inlineStr">
        <is>
          <t/>
        </is>
      </c>
      <c r="Z308" s="164" t="inlineStr">
        <is>
          <t/>
        </is>
      </c>
      <c r="AA308" s="165" t="inlineStr">
        <is>
          <t/>
        </is>
      </c>
      <c r="AB308" s="166" t="inlineStr">
        <is>
          <t/>
        </is>
      </c>
      <c r="AC308" s="167" t="inlineStr">
        <is>
          <t/>
        </is>
      </c>
      <c r="AD308" s="168" t="inlineStr">
        <is>
          <t/>
        </is>
      </c>
      <c r="AE308" s="169" t="inlineStr">
        <is>
          <t>61752-88P</t>
        </is>
      </c>
      <c r="AF308" s="170" t="inlineStr">
        <is>
          <t>Erdem Yavuz</t>
        </is>
      </c>
      <c r="AG308" s="171" t="inlineStr">
        <is>
          <t>Chief Financial Officer &amp; Co-Founder</t>
        </is>
      </c>
      <c r="AH308" s="172" t="inlineStr">
        <is>
          <t>erdem.yavuz@mytomorrows.com</t>
        </is>
      </c>
      <c r="AI308" s="173" t="inlineStr">
        <is>
          <t>+31 (0)88 525 3888</t>
        </is>
      </c>
      <c r="AJ308" s="174" t="inlineStr">
        <is>
          <t>Amsterdam, Netherlands</t>
        </is>
      </c>
      <c r="AK308" s="175" t="inlineStr">
        <is>
          <t>Pilotenstraat 45</t>
        </is>
      </c>
      <c r="AL308" s="176" t="inlineStr">
        <is>
          <t/>
        </is>
      </c>
      <c r="AM308" s="177" t="inlineStr">
        <is>
          <t>Amsterdam</t>
        </is>
      </c>
      <c r="AN308" s="178" t="inlineStr">
        <is>
          <t/>
        </is>
      </c>
      <c r="AO308" s="179" t="inlineStr">
        <is>
          <t>1059 CH</t>
        </is>
      </c>
      <c r="AP308" s="180" t="inlineStr">
        <is>
          <t>Netherlands</t>
        </is>
      </c>
      <c r="AQ308" s="181" t="inlineStr">
        <is>
          <t>+31 (0)88 525 3888</t>
        </is>
      </c>
      <c r="AR308" s="182" t="inlineStr">
        <is>
          <t/>
        </is>
      </c>
      <c r="AS308" s="183" t="inlineStr">
        <is>
          <t>info@mytomorrows.com</t>
        </is>
      </c>
      <c r="AT308" s="184" t="inlineStr">
        <is>
          <t>Europe</t>
        </is>
      </c>
      <c r="AU308" s="185" t="inlineStr">
        <is>
          <t>Western Europe</t>
        </is>
      </c>
      <c r="AV308" s="186" t="inlineStr">
        <is>
          <t>The company raised EUR 10 million of venture funding in a deal led by EQT Ventures and Octopus Ventures on January 9, 2017. Balderton Capital and Sofinnova Investments also participated in the round. The company will use the funds to further accelerate investments in technologies and talent in order to continue to unburden regulators, physicians and drug developers from the complex processes of providing access to investigational drugs for patients facing unmet medical needs.</t>
        </is>
      </c>
      <c r="AW308" s="187" t="inlineStr">
        <is>
          <t>Balderton Capital, EQT Ventures, Individual Investor, Kreos Capital, Octopus Investments, Octopus Ventures, Sofinnova Partners</t>
        </is>
      </c>
      <c r="AX308" s="188" t="n">
        <v>7.0</v>
      </c>
      <c r="AY308" s="189" t="inlineStr">
        <is>
          <t/>
        </is>
      </c>
      <c r="AZ308" s="190" t="inlineStr">
        <is>
          <t/>
        </is>
      </c>
      <c r="BA308" s="191" t="inlineStr">
        <is>
          <t/>
        </is>
      </c>
      <c r="BB308" s="192" t="inlineStr">
        <is>
          <t>Balderton Capital (www.balderton.com), EQT Ventures (www.eqtventures.com), Kreos Capital (www.kreoscapital.com), Octopus Investments (www.octopusinvestments.com), Octopus Ventures (www.octopusventures.com), Sofinnova Partners (www.sofinnova.fr)</t>
        </is>
      </c>
      <c r="BC308" s="193" t="inlineStr">
        <is>
          <t/>
        </is>
      </c>
      <c r="BD308" s="194" t="inlineStr">
        <is>
          <t/>
        </is>
      </c>
      <c r="BE308" s="195" t="inlineStr">
        <is>
          <t>Erevena (Consulting), Allen &amp; Overy (Legal Advisor)</t>
        </is>
      </c>
      <c r="BF308" s="196" t="inlineStr">
        <is>
          <t>Kreos Capital, Allen &amp; Overy (Legal Advisor)</t>
        </is>
      </c>
      <c r="BG308" s="197" t="inlineStr">
        <is>
          <t/>
        </is>
      </c>
      <c r="BH308" s="198" t="n">
        <v>3.22</v>
      </c>
      <c r="BI308" s="199" t="inlineStr">
        <is>
          <t>Actual</t>
        </is>
      </c>
      <c r="BJ308" s="200" t="inlineStr">
        <is>
          <t/>
        </is>
      </c>
      <c r="BK308" s="201" t="inlineStr">
        <is>
          <t/>
        </is>
      </c>
      <c r="BL308" s="202" t="inlineStr">
        <is>
          <t>Angel (individual)</t>
        </is>
      </c>
      <c r="BM308" s="203" t="inlineStr">
        <is>
          <t>Angel</t>
        </is>
      </c>
      <c r="BN308" s="204" t="inlineStr">
        <is>
          <t/>
        </is>
      </c>
      <c r="BO308" s="205" t="inlineStr">
        <is>
          <t>Individual</t>
        </is>
      </c>
      <c r="BP308" s="206" t="inlineStr">
        <is>
          <t/>
        </is>
      </c>
      <c r="BQ308" s="207" t="inlineStr">
        <is>
          <t/>
        </is>
      </c>
      <c r="BR308" s="208" t="inlineStr">
        <is>
          <t/>
        </is>
      </c>
      <c r="BS308" s="209" t="inlineStr">
        <is>
          <t>Completed</t>
        </is>
      </c>
      <c r="BT308" s="210" t="n">
        <v>42744.0</v>
      </c>
      <c r="BU308" s="211" t="n">
        <v>10.0</v>
      </c>
      <c r="BV308" s="212" t="inlineStr">
        <is>
          <t>Actual</t>
        </is>
      </c>
      <c r="BW308" s="213" t="inlineStr">
        <is>
          <t/>
        </is>
      </c>
      <c r="BX308" s="214" t="inlineStr">
        <is>
          <t/>
        </is>
      </c>
      <c r="BY308" s="215" t="inlineStr">
        <is>
          <t>Early Stage VC</t>
        </is>
      </c>
      <c r="BZ308" s="216" t="inlineStr">
        <is>
          <t/>
        </is>
      </c>
      <c r="CA308" s="217" t="inlineStr">
        <is>
          <t/>
        </is>
      </c>
      <c r="CB308" s="218" t="inlineStr">
        <is>
          <t>Venture Capital</t>
        </is>
      </c>
      <c r="CC308" s="219" t="inlineStr">
        <is>
          <t/>
        </is>
      </c>
      <c r="CD308" s="220" t="inlineStr">
        <is>
          <t/>
        </is>
      </c>
      <c r="CE308" s="221" t="inlineStr">
        <is>
          <t/>
        </is>
      </c>
      <c r="CF308" s="222" t="inlineStr">
        <is>
          <t>Completed</t>
        </is>
      </c>
      <c r="CG308" s="223" t="inlineStr">
        <is>
          <t>-2,31%</t>
        </is>
      </c>
      <c r="CH308" s="224" t="inlineStr">
        <is>
          <t>2</t>
        </is>
      </c>
      <c r="CI308" s="225" t="inlineStr">
        <is>
          <t>0,00%</t>
        </is>
      </c>
      <c r="CJ308" s="226" t="inlineStr">
        <is>
          <t>-0,20%</t>
        </is>
      </c>
      <c r="CK308" s="227" t="inlineStr">
        <is>
          <t>-4,60%</t>
        </is>
      </c>
      <c r="CL308" s="228" t="inlineStr">
        <is>
          <t>2</t>
        </is>
      </c>
      <c r="CM308" s="229" t="inlineStr">
        <is>
          <t>-0,02%</t>
        </is>
      </c>
      <c r="CN308" s="230" t="inlineStr">
        <is>
          <t>14</t>
        </is>
      </c>
      <c r="CO308" s="231" t="inlineStr">
        <is>
          <t>-7,79%</t>
        </is>
      </c>
      <c r="CP308" s="232" t="inlineStr">
        <is>
          <t>3</t>
        </is>
      </c>
      <c r="CQ308" s="233" t="inlineStr">
        <is>
          <t>-1,41%</t>
        </is>
      </c>
      <c r="CR308" s="234" t="inlineStr">
        <is>
          <t>2</t>
        </is>
      </c>
      <c r="CS308" s="235" t="inlineStr">
        <is>
          <t>0,10%</t>
        </is>
      </c>
      <c r="CT308" s="236" t="inlineStr">
        <is>
          <t>58</t>
        </is>
      </c>
      <c r="CU308" s="237" t="inlineStr">
        <is>
          <t>-0,14%</t>
        </is>
      </c>
      <c r="CV308" s="238" t="inlineStr">
        <is>
          <t>4</t>
        </is>
      </c>
      <c r="CW308" s="239" t="inlineStr">
        <is>
          <t>6,05x</t>
        </is>
      </c>
      <c r="CX308" s="240" t="inlineStr">
        <is>
          <t>81</t>
        </is>
      </c>
      <c r="CY308" s="241" t="inlineStr">
        <is>
          <t>0,11x</t>
        </is>
      </c>
      <c r="CZ308" s="242" t="inlineStr">
        <is>
          <t>1,83%</t>
        </is>
      </c>
      <c r="DA308" s="243" t="inlineStr">
        <is>
          <t>3,16x</t>
        </is>
      </c>
      <c r="DB308" s="244" t="inlineStr">
        <is>
          <t>74</t>
        </is>
      </c>
      <c r="DC308" s="245" t="inlineStr">
        <is>
          <t>8,95x</t>
        </is>
      </c>
      <c r="DD308" s="246" t="inlineStr">
        <is>
          <t>83</t>
        </is>
      </c>
      <c r="DE308" s="247" t="inlineStr">
        <is>
          <t>1,55x</t>
        </is>
      </c>
      <c r="DF308" s="248" t="inlineStr">
        <is>
          <t>59</t>
        </is>
      </c>
      <c r="DG308" s="249" t="inlineStr">
        <is>
          <t>4,78x</t>
        </is>
      </c>
      <c r="DH308" s="250" t="inlineStr">
        <is>
          <t>78</t>
        </is>
      </c>
      <c r="DI308" s="251" t="inlineStr">
        <is>
          <t>12,33x</t>
        </is>
      </c>
      <c r="DJ308" s="252" t="inlineStr">
        <is>
          <t>84</t>
        </is>
      </c>
      <c r="DK308" s="253" t="inlineStr">
        <is>
          <t>5,56x</t>
        </is>
      </c>
      <c r="DL308" s="254" t="inlineStr">
        <is>
          <t>79</t>
        </is>
      </c>
      <c r="DM308" s="255" t="inlineStr">
        <is>
          <t>1.027</t>
        </is>
      </c>
      <c r="DN308" s="256" t="inlineStr">
        <is>
          <t>-226</t>
        </is>
      </c>
      <c r="DO308" s="257" t="inlineStr">
        <is>
          <t>-18,04%</t>
        </is>
      </c>
      <c r="DP308" s="258" t="inlineStr">
        <is>
          <t>9.850</t>
        </is>
      </c>
      <c r="DQ308" s="259" t="inlineStr">
        <is>
          <t>27</t>
        </is>
      </c>
      <c r="DR308" s="260" t="inlineStr">
        <is>
          <t>0,27%</t>
        </is>
      </c>
      <c r="DS308" s="261" t="inlineStr">
        <is>
          <t>173</t>
        </is>
      </c>
      <c r="DT308" s="262" t="inlineStr">
        <is>
          <t>-2</t>
        </is>
      </c>
      <c r="DU308" s="263" t="inlineStr">
        <is>
          <t>-1,14%</t>
        </is>
      </c>
      <c r="DV308" s="264" t="inlineStr">
        <is>
          <t>1.907</t>
        </is>
      </c>
      <c r="DW308" s="265" t="inlineStr">
        <is>
          <t>2</t>
        </is>
      </c>
      <c r="DX308" s="266" t="inlineStr">
        <is>
          <t>0,10%</t>
        </is>
      </c>
      <c r="DY308" s="267" t="inlineStr">
        <is>
          <t>PitchBook Research</t>
        </is>
      </c>
      <c r="DZ308" s="786">
        <f>HYPERLINK("https://my.pitchbook.com?c=61546-42", "View company online")</f>
      </c>
    </row>
    <row r="309">
      <c r="A309" s="9" t="inlineStr">
        <is>
          <t>64126-90</t>
        </is>
      </c>
      <c r="B309" s="10" t="inlineStr">
        <is>
          <t>N26</t>
        </is>
      </c>
      <c r="C309" s="11" t="inlineStr">
        <is>
          <t>Papayer, Number26</t>
        </is>
      </c>
      <c r="D309" s="12" t="inlineStr">
        <is>
          <t/>
        </is>
      </c>
      <c r="E309" s="13" t="inlineStr">
        <is>
          <t>64126-90</t>
        </is>
      </c>
      <c r="F309" s="14" t="inlineStr">
        <is>
          <t>Provider of banking services to customers in Berlin, Germany. The company offers consumer banking services including current accounts, MasterCard and MaestroCard and enables them to manage and control their banking details via a smartphone application.</t>
        </is>
      </c>
      <c r="G309" s="15" t="inlineStr">
        <is>
          <t>Information Technology</t>
        </is>
      </c>
      <c r="H309" s="16" t="inlineStr">
        <is>
          <t>Software</t>
        </is>
      </c>
      <c r="I309" s="17" t="inlineStr">
        <is>
          <t>Financial Software</t>
        </is>
      </c>
      <c r="J309" s="18" t="inlineStr">
        <is>
          <t>Financial Software*; Consumer Finance; Application Software</t>
        </is>
      </c>
      <c r="K309" s="19" t="inlineStr">
        <is>
          <t>FinTech, Mobile</t>
        </is>
      </c>
      <c r="L309" s="20" t="inlineStr">
        <is>
          <t>Venture Capital-Backed</t>
        </is>
      </c>
      <c r="M309" s="21" t="n">
        <v>47.3</v>
      </c>
      <c r="N309" s="22" t="inlineStr">
        <is>
          <t>Startup</t>
        </is>
      </c>
      <c r="O309" s="23" t="inlineStr">
        <is>
          <t>Privately Held (backing)</t>
        </is>
      </c>
      <c r="P309" s="24" t="inlineStr">
        <is>
          <t>Venture Capital</t>
        </is>
      </c>
      <c r="Q309" s="25" t="inlineStr">
        <is>
          <t>next.n26.com</t>
        </is>
      </c>
      <c r="R309" s="26" t="n">
        <v>140.0</v>
      </c>
      <c r="S309" s="27" t="inlineStr">
        <is>
          <t/>
        </is>
      </c>
      <c r="T309" s="28" t="inlineStr">
        <is>
          <t/>
        </is>
      </c>
      <c r="U309" s="29" t="n">
        <v>2013.0</v>
      </c>
      <c r="V309" s="30" t="inlineStr">
        <is>
          <t/>
        </is>
      </c>
      <c r="W309" s="31" t="inlineStr">
        <is>
          <t/>
        </is>
      </c>
      <c r="X309" s="32" t="inlineStr">
        <is>
          <t/>
        </is>
      </c>
      <c r="Y309" s="33" t="inlineStr">
        <is>
          <t/>
        </is>
      </c>
      <c r="Z309" s="34" t="inlineStr">
        <is>
          <t/>
        </is>
      </c>
      <c r="AA309" s="35" t="inlineStr">
        <is>
          <t/>
        </is>
      </c>
      <c r="AB309" s="36" t="inlineStr">
        <is>
          <t/>
        </is>
      </c>
      <c r="AC309" s="37" t="inlineStr">
        <is>
          <t/>
        </is>
      </c>
      <c r="AD309" s="38" t="inlineStr">
        <is>
          <t/>
        </is>
      </c>
      <c r="AE309" s="39" t="inlineStr">
        <is>
          <t>70368-22P</t>
        </is>
      </c>
      <c r="AF309" s="40" t="inlineStr">
        <is>
          <t>Maximilian Tayenthal</t>
        </is>
      </c>
      <c r="AG309" s="41" t="inlineStr">
        <is>
          <t>Co-Founder, Managing Director, Chief Financial Officer, Chief Operating Officer &amp; Board Member</t>
        </is>
      </c>
      <c r="AH309" s="42" t="inlineStr">
        <is>
          <t>maximilian.tayenthal@number26.de</t>
        </is>
      </c>
      <c r="AI309" s="43" t="inlineStr">
        <is>
          <t>+49 (0)30 3642 8688 0</t>
        </is>
      </c>
      <c r="AJ309" s="44" t="inlineStr">
        <is>
          <t>Berlin, Germany</t>
        </is>
      </c>
      <c r="AK309" s="45" t="inlineStr">
        <is>
          <t>Klosterstraße 62</t>
        </is>
      </c>
      <c r="AL309" s="46" t="inlineStr">
        <is>
          <t/>
        </is>
      </c>
      <c r="AM309" s="47" t="inlineStr">
        <is>
          <t>Berlin</t>
        </is>
      </c>
      <c r="AN309" s="48" t="inlineStr">
        <is>
          <t/>
        </is>
      </c>
      <c r="AO309" s="49" t="inlineStr">
        <is>
          <t>10179</t>
        </is>
      </c>
      <c r="AP309" s="50" t="inlineStr">
        <is>
          <t>Germany</t>
        </is>
      </c>
      <c r="AQ309" s="51" t="inlineStr">
        <is>
          <t>+49 (0)30 3642 8688 0</t>
        </is>
      </c>
      <c r="AR309" s="52" t="inlineStr">
        <is>
          <t/>
        </is>
      </c>
      <c r="AS309" s="53" t="inlineStr">
        <is>
          <t>hello@number26.de</t>
        </is>
      </c>
      <c r="AT309" s="54" t="inlineStr">
        <is>
          <t>Europe</t>
        </is>
      </c>
      <c r="AU309" s="55" t="inlineStr">
        <is>
          <t>Western Europe</t>
        </is>
      </c>
      <c r="AV309" s="56" t="inlineStr">
        <is>
          <t>angelfund.vc sold its stake in the company on an undisclosed date. Previously, the company raised $40 million of Series B venture funding in a deal led by Horizons Ventures on June 21, 2016. Redalpine Venture Partners, Earlybird Venture Capital, Valar Ventures, Battery Ventures, Robert Gentz, David Schneider and Rubin Ritter also participated in the round.</t>
        </is>
      </c>
      <c r="AW309" s="57" t="inlineStr">
        <is>
          <t>Armada Investment, Axel Springer Plug and Play Accelerator, Battery Ventures, Christian Nagel, Daniel Aegerter, David Schneider, Earlybird Venture Capital, Horizons Ventures, ImWind, Individual Investor, Plug and Play Tech Center, Redalpine Venture Partners, Robert Gentz, Rubin Ritter, Simon Schmincke, Valar Ventures</t>
        </is>
      </c>
      <c r="AX309" s="58" t="n">
        <v>16.0</v>
      </c>
      <c r="AY309" s="59" t="inlineStr">
        <is>
          <t/>
        </is>
      </c>
      <c r="AZ309" s="60" t="inlineStr">
        <is>
          <t>angelfund.vc</t>
        </is>
      </c>
      <c r="BA309" s="61" t="inlineStr">
        <is>
          <t/>
        </is>
      </c>
      <c r="BB309" s="62" t="inlineStr">
        <is>
          <t>Armada Investment (www.armada.com), Axel Springer Plug and Play Accelerator (www.axelspringerplugandplay.com), Battery Ventures (www.battery.com), Earlybird Venture Capital (www.earlybird.com), Horizons Ventures (www.horizonsventures.com), ImWind (www.imwind.at), Plug and Play Tech Center (www.plugandplaytechcenter.com), Redalpine Venture Partners (www.redalpine.com), Valar Ventures (www.valarventures.com)</t>
        </is>
      </c>
      <c r="BC309" s="63" t="inlineStr">
        <is>
          <t>angelfund.vc (angelfund.vc)</t>
        </is>
      </c>
      <c r="BD309" s="64" t="inlineStr">
        <is>
          <t/>
        </is>
      </c>
      <c r="BE309" s="65" t="inlineStr">
        <is>
          <t>KPMG Rechtsanwaltsgesellschaft (Legal Advisor)</t>
        </is>
      </c>
      <c r="BF309" s="66" t="inlineStr">
        <is>
          <t/>
        </is>
      </c>
      <c r="BG309" s="67" t="n">
        <v>41760.0</v>
      </c>
      <c r="BH309" s="68" t="n">
        <v>1.89</v>
      </c>
      <c r="BI309" s="69" t="inlineStr">
        <is>
          <t>Actual</t>
        </is>
      </c>
      <c r="BJ309" s="70" t="inlineStr">
        <is>
          <t/>
        </is>
      </c>
      <c r="BK309" s="71" t="inlineStr">
        <is>
          <t/>
        </is>
      </c>
      <c r="BL309" s="72" t="inlineStr">
        <is>
          <t>Seed Round</t>
        </is>
      </c>
      <c r="BM309" s="73" t="inlineStr">
        <is>
          <t>Series A</t>
        </is>
      </c>
      <c r="BN309" s="74" t="inlineStr">
        <is>
          <t/>
        </is>
      </c>
      <c r="BO309" s="75" t="inlineStr">
        <is>
          <t>Venture Capital</t>
        </is>
      </c>
      <c r="BP309" s="76" t="inlineStr">
        <is>
          <t/>
        </is>
      </c>
      <c r="BQ309" s="77" t="inlineStr">
        <is>
          <t/>
        </is>
      </c>
      <c r="BR309" s="78" t="inlineStr">
        <is>
          <t/>
        </is>
      </c>
      <c r="BS309" s="79" t="inlineStr">
        <is>
          <t>Completed</t>
        </is>
      </c>
      <c r="BT309" s="80" t="inlineStr">
        <is>
          <t/>
        </is>
      </c>
      <c r="BU309" s="81" t="inlineStr">
        <is>
          <t/>
        </is>
      </c>
      <c r="BV309" s="82" t="inlineStr">
        <is>
          <t/>
        </is>
      </c>
      <c r="BW309" s="83" t="inlineStr">
        <is>
          <t/>
        </is>
      </c>
      <c r="BX309" s="84" t="inlineStr">
        <is>
          <t/>
        </is>
      </c>
      <c r="BY309" s="85" t="inlineStr">
        <is>
          <t>Secondary Transaction - Private</t>
        </is>
      </c>
      <c r="BZ309" s="86" t="inlineStr">
        <is>
          <t/>
        </is>
      </c>
      <c r="CA309" s="87" t="inlineStr">
        <is>
          <t/>
        </is>
      </c>
      <c r="CB309" s="88" t="inlineStr">
        <is>
          <t>Venture Capital</t>
        </is>
      </c>
      <c r="CC309" s="89" t="inlineStr">
        <is>
          <t/>
        </is>
      </c>
      <c r="CD309" s="90" t="inlineStr">
        <is>
          <t/>
        </is>
      </c>
      <c r="CE309" s="91" t="inlineStr">
        <is>
          <t/>
        </is>
      </c>
      <c r="CF309" s="92" t="inlineStr">
        <is>
          <t>Completed</t>
        </is>
      </c>
      <c r="CG309" s="93" t="inlineStr">
        <is>
          <t>0,02%</t>
        </is>
      </c>
      <c r="CH309" s="94" t="inlineStr">
        <is>
          <t>66</t>
        </is>
      </c>
      <c r="CI309" s="95" t="inlineStr">
        <is>
          <t>-0,01%</t>
        </is>
      </c>
      <c r="CJ309" s="96" t="inlineStr">
        <is>
          <t>-31,01%</t>
        </is>
      </c>
      <c r="CK309" s="97" t="inlineStr">
        <is>
          <t/>
        </is>
      </c>
      <c r="CL309" s="98" t="inlineStr">
        <is>
          <t/>
        </is>
      </c>
      <c r="CM309" s="99" t="inlineStr">
        <is>
          <t>0,04%</t>
        </is>
      </c>
      <c r="CN309" s="100" t="inlineStr">
        <is>
          <t>50</t>
        </is>
      </c>
      <c r="CO309" s="101" t="inlineStr">
        <is>
          <t/>
        </is>
      </c>
      <c r="CP309" s="102" t="inlineStr">
        <is>
          <t/>
        </is>
      </c>
      <c r="CQ309" s="103" t="inlineStr">
        <is>
          <t/>
        </is>
      </c>
      <c r="CR309" s="104" t="inlineStr">
        <is>
          <t/>
        </is>
      </c>
      <c r="CS309" s="105" t="inlineStr">
        <is>
          <t>0,21%</t>
        </is>
      </c>
      <c r="CT309" s="106" t="inlineStr">
        <is>
          <t>71</t>
        </is>
      </c>
      <c r="CU309" s="107" t="inlineStr">
        <is>
          <t>-0,13%</t>
        </is>
      </c>
      <c r="CV309" s="108" t="inlineStr">
        <is>
          <t>4</t>
        </is>
      </c>
      <c r="CW309" s="109" t="inlineStr">
        <is>
          <t>1,93x</t>
        </is>
      </c>
      <c r="CX309" s="110" t="inlineStr">
        <is>
          <t>63</t>
        </is>
      </c>
      <c r="CY309" s="111" t="inlineStr">
        <is>
          <t>0,02x</t>
        </is>
      </c>
      <c r="CZ309" s="112" t="inlineStr">
        <is>
          <t>1,29%</t>
        </is>
      </c>
      <c r="DA309" s="113" t="inlineStr">
        <is>
          <t/>
        </is>
      </c>
      <c r="DB309" s="114" t="inlineStr">
        <is>
          <t/>
        </is>
      </c>
      <c r="DC309" s="115" t="inlineStr">
        <is>
          <t>1,45x</t>
        </is>
      </c>
      <c r="DD309" s="116" t="inlineStr">
        <is>
          <t>55</t>
        </is>
      </c>
      <c r="DE309" s="117" t="inlineStr">
        <is>
          <t/>
        </is>
      </c>
      <c r="DF309" s="118" t="inlineStr">
        <is>
          <t/>
        </is>
      </c>
      <c r="DG309" s="119" t="inlineStr">
        <is>
          <t/>
        </is>
      </c>
      <c r="DH309" s="120" t="inlineStr">
        <is>
          <t/>
        </is>
      </c>
      <c r="DI309" s="121" t="inlineStr">
        <is>
          <t>1,46x</t>
        </is>
      </c>
      <c r="DJ309" s="122" t="inlineStr">
        <is>
          <t>57</t>
        </is>
      </c>
      <c r="DK309" s="123" t="inlineStr">
        <is>
          <t>1,45x</t>
        </is>
      </c>
      <c r="DL309" s="124" t="inlineStr">
        <is>
          <t>57</t>
        </is>
      </c>
      <c r="DM309" s="125" t="inlineStr">
        <is>
          <t/>
        </is>
      </c>
      <c r="DN309" s="126" t="inlineStr">
        <is>
          <t/>
        </is>
      </c>
      <c r="DO309" s="127" t="inlineStr">
        <is>
          <t/>
        </is>
      </c>
      <c r="DP309" s="128" t="inlineStr">
        <is>
          <t>1.165</t>
        </is>
      </c>
      <c r="DQ309" s="129" t="inlineStr">
        <is>
          <t>2</t>
        </is>
      </c>
      <c r="DR309" s="130" t="inlineStr">
        <is>
          <t>0,17%</t>
        </is>
      </c>
      <c r="DS309" s="131" t="inlineStr">
        <is>
          <t/>
        </is>
      </c>
      <c r="DT309" s="132" t="inlineStr">
        <is>
          <t/>
        </is>
      </c>
      <c r="DU309" s="133" t="inlineStr">
        <is>
          <t/>
        </is>
      </c>
      <c r="DV309" s="134" t="inlineStr">
        <is>
          <t>496</t>
        </is>
      </c>
      <c r="DW309" s="135" t="inlineStr">
        <is>
          <t>0</t>
        </is>
      </c>
      <c r="DX309" s="136" t="inlineStr">
        <is>
          <t>0,00%</t>
        </is>
      </c>
      <c r="DY309" s="137" t="inlineStr">
        <is>
          <t>PitchBook Research</t>
        </is>
      </c>
      <c r="DZ309" s="785">
        <f>HYPERLINK("https://my.pitchbook.com?c=64126-90", "View company online")</f>
      </c>
    </row>
    <row r="310">
      <c r="A310" s="139" t="inlineStr">
        <is>
          <t>156371-32</t>
        </is>
      </c>
      <c r="B310" s="140" t="inlineStr">
        <is>
          <t>NA-KD</t>
        </is>
      </c>
      <c r="C310" s="141" t="inlineStr">
        <is>
          <t/>
        </is>
      </c>
      <c r="D310" s="142" t="inlineStr">
        <is>
          <t/>
        </is>
      </c>
      <c r="E310" s="143" t="inlineStr">
        <is>
          <t>156371-32</t>
        </is>
      </c>
      <c r="F310" s="144" t="inlineStr">
        <is>
          <t>Provider and operator of an online store for apparel. The company provides a marketplace for fashion, apparel and accessories for women. It also offers sports wear, beauty products and books.</t>
        </is>
      </c>
      <c r="G310" s="145" t="inlineStr">
        <is>
          <t>Consumer Products and Services (B2C)</t>
        </is>
      </c>
      <c r="H310" s="146" t="inlineStr">
        <is>
          <t>Apparel and Accessories</t>
        </is>
      </c>
      <c r="I310" s="147" t="inlineStr">
        <is>
          <t>Accessories</t>
        </is>
      </c>
      <c r="J310" s="148" t="inlineStr">
        <is>
          <t>Accessories*; Clothing; Internet Retail</t>
        </is>
      </c>
      <c r="K310" s="149" t="inlineStr">
        <is>
          <t>E-Commerce</t>
        </is>
      </c>
      <c r="L310" s="150" t="inlineStr">
        <is>
          <t>Venture Capital-Backed</t>
        </is>
      </c>
      <c r="M310" s="151" t="n">
        <v>19.82</v>
      </c>
      <c r="N310" s="152" t="inlineStr">
        <is>
          <t>Generating Revenue</t>
        </is>
      </c>
      <c r="O310" s="153" t="inlineStr">
        <is>
          <t>Privately Held (backing)</t>
        </is>
      </c>
      <c r="P310" s="154" t="inlineStr">
        <is>
          <t>Venture Capital</t>
        </is>
      </c>
      <c r="Q310" s="155" t="inlineStr">
        <is>
          <t>www.na-kd.com</t>
        </is>
      </c>
      <c r="R310" s="156" t="n">
        <v>90.0</v>
      </c>
      <c r="S310" s="157" t="inlineStr">
        <is>
          <t/>
        </is>
      </c>
      <c r="T310" s="158" t="inlineStr">
        <is>
          <t/>
        </is>
      </c>
      <c r="U310" s="159" t="n">
        <v>2015.0</v>
      </c>
      <c r="V310" s="160" t="inlineStr">
        <is>
          <t/>
        </is>
      </c>
      <c r="W310" s="161" t="inlineStr">
        <is>
          <t/>
        </is>
      </c>
      <c r="X310" s="162" t="inlineStr">
        <is>
          <t/>
        </is>
      </c>
      <c r="Y310" s="163" t="n">
        <v>21.9978</v>
      </c>
      <c r="Z310" s="164" t="inlineStr">
        <is>
          <t/>
        </is>
      </c>
      <c r="AA310" s="165" t="inlineStr">
        <is>
          <t/>
        </is>
      </c>
      <c r="AB310" s="166" t="inlineStr">
        <is>
          <t/>
        </is>
      </c>
      <c r="AC310" s="167" t="inlineStr">
        <is>
          <t/>
        </is>
      </c>
      <c r="AD310" s="168" t="inlineStr">
        <is>
          <t>FY 2016</t>
        </is>
      </c>
      <c r="AE310" s="169" t="inlineStr">
        <is>
          <t>146256-58P</t>
        </is>
      </c>
      <c r="AF310" s="170" t="inlineStr">
        <is>
          <t>Patrik Emanuelsson</t>
        </is>
      </c>
      <c r="AG310" s="171" t="inlineStr">
        <is>
          <t>Chief Financial Officer</t>
        </is>
      </c>
      <c r="AH310" s="172" t="inlineStr">
        <is>
          <t>patrik@na-kd.com</t>
        </is>
      </c>
      <c r="AI310" s="173" t="inlineStr">
        <is>
          <t/>
        </is>
      </c>
      <c r="AJ310" s="174" t="inlineStr">
        <is>
          <t>Gothenburg, Sweden</t>
        </is>
      </c>
      <c r="AK310" s="175" t="inlineStr">
        <is>
          <t>Ringögatan 29</t>
        </is>
      </c>
      <c r="AL310" s="176" t="inlineStr">
        <is>
          <t/>
        </is>
      </c>
      <c r="AM310" s="177" t="inlineStr">
        <is>
          <t>Gothenburg</t>
        </is>
      </c>
      <c r="AN310" s="178" t="inlineStr">
        <is>
          <t/>
        </is>
      </c>
      <c r="AO310" s="179" t="inlineStr">
        <is>
          <t>417 07</t>
        </is>
      </c>
      <c r="AP310" s="180" t="inlineStr">
        <is>
          <t>Sweden</t>
        </is>
      </c>
      <c r="AQ310" s="181" t="inlineStr">
        <is>
          <t/>
        </is>
      </c>
      <c r="AR310" s="182" t="inlineStr">
        <is>
          <t/>
        </is>
      </c>
      <c r="AS310" s="183" t="inlineStr">
        <is>
          <t/>
        </is>
      </c>
      <c r="AT310" s="184" t="inlineStr">
        <is>
          <t>Europe</t>
        </is>
      </c>
      <c r="AU310" s="185" t="inlineStr">
        <is>
          <t>Northern Europe</t>
        </is>
      </c>
      <c r="AV310" s="186" t="inlineStr">
        <is>
          <t>The company raised EUR 14 million of venture funding from lead investor Northzone Ventures on January 3, 2017. eEquity also participated. The company will use the funding for global expansion and inventory as well as improved customer service. Previously, the company raised SEK 35 million of venture funding from Lena Apler, Magnus Emilson and Michael Söderlindh on July 19, 2016.</t>
        </is>
      </c>
      <c r="AW310" s="187" t="inlineStr">
        <is>
          <t>eEquity, Jonas Mårtensson, Lena Apler, Magnus Emilson, Mikael Söderlindh, Northzone Ventures</t>
        </is>
      </c>
      <c r="AX310" s="188" t="n">
        <v>6.0</v>
      </c>
      <c r="AY310" s="189" t="inlineStr">
        <is>
          <t/>
        </is>
      </c>
      <c r="AZ310" s="190" t="inlineStr">
        <is>
          <t/>
        </is>
      </c>
      <c r="BA310" s="191" t="inlineStr">
        <is>
          <t/>
        </is>
      </c>
      <c r="BB310" s="192" t="inlineStr">
        <is>
          <t>eEquity (www.eequity.se), Northzone Ventures (www.northzone.com)</t>
        </is>
      </c>
      <c r="BC310" s="193" t="inlineStr">
        <is>
          <t/>
        </is>
      </c>
      <c r="BD310" s="194" t="inlineStr">
        <is>
          <t/>
        </is>
      </c>
      <c r="BE310" s="195" t="inlineStr">
        <is>
          <t/>
        </is>
      </c>
      <c r="BF310" s="196" t="inlineStr">
        <is>
          <t/>
        </is>
      </c>
      <c r="BG310" s="197" t="n">
        <v>42005.0</v>
      </c>
      <c r="BH310" s="198" t="n">
        <v>2.12</v>
      </c>
      <c r="BI310" s="199" t="inlineStr">
        <is>
          <t>Actual</t>
        </is>
      </c>
      <c r="BJ310" s="200" t="inlineStr">
        <is>
          <t/>
        </is>
      </c>
      <c r="BK310" s="201" t="inlineStr">
        <is>
          <t/>
        </is>
      </c>
      <c r="BL310" s="202" t="inlineStr">
        <is>
          <t>Angel (individual)</t>
        </is>
      </c>
      <c r="BM310" s="203" t="inlineStr">
        <is>
          <t>Angel</t>
        </is>
      </c>
      <c r="BN310" s="204" t="inlineStr">
        <is>
          <t/>
        </is>
      </c>
      <c r="BO310" s="205" t="inlineStr">
        <is>
          <t>Individual</t>
        </is>
      </c>
      <c r="BP310" s="206" t="inlineStr">
        <is>
          <t/>
        </is>
      </c>
      <c r="BQ310" s="207" t="inlineStr">
        <is>
          <t/>
        </is>
      </c>
      <c r="BR310" s="208" t="inlineStr">
        <is>
          <t/>
        </is>
      </c>
      <c r="BS310" s="209" t="inlineStr">
        <is>
          <t>Completed</t>
        </is>
      </c>
      <c r="BT310" s="210" t="n">
        <v>42738.0</v>
      </c>
      <c r="BU310" s="211" t="n">
        <v>14.0</v>
      </c>
      <c r="BV310" s="212" t="inlineStr">
        <is>
          <t>Actual</t>
        </is>
      </c>
      <c r="BW310" s="213" t="inlineStr">
        <is>
          <t/>
        </is>
      </c>
      <c r="BX310" s="214" t="inlineStr">
        <is>
          <t/>
        </is>
      </c>
      <c r="BY310" s="215" t="inlineStr">
        <is>
          <t>Early Stage VC</t>
        </is>
      </c>
      <c r="BZ310" s="216" t="inlineStr">
        <is>
          <t/>
        </is>
      </c>
      <c r="CA310" s="217" t="inlineStr">
        <is>
          <t/>
        </is>
      </c>
      <c r="CB310" s="218" t="inlineStr">
        <is>
          <t>Venture Capital</t>
        </is>
      </c>
      <c r="CC310" s="219" t="inlineStr">
        <is>
          <t/>
        </is>
      </c>
      <c r="CD310" s="220" t="inlineStr">
        <is>
          <t/>
        </is>
      </c>
      <c r="CE310" s="221" t="inlineStr">
        <is>
          <t/>
        </is>
      </c>
      <c r="CF310" s="222" t="inlineStr">
        <is>
          <t>Completed</t>
        </is>
      </c>
      <c r="CG310" s="223" t="inlineStr">
        <is>
          <t>1,92%</t>
        </is>
      </c>
      <c r="CH310" s="224" t="inlineStr">
        <is>
          <t>93</t>
        </is>
      </c>
      <c r="CI310" s="225" t="inlineStr">
        <is>
          <t>0,12%</t>
        </is>
      </c>
      <c r="CJ310" s="226" t="inlineStr">
        <is>
          <t>6,91%</t>
        </is>
      </c>
      <c r="CK310" s="227" t="inlineStr">
        <is>
          <t>0,35%</t>
        </is>
      </c>
      <c r="CL310" s="228" t="inlineStr">
        <is>
          <t>83</t>
        </is>
      </c>
      <c r="CM310" s="229" t="inlineStr">
        <is>
          <t>3,49%</t>
        </is>
      </c>
      <c r="CN310" s="230" t="inlineStr">
        <is>
          <t>100</t>
        </is>
      </c>
      <c r="CO310" s="231" t="inlineStr">
        <is>
          <t>-1,18%</t>
        </is>
      </c>
      <c r="CP310" s="232" t="inlineStr">
        <is>
          <t>19</t>
        </is>
      </c>
      <c r="CQ310" s="233" t="inlineStr">
        <is>
          <t>1,87%</t>
        </is>
      </c>
      <c r="CR310" s="234" t="inlineStr">
        <is>
          <t>91</t>
        </is>
      </c>
      <c r="CS310" s="235" t="inlineStr">
        <is>
          <t>5,28%</t>
        </is>
      </c>
      <c r="CT310" s="236" t="inlineStr">
        <is>
          <t>100</t>
        </is>
      </c>
      <c r="CU310" s="237" t="inlineStr">
        <is>
          <t>1,71%</t>
        </is>
      </c>
      <c r="CV310" s="238" t="inlineStr">
        <is>
          <t>99</t>
        </is>
      </c>
      <c r="CW310" s="239" t="inlineStr">
        <is>
          <t>177,47x</t>
        </is>
      </c>
      <c r="CX310" s="240" t="inlineStr">
        <is>
          <t>99</t>
        </is>
      </c>
      <c r="CY310" s="241" t="inlineStr">
        <is>
          <t>5,04x</t>
        </is>
      </c>
      <c r="CZ310" s="242" t="inlineStr">
        <is>
          <t>2,92%</t>
        </is>
      </c>
      <c r="DA310" s="243" t="inlineStr">
        <is>
          <t>209,28x</t>
        </is>
      </c>
      <c r="DB310" s="244" t="inlineStr">
        <is>
          <t>99</t>
        </is>
      </c>
      <c r="DC310" s="245" t="inlineStr">
        <is>
          <t>145,66x</t>
        </is>
      </c>
      <c r="DD310" s="246" t="inlineStr">
        <is>
          <t>98</t>
        </is>
      </c>
      <c r="DE310" s="247" t="inlineStr">
        <is>
          <t>415,31x</t>
        </is>
      </c>
      <c r="DF310" s="248" t="inlineStr">
        <is>
          <t>99</t>
        </is>
      </c>
      <c r="DG310" s="249" t="inlineStr">
        <is>
          <t>3,25x</t>
        </is>
      </c>
      <c r="DH310" s="250" t="inlineStr">
        <is>
          <t>73</t>
        </is>
      </c>
      <c r="DI310" s="251" t="inlineStr">
        <is>
          <t>287,56x</t>
        </is>
      </c>
      <c r="DJ310" s="252" t="inlineStr">
        <is>
          <t>98</t>
        </is>
      </c>
      <c r="DK310" s="253" t="inlineStr">
        <is>
          <t>3,76x</t>
        </is>
      </c>
      <c r="DL310" s="254" t="inlineStr">
        <is>
          <t>74</t>
        </is>
      </c>
      <c r="DM310" s="255" t="inlineStr">
        <is>
          <t>255.678</t>
        </is>
      </c>
      <c r="DN310" s="256" t="inlineStr">
        <is>
          <t>-795</t>
        </is>
      </c>
      <c r="DO310" s="257" t="inlineStr">
        <is>
          <t>-0,31%</t>
        </is>
      </c>
      <c r="DP310" s="258" t="inlineStr">
        <is>
          <t>224.659</t>
        </is>
      </c>
      <c r="DQ310" s="259" t="inlineStr">
        <is>
          <t>9.128</t>
        </is>
      </c>
      <c r="DR310" s="260" t="inlineStr">
        <is>
          <t>4,24%</t>
        </is>
      </c>
      <c r="DS310" s="261" t="inlineStr">
        <is>
          <t>116</t>
        </is>
      </c>
      <c r="DT310" s="262" t="inlineStr">
        <is>
          <t>2</t>
        </is>
      </c>
      <c r="DU310" s="263" t="inlineStr">
        <is>
          <t>1,75%</t>
        </is>
      </c>
      <c r="DV310" s="264" t="inlineStr">
        <is>
          <t>1.279</t>
        </is>
      </c>
      <c r="DW310" s="265" t="inlineStr">
        <is>
          <t>33</t>
        </is>
      </c>
      <c r="DX310" s="266" t="inlineStr">
        <is>
          <t>2,65%</t>
        </is>
      </c>
      <c r="DY310" s="267" t="inlineStr">
        <is>
          <t>PitchBook Research</t>
        </is>
      </c>
      <c r="DZ310" s="786">
        <f>HYPERLINK("https://my.pitchbook.com?c=156371-32", "View company online")</f>
      </c>
    </row>
    <row r="311">
      <c r="A311" s="9" t="inlineStr">
        <is>
          <t>99039-79</t>
        </is>
      </c>
      <c r="B311" s="10" t="inlineStr">
        <is>
          <t>NaturalCycles</t>
        </is>
      </c>
      <c r="C311" s="11" t="inlineStr">
        <is>
          <t/>
        </is>
      </c>
      <c r="D311" s="12" t="inlineStr">
        <is>
          <t/>
        </is>
      </c>
      <c r="E311" s="13" t="inlineStr">
        <is>
          <t>99039-79</t>
        </is>
      </c>
      <c r="F311" s="14" t="inlineStr">
        <is>
          <t>Provider of fertility monitoring application. The company's application allows women to see which days of the month they are fertile. The platform also includes tools for analyzing ovulation test results.</t>
        </is>
      </c>
      <c r="G311" s="15" t="inlineStr">
        <is>
          <t>Information Technology</t>
        </is>
      </c>
      <c r="H311" s="16" t="inlineStr">
        <is>
          <t>Software</t>
        </is>
      </c>
      <c r="I311" s="17" t="inlineStr">
        <is>
          <t>Application Software</t>
        </is>
      </c>
      <c r="J311" s="18" t="inlineStr">
        <is>
          <t>Application Software*; Other Healthcare Services</t>
        </is>
      </c>
      <c r="K311" s="19" t="inlineStr">
        <is>
          <t>HealthTech, Mobile, SaaS</t>
        </is>
      </c>
      <c r="L311" s="20" t="inlineStr">
        <is>
          <t>Venture Capital-Backed</t>
        </is>
      </c>
      <c r="M311" s="21" t="n">
        <v>7.02</v>
      </c>
      <c r="N311" s="22" t="inlineStr">
        <is>
          <t>Generating Revenue</t>
        </is>
      </c>
      <c r="O311" s="23" t="inlineStr">
        <is>
          <t>Privately Held (backing)</t>
        </is>
      </c>
      <c r="P311" s="24" t="inlineStr">
        <is>
          <t>Venture Capital</t>
        </is>
      </c>
      <c r="Q311" s="25" t="inlineStr">
        <is>
          <t>www.naturalcycles.com</t>
        </is>
      </c>
      <c r="R311" s="26" t="n">
        <v>20.0</v>
      </c>
      <c r="S311" s="27" t="inlineStr">
        <is>
          <t/>
        </is>
      </c>
      <c r="T311" s="28" t="inlineStr">
        <is>
          <t/>
        </is>
      </c>
      <c r="U311" s="29" t="n">
        <v>2013.0</v>
      </c>
      <c r="V311" s="30" t="inlineStr">
        <is>
          <t/>
        </is>
      </c>
      <c r="W311" s="31" t="inlineStr">
        <is>
          <t/>
        </is>
      </c>
      <c r="X311" s="32" t="inlineStr">
        <is>
          <t/>
        </is>
      </c>
      <c r="Y311" s="33" t="n">
        <v>1.83746</v>
      </c>
      <c r="Z311" s="34" t="inlineStr">
        <is>
          <t/>
        </is>
      </c>
      <c r="AA311" s="35" t="inlineStr">
        <is>
          <t/>
        </is>
      </c>
      <c r="AB311" s="36" t="inlineStr">
        <is>
          <t/>
        </is>
      </c>
      <c r="AC311" s="37" t="inlineStr">
        <is>
          <t/>
        </is>
      </c>
      <c r="AD311" s="38" t="inlineStr">
        <is>
          <t>FY 2015</t>
        </is>
      </c>
      <c r="AE311" s="39" t="inlineStr">
        <is>
          <t>96211-63P</t>
        </is>
      </c>
      <c r="AF311" s="40" t="inlineStr">
        <is>
          <t>Raoul Scherwitzl</t>
        </is>
      </c>
      <c r="AG311" s="41" t="inlineStr">
        <is>
          <t>Co-Founder &amp; Chief Executive Officer</t>
        </is>
      </c>
      <c r="AH311" s="42" t="inlineStr">
        <is>
          <t>raoul@naturalcycles.com</t>
        </is>
      </c>
      <c r="AI311" s="43" t="inlineStr">
        <is>
          <t/>
        </is>
      </c>
      <c r="AJ311" s="44" t="inlineStr">
        <is>
          <t>Stockholm, Sweden</t>
        </is>
      </c>
      <c r="AK311" s="45" t="inlineStr">
        <is>
          <t>Luntmakargatan 26</t>
        </is>
      </c>
      <c r="AL311" s="46" t="inlineStr">
        <is>
          <t/>
        </is>
      </c>
      <c r="AM311" s="47" t="inlineStr">
        <is>
          <t>Stockholm</t>
        </is>
      </c>
      <c r="AN311" s="48" t="inlineStr">
        <is>
          <t/>
        </is>
      </c>
      <c r="AO311" s="49" t="inlineStr">
        <is>
          <t>111 37</t>
        </is>
      </c>
      <c r="AP311" s="50" t="inlineStr">
        <is>
          <t>Sweden</t>
        </is>
      </c>
      <c r="AQ311" s="51" t="inlineStr">
        <is>
          <t/>
        </is>
      </c>
      <c r="AR311" s="52" t="inlineStr">
        <is>
          <t/>
        </is>
      </c>
      <c r="AS311" s="53" t="inlineStr">
        <is>
          <t>info@naturalcycles.com</t>
        </is>
      </c>
      <c r="AT311" s="54" t="inlineStr">
        <is>
          <t>Europe</t>
        </is>
      </c>
      <c r="AU311" s="55" t="inlineStr">
        <is>
          <t>Northern Europe</t>
        </is>
      </c>
      <c r="AV311" s="56" t="inlineStr">
        <is>
          <t>The company raised SEK 50 million of Series A venture funding from lead investor Bonnier Growth Media on June 22, 2016. Isabella Löwengrip, Sunstone Capital and e.ventures also participated. The company will use the fresh funding to invest in international growth, hire additional staff and fund continued clinical studies to support its product.</t>
        </is>
      </c>
      <c r="AW311" s="57" t="inlineStr">
        <is>
          <t>Bonnier Growth Media, e.ventures, Isabella Löwengrip, Mattias Miksche, Sunstone Capital</t>
        </is>
      </c>
      <c r="AX311" s="58" t="n">
        <v>5.0</v>
      </c>
      <c r="AY311" s="59" t="inlineStr">
        <is>
          <t/>
        </is>
      </c>
      <c r="AZ311" s="60" t="inlineStr">
        <is>
          <t/>
        </is>
      </c>
      <c r="BA311" s="61" t="inlineStr">
        <is>
          <t/>
        </is>
      </c>
      <c r="BB311" s="62" t="inlineStr">
        <is>
          <t>Bonnier Growth Media (www.bonniergrowthmedia.com), e.ventures (www.eventures.vc), Sunstone Capital (www.sunstone.eu)</t>
        </is>
      </c>
      <c r="BC311" s="63" t="inlineStr">
        <is>
          <t/>
        </is>
      </c>
      <c r="BD311" s="64" t="inlineStr">
        <is>
          <t/>
        </is>
      </c>
      <c r="BE311" s="65" t="inlineStr">
        <is>
          <t/>
        </is>
      </c>
      <c r="BF311" s="66" t="inlineStr">
        <is>
          <t/>
        </is>
      </c>
      <c r="BG311" s="67" t="n">
        <v>41426.0</v>
      </c>
      <c r="BH311" s="68" t="n">
        <v>0.38</v>
      </c>
      <c r="BI311" s="69" t="inlineStr">
        <is>
          <t>Actual</t>
        </is>
      </c>
      <c r="BJ311" s="70" t="inlineStr">
        <is>
          <t/>
        </is>
      </c>
      <c r="BK311" s="71" t="inlineStr">
        <is>
          <t/>
        </is>
      </c>
      <c r="BL311" s="72" t="inlineStr">
        <is>
          <t>Angel (individual)</t>
        </is>
      </c>
      <c r="BM311" s="73" t="inlineStr">
        <is>
          <t>Angel</t>
        </is>
      </c>
      <c r="BN311" s="74" t="inlineStr">
        <is>
          <t/>
        </is>
      </c>
      <c r="BO311" s="75" t="inlineStr">
        <is>
          <t>Individual</t>
        </is>
      </c>
      <c r="BP311" s="76" t="inlineStr">
        <is>
          <t/>
        </is>
      </c>
      <c r="BQ311" s="77" t="inlineStr">
        <is>
          <t/>
        </is>
      </c>
      <c r="BR311" s="78" t="inlineStr">
        <is>
          <t/>
        </is>
      </c>
      <c r="BS311" s="79" t="inlineStr">
        <is>
          <t>Completed</t>
        </is>
      </c>
      <c r="BT311" s="80" t="n">
        <v>42543.0</v>
      </c>
      <c r="BU311" s="81" t="n">
        <v>5.36</v>
      </c>
      <c r="BV311" s="82" t="inlineStr">
        <is>
          <t>Actual</t>
        </is>
      </c>
      <c r="BW311" s="83" t="inlineStr">
        <is>
          <t/>
        </is>
      </c>
      <c r="BX311" s="84" t="inlineStr">
        <is>
          <t/>
        </is>
      </c>
      <c r="BY311" s="85" t="inlineStr">
        <is>
          <t>Early Stage VC</t>
        </is>
      </c>
      <c r="BZ311" s="86" t="inlineStr">
        <is>
          <t>Series A</t>
        </is>
      </c>
      <c r="CA311" s="87" t="inlineStr">
        <is>
          <t/>
        </is>
      </c>
      <c r="CB311" s="88" t="inlineStr">
        <is>
          <t>Venture Capital</t>
        </is>
      </c>
      <c r="CC311" s="89" t="inlineStr">
        <is>
          <t/>
        </is>
      </c>
      <c r="CD311" s="90" t="inlineStr">
        <is>
          <t/>
        </is>
      </c>
      <c r="CE311" s="91" t="inlineStr">
        <is>
          <t/>
        </is>
      </c>
      <c r="CF311" s="92" t="inlineStr">
        <is>
          <t>Completed</t>
        </is>
      </c>
      <c r="CG311" s="93" t="inlineStr">
        <is>
          <t>2,67%</t>
        </is>
      </c>
      <c r="CH311" s="94" t="inlineStr">
        <is>
          <t>95</t>
        </is>
      </c>
      <c r="CI311" s="95" t="inlineStr">
        <is>
          <t>0,39%</t>
        </is>
      </c>
      <c r="CJ311" s="96" t="inlineStr">
        <is>
          <t>16,92%</t>
        </is>
      </c>
      <c r="CK311" s="97" t="inlineStr">
        <is>
          <t>0,94%</t>
        </is>
      </c>
      <c r="CL311" s="98" t="inlineStr">
        <is>
          <t>86</t>
        </is>
      </c>
      <c r="CM311" s="99" t="inlineStr">
        <is>
          <t>3,46%</t>
        </is>
      </c>
      <c r="CN311" s="100" t="inlineStr">
        <is>
          <t>100</t>
        </is>
      </c>
      <c r="CO311" s="101" t="inlineStr">
        <is>
          <t>1,09%</t>
        </is>
      </c>
      <c r="CP311" s="102" t="inlineStr">
        <is>
          <t>85</t>
        </is>
      </c>
      <c r="CQ311" s="103" t="inlineStr">
        <is>
          <t>0,80%</t>
        </is>
      </c>
      <c r="CR311" s="104" t="inlineStr">
        <is>
          <t>88</t>
        </is>
      </c>
      <c r="CS311" s="105" t="inlineStr">
        <is>
          <t>3,46%</t>
        </is>
      </c>
      <c r="CT311" s="106" t="inlineStr">
        <is>
          <t>99</t>
        </is>
      </c>
      <c r="CU311" s="107" t="inlineStr">
        <is>
          <t/>
        </is>
      </c>
      <c r="CV311" s="108" t="inlineStr">
        <is>
          <t/>
        </is>
      </c>
      <c r="CW311" s="109" t="inlineStr">
        <is>
          <t>38,76x</t>
        </is>
      </c>
      <c r="CX311" s="110" t="inlineStr">
        <is>
          <t>95</t>
        </is>
      </c>
      <c r="CY311" s="111" t="inlineStr">
        <is>
          <t>-14,69x</t>
        </is>
      </c>
      <c r="CZ311" s="112" t="inlineStr">
        <is>
          <t>-27,48%</t>
        </is>
      </c>
      <c r="DA311" s="113" t="inlineStr">
        <is>
          <t>37,44x</t>
        </is>
      </c>
      <c r="DB311" s="114" t="inlineStr">
        <is>
          <t>95</t>
        </is>
      </c>
      <c r="DC311" s="115" t="inlineStr">
        <is>
          <t>72,84x</t>
        </is>
      </c>
      <c r="DD311" s="116" t="inlineStr">
        <is>
          <t>96</t>
        </is>
      </c>
      <c r="DE311" s="117" t="inlineStr">
        <is>
          <t>47,12x</t>
        </is>
      </c>
      <c r="DF311" s="118" t="inlineStr">
        <is>
          <t>93</t>
        </is>
      </c>
      <c r="DG311" s="119" t="inlineStr">
        <is>
          <t>27,75x</t>
        </is>
      </c>
      <c r="DH311" s="120" t="inlineStr">
        <is>
          <t>95</t>
        </is>
      </c>
      <c r="DI311" s="121" t="inlineStr">
        <is>
          <t>72,84x</t>
        </is>
      </c>
      <c r="DJ311" s="122" t="inlineStr">
        <is>
          <t>94</t>
        </is>
      </c>
      <c r="DK311" s="123" t="inlineStr">
        <is>
          <t/>
        </is>
      </c>
      <c r="DL311" s="124" t="inlineStr">
        <is>
          <t/>
        </is>
      </c>
      <c r="DM311" s="125" t="inlineStr">
        <is>
          <t>29.055</t>
        </is>
      </c>
      <c r="DN311" s="126" t="inlineStr">
        <is>
          <t>-225</t>
        </is>
      </c>
      <c r="DO311" s="127" t="inlineStr">
        <is>
          <t>-0,77%</t>
        </is>
      </c>
      <c r="DP311" s="128" t="inlineStr">
        <is>
          <t>57.634</t>
        </is>
      </c>
      <c r="DQ311" s="129" t="inlineStr">
        <is>
          <t>1.413</t>
        </is>
      </c>
      <c r="DR311" s="130" t="inlineStr">
        <is>
          <t>2,51%</t>
        </is>
      </c>
      <c r="DS311" s="131" t="inlineStr">
        <is>
          <t>1.004</t>
        </is>
      </c>
      <c r="DT311" s="132" t="inlineStr">
        <is>
          <t>-5</t>
        </is>
      </c>
      <c r="DU311" s="133" t="inlineStr">
        <is>
          <t>-0,50%</t>
        </is>
      </c>
      <c r="DV311" s="134" t="inlineStr">
        <is>
          <t/>
        </is>
      </c>
      <c r="DW311" s="135" t="inlineStr">
        <is>
          <t/>
        </is>
      </c>
      <c r="DX311" s="136" t="inlineStr">
        <is>
          <t/>
        </is>
      </c>
      <c r="DY311" s="137" t="inlineStr">
        <is>
          <t>PitchBook Research</t>
        </is>
      </c>
      <c r="DZ311" s="785">
        <f>HYPERLINK("https://my.pitchbook.com?c=99039-79", "View company online")</f>
      </c>
    </row>
    <row r="312">
      <c r="A312" s="139" t="inlineStr">
        <is>
          <t>99546-67</t>
        </is>
      </c>
      <c r="B312" s="140" t="inlineStr">
        <is>
          <t>NavVis</t>
        </is>
      </c>
      <c r="C312" s="141" t="inlineStr">
        <is>
          <t/>
        </is>
      </c>
      <c r="D312" s="142" t="inlineStr">
        <is>
          <t/>
        </is>
      </c>
      <c r="E312" s="143" t="inlineStr">
        <is>
          <t>99546-67</t>
        </is>
      </c>
      <c r="F312" s="144" t="inlineStr">
        <is>
          <t>Provider of three dimensional mapping and indoor navigation products created for virtual exhibitions and real estate presentations. The company's indoor mapping and positioning software maps an environment by using laser scanners and it's cameras generate a dense network of high-definition 360-degree photographs of the entire interior space enabling users to look around and interact with popular points of interest as well as precise point-to-point measurements.</t>
        </is>
      </c>
      <c r="G312" s="145" t="inlineStr">
        <is>
          <t>Information Technology</t>
        </is>
      </c>
      <c r="H312" s="146" t="inlineStr">
        <is>
          <t>Software</t>
        </is>
      </c>
      <c r="I312" s="147" t="inlineStr">
        <is>
          <t>Multimedia and Design Software</t>
        </is>
      </c>
      <c r="J312" s="148" t="inlineStr">
        <is>
          <t>Multimedia and Design Software*; Electrical Equipment; Other Commercial Products</t>
        </is>
      </c>
      <c r="K312" s="149" t="inlineStr">
        <is>
          <t>Internet of Things</t>
        </is>
      </c>
      <c r="L312" s="150" t="inlineStr">
        <is>
          <t>Venture Capital-Backed</t>
        </is>
      </c>
      <c r="M312" s="151" t="n">
        <v>7.5</v>
      </c>
      <c r="N312" s="152" t="inlineStr">
        <is>
          <t>Generating Revenue</t>
        </is>
      </c>
      <c r="O312" s="153" t="inlineStr">
        <is>
          <t>Privately Held (backing)</t>
        </is>
      </c>
      <c r="P312" s="154" t="inlineStr">
        <is>
          <t>Venture Capital</t>
        </is>
      </c>
      <c r="Q312" s="155" t="inlineStr">
        <is>
          <t>www.navvis.com</t>
        </is>
      </c>
      <c r="R312" s="156" t="n">
        <v>60.0</v>
      </c>
      <c r="S312" s="157" t="inlineStr">
        <is>
          <t/>
        </is>
      </c>
      <c r="T312" s="158" t="inlineStr">
        <is>
          <t/>
        </is>
      </c>
      <c r="U312" s="159" t="n">
        <v>2013.0</v>
      </c>
      <c r="V312" s="160" t="inlineStr">
        <is>
          <t/>
        </is>
      </c>
      <c r="W312" s="161" t="inlineStr">
        <is>
          <t/>
        </is>
      </c>
      <c r="X312" s="162" t="inlineStr">
        <is>
          <t/>
        </is>
      </c>
      <c r="Y312" s="163" t="inlineStr">
        <is>
          <t/>
        </is>
      </c>
      <c r="Z312" s="164" t="inlineStr">
        <is>
          <t/>
        </is>
      </c>
      <c r="AA312" s="165" t="inlineStr">
        <is>
          <t/>
        </is>
      </c>
      <c r="AB312" s="166" t="inlineStr">
        <is>
          <t/>
        </is>
      </c>
      <c r="AC312" s="167" t="inlineStr">
        <is>
          <t/>
        </is>
      </c>
      <c r="AD312" s="168" t="inlineStr">
        <is>
          <t/>
        </is>
      </c>
      <c r="AE312" s="169" t="inlineStr">
        <is>
          <t>86124-43P</t>
        </is>
      </c>
      <c r="AF312" s="170" t="inlineStr">
        <is>
          <t>Robert Huitl</t>
        </is>
      </c>
      <c r="AG312" s="171" t="inlineStr">
        <is>
          <t>Co-Founder &amp; Lead Developer</t>
        </is>
      </c>
      <c r="AH312" s="172" t="inlineStr">
        <is>
          <t/>
        </is>
      </c>
      <c r="AI312" s="173" t="inlineStr">
        <is>
          <t>+49 (0)89 7169 2502 0</t>
        </is>
      </c>
      <c r="AJ312" s="174" t="inlineStr">
        <is>
          <t>Munich, Germany</t>
        </is>
      </c>
      <c r="AK312" s="175" t="inlineStr">
        <is>
          <t>Blutenburgstr. 18</t>
        </is>
      </c>
      <c r="AL312" s="176" t="inlineStr">
        <is>
          <t/>
        </is>
      </c>
      <c r="AM312" s="177" t="inlineStr">
        <is>
          <t>Munich</t>
        </is>
      </c>
      <c r="AN312" s="178" t="inlineStr">
        <is>
          <t/>
        </is>
      </c>
      <c r="AO312" s="179" t="inlineStr">
        <is>
          <t>80636</t>
        </is>
      </c>
      <c r="AP312" s="180" t="inlineStr">
        <is>
          <t>Germany</t>
        </is>
      </c>
      <c r="AQ312" s="181" t="inlineStr">
        <is>
          <t>+49 (0)89 7169 2502 0</t>
        </is>
      </c>
      <c r="AR312" s="182" t="inlineStr">
        <is>
          <t/>
        </is>
      </c>
      <c r="AS312" s="183" t="inlineStr">
        <is>
          <t>info@navvis.com</t>
        </is>
      </c>
      <c r="AT312" s="184" t="inlineStr">
        <is>
          <t>Europe</t>
        </is>
      </c>
      <c r="AU312" s="185" t="inlineStr">
        <is>
          <t>Western Europe</t>
        </is>
      </c>
      <c r="AV312" s="186" t="inlineStr">
        <is>
          <t>The company raised an undisclosed amount of Series B venture funding from Target Partners, MIG Fonds, Digital+ Partners and Bayerische Beteiligungsgesellschaft on May 3, 2017.</t>
        </is>
      </c>
      <c r="AW312" s="187" t="inlineStr">
        <is>
          <t>Bayerische Beteiligungsgesellschaft, Digital+ Partners, Don Dodge, ESA Business Incubation Centre Bavaria, German Accelerator, HMW Innovations, MIG Fonds, Target Partners, UnternehmerTUM</t>
        </is>
      </c>
      <c r="AX312" s="188" t="n">
        <v>9.0</v>
      </c>
      <c r="AY312" s="189" t="inlineStr">
        <is>
          <t/>
        </is>
      </c>
      <c r="AZ312" s="190" t="inlineStr">
        <is>
          <t/>
        </is>
      </c>
      <c r="BA312" s="191" t="inlineStr">
        <is>
          <t/>
        </is>
      </c>
      <c r="BB312" s="192" t="inlineStr">
        <is>
          <t>Bayerische Beteiligungsgesellschaft (www.baybg.de), Don Dodge (dondodge.typepad.com/about.html), ESA Business Incubation Centre Bavaria (www.esa-bic.de), German Accelerator (www.germanaccelerator.com), HMW Innovations (www.hmw-innovations.ag), MIG Fonds (mig-fonds.de), Target Partners (www.targetpartners.de), UnternehmerTUM (www.unternehmertum.de)</t>
        </is>
      </c>
      <c r="BC312" s="193" t="inlineStr">
        <is>
          <t/>
        </is>
      </c>
      <c r="BD312" s="194" t="inlineStr">
        <is>
          <t/>
        </is>
      </c>
      <c r="BE312" s="195" t="inlineStr">
        <is>
          <t/>
        </is>
      </c>
      <c r="BF312" s="196" t="inlineStr">
        <is>
          <t/>
        </is>
      </c>
      <c r="BG312" s="197" t="n">
        <v>41969.0</v>
      </c>
      <c r="BH312" s="198" t="inlineStr">
        <is>
          <t/>
        </is>
      </c>
      <c r="BI312" s="199" t="inlineStr">
        <is>
          <t/>
        </is>
      </c>
      <c r="BJ312" s="200" t="inlineStr">
        <is>
          <t/>
        </is>
      </c>
      <c r="BK312" s="201" t="inlineStr">
        <is>
          <t/>
        </is>
      </c>
      <c r="BL312" s="202" t="inlineStr">
        <is>
          <t>Early Stage VC</t>
        </is>
      </c>
      <c r="BM312" s="203" t="inlineStr">
        <is>
          <t>Series A</t>
        </is>
      </c>
      <c r="BN312" s="204" t="inlineStr">
        <is>
          <t/>
        </is>
      </c>
      <c r="BO312" s="205" t="inlineStr">
        <is>
          <t>Venture Capital</t>
        </is>
      </c>
      <c r="BP312" s="206" t="inlineStr">
        <is>
          <t/>
        </is>
      </c>
      <c r="BQ312" s="207" t="inlineStr">
        <is>
          <t/>
        </is>
      </c>
      <c r="BR312" s="208" t="inlineStr">
        <is>
          <t/>
        </is>
      </c>
      <c r="BS312" s="209" t="inlineStr">
        <is>
          <t>Completed</t>
        </is>
      </c>
      <c r="BT312" s="210" t="n">
        <v>42858.0</v>
      </c>
      <c r="BU312" s="211" t="inlineStr">
        <is>
          <t/>
        </is>
      </c>
      <c r="BV312" s="212" t="inlineStr">
        <is>
          <t/>
        </is>
      </c>
      <c r="BW312" s="213" t="inlineStr">
        <is>
          <t/>
        </is>
      </c>
      <c r="BX312" s="214" t="inlineStr">
        <is>
          <t/>
        </is>
      </c>
      <c r="BY312" s="215" t="inlineStr">
        <is>
          <t>Early Stage VC</t>
        </is>
      </c>
      <c r="BZ312" s="216" t="inlineStr">
        <is>
          <t>Series B</t>
        </is>
      </c>
      <c r="CA312" s="217" t="inlineStr">
        <is>
          <t/>
        </is>
      </c>
      <c r="CB312" s="218" t="inlineStr">
        <is>
          <t>Venture Capital</t>
        </is>
      </c>
      <c r="CC312" s="219" t="inlineStr">
        <is>
          <t/>
        </is>
      </c>
      <c r="CD312" s="220" t="inlineStr">
        <is>
          <t/>
        </is>
      </c>
      <c r="CE312" s="221" t="inlineStr">
        <is>
          <t/>
        </is>
      </c>
      <c r="CF312" s="222" t="inlineStr">
        <is>
          <t>Completed</t>
        </is>
      </c>
      <c r="CG312" s="223" t="inlineStr">
        <is>
          <t>0,44%</t>
        </is>
      </c>
      <c r="CH312" s="224" t="inlineStr">
        <is>
          <t>83</t>
        </is>
      </c>
      <c r="CI312" s="225" t="inlineStr">
        <is>
          <t>0,07%</t>
        </is>
      </c>
      <c r="CJ312" s="226" t="inlineStr">
        <is>
          <t>20,08%</t>
        </is>
      </c>
      <c r="CK312" s="227" t="inlineStr">
        <is>
          <t>-1,33%</t>
        </is>
      </c>
      <c r="CL312" s="228" t="inlineStr">
        <is>
          <t>7</t>
        </is>
      </c>
      <c r="CM312" s="229" t="inlineStr">
        <is>
          <t>2,21%</t>
        </is>
      </c>
      <c r="CN312" s="230" t="inlineStr">
        <is>
          <t>99</t>
        </is>
      </c>
      <c r="CO312" s="231" t="inlineStr">
        <is>
          <t>-2,78%</t>
        </is>
      </c>
      <c r="CP312" s="232" t="inlineStr">
        <is>
          <t>12</t>
        </is>
      </c>
      <c r="CQ312" s="233" t="inlineStr">
        <is>
          <t>0,12%</t>
        </is>
      </c>
      <c r="CR312" s="234" t="inlineStr">
        <is>
          <t>83</t>
        </is>
      </c>
      <c r="CS312" s="235" t="inlineStr">
        <is>
          <t>0,44%</t>
        </is>
      </c>
      <c r="CT312" s="236" t="inlineStr">
        <is>
          <t>85</t>
        </is>
      </c>
      <c r="CU312" s="237" t="inlineStr">
        <is>
          <t>3,98%</t>
        </is>
      </c>
      <c r="CV312" s="238" t="inlineStr">
        <is>
          <t>100</t>
        </is>
      </c>
      <c r="CW312" s="239" t="inlineStr">
        <is>
          <t>4,61x</t>
        </is>
      </c>
      <c r="CX312" s="240" t="inlineStr">
        <is>
          <t>78</t>
        </is>
      </c>
      <c r="CY312" s="241" t="inlineStr">
        <is>
          <t>0,11x</t>
        </is>
      </c>
      <c r="CZ312" s="242" t="inlineStr">
        <is>
          <t>2,33%</t>
        </is>
      </c>
      <c r="DA312" s="243" t="inlineStr">
        <is>
          <t>7,95x</t>
        </is>
      </c>
      <c r="DB312" s="244" t="inlineStr">
        <is>
          <t>85</t>
        </is>
      </c>
      <c r="DC312" s="245" t="inlineStr">
        <is>
          <t>1,27x</t>
        </is>
      </c>
      <c r="DD312" s="246" t="inlineStr">
        <is>
          <t>53</t>
        </is>
      </c>
      <c r="DE312" s="247" t="inlineStr">
        <is>
          <t>6,74x</t>
        </is>
      </c>
      <c r="DF312" s="248" t="inlineStr">
        <is>
          <t>80</t>
        </is>
      </c>
      <c r="DG312" s="249" t="inlineStr">
        <is>
          <t>9,17x</t>
        </is>
      </c>
      <c r="DH312" s="250" t="inlineStr">
        <is>
          <t>85</t>
        </is>
      </c>
      <c r="DI312" s="251" t="inlineStr">
        <is>
          <t>1,05x</t>
        </is>
      </c>
      <c r="DJ312" s="252" t="inlineStr">
        <is>
          <t>51</t>
        </is>
      </c>
      <c r="DK312" s="253" t="inlineStr">
        <is>
          <t>1,48x</t>
        </is>
      </c>
      <c r="DL312" s="254" t="inlineStr">
        <is>
          <t>58</t>
        </is>
      </c>
      <c r="DM312" s="255" t="inlineStr">
        <is>
          <t>4.224</t>
        </is>
      </c>
      <c r="DN312" s="256" t="inlineStr">
        <is>
          <t>-239</t>
        </is>
      </c>
      <c r="DO312" s="257" t="inlineStr">
        <is>
          <t>-5,36%</t>
        </is>
      </c>
      <c r="DP312" s="258" t="inlineStr">
        <is>
          <t>840</t>
        </is>
      </c>
      <c r="DQ312" s="259" t="inlineStr">
        <is>
          <t>2</t>
        </is>
      </c>
      <c r="DR312" s="260" t="inlineStr">
        <is>
          <t>0,24%</t>
        </is>
      </c>
      <c r="DS312" s="261" t="inlineStr">
        <is>
          <t>331</t>
        </is>
      </c>
      <c r="DT312" s="262" t="inlineStr">
        <is>
          <t>-2</t>
        </is>
      </c>
      <c r="DU312" s="263" t="inlineStr">
        <is>
          <t>-0,60%</t>
        </is>
      </c>
      <c r="DV312" s="264" t="inlineStr">
        <is>
          <t>459</t>
        </is>
      </c>
      <c r="DW312" s="265" t="inlineStr">
        <is>
          <t>24</t>
        </is>
      </c>
      <c r="DX312" s="266" t="inlineStr">
        <is>
          <t>5,52%</t>
        </is>
      </c>
      <c r="DY312" s="267" t="inlineStr">
        <is>
          <t>PitchBook Research</t>
        </is>
      </c>
      <c r="DZ312" s="786">
        <f>HYPERLINK("https://my.pitchbook.com?c=99546-67", "View company online")</f>
      </c>
    </row>
    <row r="313">
      <c r="A313" s="9" t="inlineStr">
        <is>
          <t>64197-28</t>
        </is>
      </c>
      <c r="B313" s="10" t="inlineStr">
        <is>
          <t>NBE Therapeutics</t>
        </is>
      </c>
      <c r="C313" s="11" t="inlineStr">
        <is>
          <t/>
        </is>
      </c>
      <c r="D313" s="12" t="inlineStr">
        <is>
          <t/>
        </is>
      </c>
      <c r="E313" s="13" t="inlineStr">
        <is>
          <t>64197-28</t>
        </is>
      </c>
      <c r="F313" s="14" t="inlineStr">
        <is>
          <t>Developer of antibody based drugs. The company engages in providing antibody drug conjugates for the treatment of cancer.</t>
        </is>
      </c>
      <c r="G313" s="15" t="inlineStr">
        <is>
          <t>Healthcare</t>
        </is>
      </c>
      <c r="H313" s="16" t="inlineStr">
        <is>
          <t>Pharmaceuticals and Biotechnology</t>
        </is>
      </c>
      <c r="I313" s="17" t="inlineStr">
        <is>
          <t>Biotechnology</t>
        </is>
      </c>
      <c r="J313" s="18" t="inlineStr">
        <is>
          <t>Biotechnology*; Drug Discovery</t>
        </is>
      </c>
      <c r="K313" s="19" t="inlineStr">
        <is>
          <t>Life Sciences, Oncology</t>
        </is>
      </c>
      <c r="L313" s="20" t="inlineStr">
        <is>
          <t>Venture Capital-Backed</t>
        </is>
      </c>
      <c r="M313" s="21" t="n">
        <v>23.47</v>
      </c>
      <c r="N313" s="22" t="inlineStr">
        <is>
          <t>Startup</t>
        </is>
      </c>
      <c r="O313" s="23" t="inlineStr">
        <is>
          <t>Privately Held (backing)</t>
        </is>
      </c>
      <c r="P313" s="24" t="inlineStr">
        <is>
          <t>Venture Capital</t>
        </is>
      </c>
      <c r="Q313" s="25" t="inlineStr">
        <is>
          <t>www.nbe-therapeutics.com</t>
        </is>
      </c>
      <c r="R313" s="26" t="n">
        <v>2356.0</v>
      </c>
      <c r="S313" s="27" t="inlineStr">
        <is>
          <t/>
        </is>
      </c>
      <c r="T313" s="28" t="inlineStr">
        <is>
          <t/>
        </is>
      </c>
      <c r="U313" s="29" t="n">
        <v>2012.0</v>
      </c>
      <c r="V313" s="30" t="inlineStr">
        <is>
          <t/>
        </is>
      </c>
      <c r="W313" s="31" t="inlineStr">
        <is>
          <t/>
        </is>
      </c>
      <c r="X313" s="32" t="inlineStr">
        <is>
          <t/>
        </is>
      </c>
      <c r="Y313" s="33" t="inlineStr">
        <is>
          <t/>
        </is>
      </c>
      <c r="Z313" s="34" t="inlineStr">
        <is>
          <t/>
        </is>
      </c>
      <c r="AA313" s="35" t="inlineStr">
        <is>
          <t/>
        </is>
      </c>
      <c r="AB313" s="36" t="inlineStr">
        <is>
          <t/>
        </is>
      </c>
      <c r="AC313" s="37" t="inlineStr">
        <is>
          <t/>
        </is>
      </c>
      <c r="AD313" s="38" t="inlineStr">
        <is>
          <t/>
        </is>
      </c>
      <c r="AE313" s="39" t="inlineStr">
        <is>
          <t>70549-12P</t>
        </is>
      </c>
      <c r="AF313" s="40" t="inlineStr">
        <is>
          <t>Ulf Grawunder</t>
        </is>
      </c>
      <c r="AG313" s="41" t="inlineStr">
        <is>
          <t>Co-Founder, Board Member &amp; Chief Executive Officer</t>
        </is>
      </c>
      <c r="AH313" s="42" t="inlineStr">
        <is>
          <t>ulf.grawunder@nbe-therapeutics.com</t>
        </is>
      </c>
      <c r="AI313" s="43" t="inlineStr">
        <is>
          <t>+41 (0)61 633 2230</t>
        </is>
      </c>
      <c r="AJ313" s="44" t="inlineStr">
        <is>
          <t>Basel, Switzerland</t>
        </is>
      </c>
      <c r="AK313" s="45" t="inlineStr">
        <is>
          <t>Technology Parc Basel</t>
        </is>
      </c>
      <c r="AL313" s="46" t="inlineStr">
        <is>
          <t>Hochbergerstrasse 60C</t>
        </is>
      </c>
      <c r="AM313" s="47" t="inlineStr">
        <is>
          <t>Basel</t>
        </is>
      </c>
      <c r="AN313" s="48" t="inlineStr">
        <is>
          <t/>
        </is>
      </c>
      <c r="AO313" s="49" t="inlineStr">
        <is>
          <t>4057</t>
        </is>
      </c>
      <c r="AP313" s="50" t="inlineStr">
        <is>
          <t>Switzerland</t>
        </is>
      </c>
      <c r="AQ313" s="51" t="inlineStr">
        <is>
          <t>+41 (0)61 633 2230</t>
        </is>
      </c>
      <c r="AR313" s="52" t="inlineStr">
        <is>
          <t>+41 (0)61 633 2231</t>
        </is>
      </c>
      <c r="AS313" s="53" t="inlineStr">
        <is>
          <t>info@nbe-therapeutics.com</t>
        </is>
      </c>
      <c r="AT313" s="54" t="inlineStr">
        <is>
          <t>Europe</t>
        </is>
      </c>
      <c r="AU313" s="55" t="inlineStr">
        <is>
          <t>Western Europe</t>
        </is>
      </c>
      <c r="AV313" s="56" t="inlineStr">
        <is>
          <t>The company raised CHF 20 million of Series B venture funding from in a deal led by PPF Group on November 3, 2016. Boehringer Ingelheim Venture Fund and other undisclosed investors also participated in the transaction. The funds will enable NBE to advance the lead product of its ADC pipeline to the end of phase I/II clinical trials and to further develop its cutting-edge platforms.</t>
        </is>
      </c>
      <c r="AW313" s="57" t="inlineStr">
        <is>
          <t>Boehringer Ingelheim Venture Fund, PPF Group, Swiss Federal Commission for Innovation and Technology</t>
        </is>
      </c>
      <c r="AX313" s="58" t="n">
        <v>3.0</v>
      </c>
      <c r="AY313" s="59" t="inlineStr">
        <is>
          <t/>
        </is>
      </c>
      <c r="AZ313" s="60" t="inlineStr">
        <is>
          <t/>
        </is>
      </c>
      <c r="BA313" s="61" t="inlineStr">
        <is>
          <t/>
        </is>
      </c>
      <c r="BB313" s="62" t="inlineStr">
        <is>
          <t>Boehringer Ingelheim Venture Fund (www.boehringer-ingelheim-venture.com), PPF Group (www.ppfgroup.nl)</t>
        </is>
      </c>
      <c r="BC313" s="63" t="inlineStr">
        <is>
          <t/>
        </is>
      </c>
      <c r="BD313" s="64" t="inlineStr">
        <is>
          <t/>
        </is>
      </c>
      <c r="BE313" s="65" t="inlineStr">
        <is>
          <t/>
        </is>
      </c>
      <c r="BF313" s="66" t="inlineStr">
        <is>
          <t/>
        </is>
      </c>
      <c r="BG313" s="67" t="n">
        <v>41621.0</v>
      </c>
      <c r="BH313" s="68" t="n">
        <v>2.04</v>
      </c>
      <c r="BI313" s="69" t="inlineStr">
        <is>
          <t>Actual</t>
        </is>
      </c>
      <c r="BJ313" s="70" t="inlineStr">
        <is>
          <t/>
        </is>
      </c>
      <c r="BK313" s="71" t="inlineStr">
        <is>
          <t/>
        </is>
      </c>
      <c r="BL313" s="72" t="inlineStr">
        <is>
          <t>Seed Round</t>
        </is>
      </c>
      <c r="BM313" s="73" t="inlineStr">
        <is>
          <t>Seed</t>
        </is>
      </c>
      <c r="BN313" s="74" t="inlineStr">
        <is>
          <t/>
        </is>
      </c>
      <c r="BO313" s="75" t="inlineStr">
        <is>
          <t>Venture Capital</t>
        </is>
      </c>
      <c r="BP313" s="76" t="inlineStr">
        <is>
          <t/>
        </is>
      </c>
      <c r="BQ313" s="77" t="inlineStr">
        <is>
          <t/>
        </is>
      </c>
      <c r="BR313" s="78" t="inlineStr">
        <is>
          <t/>
        </is>
      </c>
      <c r="BS313" s="79" t="inlineStr">
        <is>
          <t>Completed</t>
        </is>
      </c>
      <c r="BT313" s="80" t="n">
        <v>42677.0</v>
      </c>
      <c r="BU313" s="81" t="n">
        <v>18.6</v>
      </c>
      <c r="BV313" s="82" t="inlineStr">
        <is>
          <t>Actual</t>
        </is>
      </c>
      <c r="BW313" s="83" t="inlineStr">
        <is>
          <t/>
        </is>
      </c>
      <c r="BX313" s="84" t="inlineStr">
        <is>
          <t/>
        </is>
      </c>
      <c r="BY313" s="85" t="inlineStr">
        <is>
          <t>Early Stage VC</t>
        </is>
      </c>
      <c r="BZ313" s="86" t="inlineStr">
        <is>
          <t>Series B</t>
        </is>
      </c>
      <c r="CA313" s="87" t="inlineStr">
        <is>
          <t/>
        </is>
      </c>
      <c r="CB313" s="88" t="inlineStr">
        <is>
          <t>Venture Capital</t>
        </is>
      </c>
      <c r="CC313" s="89" t="inlineStr">
        <is>
          <t/>
        </is>
      </c>
      <c r="CD313" s="90" t="inlineStr">
        <is>
          <t/>
        </is>
      </c>
      <c r="CE313" s="91" t="inlineStr">
        <is>
          <t/>
        </is>
      </c>
      <c r="CF313" s="92" t="inlineStr">
        <is>
          <t>Completed</t>
        </is>
      </c>
      <c r="CG313" s="93" t="inlineStr">
        <is>
          <t>0,00%</t>
        </is>
      </c>
      <c r="CH313" s="94" t="inlineStr">
        <is>
          <t>23</t>
        </is>
      </c>
      <c r="CI313" s="95" t="inlineStr">
        <is>
          <t>0,00%</t>
        </is>
      </c>
      <c r="CJ313" s="96" t="inlineStr">
        <is>
          <t>0,00%</t>
        </is>
      </c>
      <c r="CK313" s="97" t="inlineStr">
        <is>
          <t>0,00%</t>
        </is>
      </c>
      <c r="CL313" s="98" t="inlineStr">
        <is>
          <t>18</t>
        </is>
      </c>
      <c r="CM313" s="99" t="inlineStr">
        <is>
          <t/>
        </is>
      </c>
      <c r="CN313" s="100" t="inlineStr">
        <is>
          <t/>
        </is>
      </c>
      <c r="CO313" s="101" t="inlineStr">
        <is>
          <t>0,00%</t>
        </is>
      </c>
      <c r="CP313" s="102" t="inlineStr">
        <is>
          <t>26</t>
        </is>
      </c>
      <c r="CQ313" s="103" t="inlineStr">
        <is>
          <t/>
        </is>
      </c>
      <c r="CR313" s="104" t="inlineStr">
        <is>
          <t/>
        </is>
      </c>
      <c r="CS313" s="105" t="inlineStr">
        <is>
          <t/>
        </is>
      </c>
      <c r="CT313" s="106" t="inlineStr">
        <is>
          <t/>
        </is>
      </c>
      <c r="CU313" s="107" t="inlineStr">
        <is>
          <t/>
        </is>
      </c>
      <c r="CV313" s="108" t="inlineStr">
        <is>
          <t/>
        </is>
      </c>
      <c r="CW313" s="109" t="inlineStr">
        <is>
          <t>0,31x</t>
        </is>
      </c>
      <c r="CX313" s="110" t="inlineStr">
        <is>
          <t>24</t>
        </is>
      </c>
      <c r="CY313" s="111" t="inlineStr">
        <is>
          <t>0,00x</t>
        </is>
      </c>
      <c r="CZ313" s="112" t="inlineStr">
        <is>
          <t>0,00%</t>
        </is>
      </c>
      <c r="DA313" s="113" t="inlineStr">
        <is>
          <t>0,31x</t>
        </is>
      </c>
      <c r="DB313" s="114" t="inlineStr">
        <is>
          <t>26</t>
        </is>
      </c>
      <c r="DC313" s="115" t="inlineStr">
        <is>
          <t/>
        </is>
      </c>
      <c r="DD313" s="116" t="inlineStr">
        <is>
          <t/>
        </is>
      </c>
      <c r="DE313" s="117" t="inlineStr">
        <is>
          <t>0,31x</t>
        </is>
      </c>
      <c r="DF313" s="118" t="inlineStr">
        <is>
          <t>26</t>
        </is>
      </c>
      <c r="DG313" s="119" t="inlineStr">
        <is>
          <t/>
        </is>
      </c>
      <c r="DH313" s="120" t="inlineStr">
        <is>
          <t/>
        </is>
      </c>
      <c r="DI313" s="121" t="inlineStr">
        <is>
          <t/>
        </is>
      </c>
      <c r="DJ313" s="122" t="inlineStr">
        <is>
          <t/>
        </is>
      </c>
      <c r="DK313" s="123" t="inlineStr">
        <is>
          <t/>
        </is>
      </c>
      <c r="DL313" s="124" t="inlineStr">
        <is>
          <t/>
        </is>
      </c>
      <c r="DM313" s="125" t="inlineStr">
        <is>
          <t>181</t>
        </is>
      </c>
      <c r="DN313" s="126" t="inlineStr">
        <is>
          <t>21</t>
        </is>
      </c>
      <c r="DO313" s="127" t="inlineStr">
        <is>
          <t>13,13%</t>
        </is>
      </c>
      <c r="DP313" s="128" t="inlineStr">
        <is>
          <t/>
        </is>
      </c>
      <c r="DQ313" s="129" t="inlineStr">
        <is>
          <t/>
        </is>
      </c>
      <c r="DR313" s="130" t="inlineStr">
        <is>
          <t/>
        </is>
      </c>
      <c r="DS313" s="131" t="inlineStr">
        <is>
          <t/>
        </is>
      </c>
      <c r="DT313" s="132" t="inlineStr">
        <is>
          <t/>
        </is>
      </c>
      <c r="DU313" s="133" t="inlineStr">
        <is>
          <t/>
        </is>
      </c>
      <c r="DV313" s="134" t="inlineStr">
        <is>
          <t/>
        </is>
      </c>
      <c r="DW313" s="135" t="inlineStr">
        <is>
          <t/>
        </is>
      </c>
      <c r="DX313" s="136" t="inlineStr">
        <is>
          <t/>
        </is>
      </c>
      <c r="DY313" s="137" t="inlineStr">
        <is>
          <t>PitchBook Research</t>
        </is>
      </c>
      <c r="DZ313" s="785">
        <f>HYPERLINK("https://my.pitchbook.com?c=64197-28", "View company online")</f>
      </c>
    </row>
    <row r="314">
      <c r="A314" s="139" t="inlineStr">
        <is>
          <t>167347-54</t>
        </is>
      </c>
      <c r="B314" s="140" t="inlineStr">
        <is>
          <t>Neos (Insurance Tech)</t>
        </is>
      </c>
      <c r="C314" s="141" t="inlineStr">
        <is>
          <t/>
        </is>
      </c>
      <c r="D314" s="142" t="inlineStr">
        <is>
          <t/>
        </is>
      </c>
      <c r="E314" s="143" t="inlineStr">
        <is>
          <t>167347-54</t>
        </is>
      </c>
      <c r="F314" s="144" t="inlineStr">
        <is>
          <t>Provider of connected home insurance services designed to prevent the damage that leads to a home insurance claim. The company's connected home insurance services combine smart technology, home security and premium insurance in a new way to safeguard home enabling homeowners to protect and insure the home by availing 24/7 emergency assistance, monitoring and insurance policy.</t>
        </is>
      </c>
      <c r="G314" s="145" t="inlineStr">
        <is>
          <t>Information Technology</t>
        </is>
      </c>
      <c r="H314" s="146" t="inlineStr">
        <is>
          <t>Software</t>
        </is>
      </c>
      <c r="I314" s="147" t="inlineStr">
        <is>
          <t>Application Software</t>
        </is>
      </c>
      <c r="J314" s="148" t="inlineStr">
        <is>
          <t>Application Software*; Property and Casualty Insurance; Security Services (B2B)</t>
        </is>
      </c>
      <c r="K314" s="149" t="inlineStr">
        <is>
          <t>Mobile</t>
        </is>
      </c>
      <c r="L314" s="150" t="inlineStr">
        <is>
          <t>Venture Capital-Backed</t>
        </is>
      </c>
      <c r="M314" s="151" t="n">
        <v>6.97</v>
      </c>
      <c r="N314" s="152" t="inlineStr">
        <is>
          <t>Generating Revenue</t>
        </is>
      </c>
      <c r="O314" s="153" t="inlineStr">
        <is>
          <t>Privately Held (backing)</t>
        </is>
      </c>
      <c r="P314" s="154" t="inlineStr">
        <is>
          <t>Venture Capital</t>
        </is>
      </c>
      <c r="Q314" s="155" t="inlineStr">
        <is>
          <t>www.neos.co.uk</t>
        </is>
      </c>
      <c r="R314" s="156" t="inlineStr">
        <is>
          <t/>
        </is>
      </c>
      <c r="S314" s="157" t="inlineStr">
        <is>
          <t/>
        </is>
      </c>
      <c r="T314" s="158" t="inlineStr">
        <is>
          <t/>
        </is>
      </c>
      <c r="U314" s="159" t="n">
        <v>2015.0</v>
      </c>
      <c r="V314" s="160" t="inlineStr">
        <is>
          <t/>
        </is>
      </c>
      <c r="W314" s="161" t="inlineStr">
        <is>
          <t/>
        </is>
      </c>
      <c r="X314" s="162" t="inlineStr">
        <is>
          <t/>
        </is>
      </c>
      <c r="Y314" s="163" t="inlineStr">
        <is>
          <t/>
        </is>
      </c>
      <c r="Z314" s="164" t="inlineStr">
        <is>
          <t/>
        </is>
      </c>
      <c r="AA314" s="165" t="inlineStr">
        <is>
          <t/>
        </is>
      </c>
      <c r="AB314" s="166" t="inlineStr">
        <is>
          <t/>
        </is>
      </c>
      <c r="AC314" s="167" t="inlineStr">
        <is>
          <t/>
        </is>
      </c>
      <c r="AD314" s="168" t="inlineStr">
        <is>
          <t/>
        </is>
      </c>
      <c r="AE314" s="169" t="inlineStr">
        <is>
          <t>148066-93P</t>
        </is>
      </c>
      <c r="AF314" s="170" t="inlineStr">
        <is>
          <t>Matt Poll</t>
        </is>
      </c>
      <c r="AG314" s="171" t="inlineStr">
        <is>
          <t>Co-Founder &amp; Chief Executive Officer</t>
        </is>
      </c>
      <c r="AH314" s="172" t="inlineStr">
        <is>
          <t>matt.poll@neos.co.uk</t>
        </is>
      </c>
      <c r="AI314" s="173" t="inlineStr">
        <is>
          <t>+44 (0)20 3210 3000</t>
        </is>
      </c>
      <c r="AJ314" s="174" t="inlineStr">
        <is>
          <t>London, United Kingdom</t>
        </is>
      </c>
      <c r="AK314" s="175" t="inlineStr">
        <is>
          <t>Unit 10</t>
        </is>
      </c>
      <c r="AL314" s="176" t="inlineStr">
        <is>
          <t>2-4 Hoxton Square</t>
        </is>
      </c>
      <c r="AM314" s="177" t="inlineStr">
        <is>
          <t>London</t>
        </is>
      </c>
      <c r="AN314" s="178" t="inlineStr">
        <is>
          <t>England</t>
        </is>
      </c>
      <c r="AO314" s="179" t="inlineStr">
        <is>
          <t>N1 6NU</t>
        </is>
      </c>
      <c r="AP314" s="180" t="inlineStr">
        <is>
          <t>United Kingdom</t>
        </is>
      </c>
      <c r="AQ314" s="181" t="inlineStr">
        <is>
          <t>+44 (0)20 3210 3000</t>
        </is>
      </c>
      <c r="AR314" s="182" t="inlineStr">
        <is>
          <t/>
        </is>
      </c>
      <c r="AS314" s="183" t="inlineStr">
        <is>
          <t>info@neos.co.uk</t>
        </is>
      </c>
      <c r="AT314" s="184" t="inlineStr">
        <is>
          <t>Europe</t>
        </is>
      </c>
      <c r="AU314" s="185" t="inlineStr">
        <is>
          <t>Western Europe</t>
        </is>
      </c>
      <c r="AV314" s="186" t="inlineStr">
        <is>
          <t>The company raised GBP 5 million of Series A venture funding in a deal led by Aviva Ventures on May 25, 2017. Munich Re/HSB Ventures also participated in the round. The capital injection will be used to accelerate growth.</t>
        </is>
      </c>
      <c r="AW314" s="187" t="inlineStr">
        <is>
          <t>Aviva Ventures, Barry Smith, Eos Venture Partners, Gary Lineker, InsurTech.vc, Munich Re, Munich Re/HSB Ventures, Richard King, Steve Broughton, Zoopla Property Group</t>
        </is>
      </c>
      <c r="AX314" s="188" t="n">
        <v>10.0</v>
      </c>
      <c r="AY314" s="189" t="inlineStr">
        <is>
          <t/>
        </is>
      </c>
      <c r="AZ314" s="190" t="inlineStr">
        <is>
          <t/>
        </is>
      </c>
      <c r="BA314" s="191" t="inlineStr">
        <is>
          <t/>
        </is>
      </c>
      <c r="BB314" s="192" t="inlineStr">
        <is>
          <t>Eos Venture Partners (www.eosventurepartners.com), InsurTech.vc (www.insurtech.vc), Munich Re (www.munichre.com), Zoopla Property Group (www.zpg.co.uk)</t>
        </is>
      </c>
      <c r="BC314" s="193" t="inlineStr">
        <is>
          <t/>
        </is>
      </c>
      <c r="BD314" s="194" t="inlineStr">
        <is>
          <t/>
        </is>
      </c>
      <c r="BE314" s="195" t="inlineStr">
        <is>
          <t/>
        </is>
      </c>
      <c r="BF314" s="196" t="inlineStr">
        <is>
          <t/>
        </is>
      </c>
      <c r="BG314" s="197" t="n">
        <v>42662.0</v>
      </c>
      <c r="BH314" s="198" t="n">
        <v>1.12</v>
      </c>
      <c r="BI314" s="199" t="inlineStr">
        <is>
          <t>Actual</t>
        </is>
      </c>
      <c r="BJ314" s="200" t="n">
        <v>9.42</v>
      </c>
      <c r="BK314" s="201" t="inlineStr">
        <is>
          <t>Actual</t>
        </is>
      </c>
      <c r="BL314" s="202" t="inlineStr">
        <is>
          <t>Seed Round</t>
        </is>
      </c>
      <c r="BM314" s="203" t="inlineStr">
        <is>
          <t>Seed</t>
        </is>
      </c>
      <c r="BN314" s="204" t="inlineStr">
        <is>
          <t/>
        </is>
      </c>
      <c r="BO314" s="205" t="inlineStr">
        <is>
          <t>Individual</t>
        </is>
      </c>
      <c r="BP314" s="206" t="inlineStr">
        <is>
          <t/>
        </is>
      </c>
      <c r="BQ314" s="207" t="inlineStr">
        <is>
          <t/>
        </is>
      </c>
      <c r="BR314" s="208" t="inlineStr">
        <is>
          <t/>
        </is>
      </c>
      <c r="BS314" s="209" t="inlineStr">
        <is>
          <t>Completed</t>
        </is>
      </c>
      <c r="BT314" s="210" t="n">
        <v>42880.0</v>
      </c>
      <c r="BU314" s="211" t="n">
        <v>5.85</v>
      </c>
      <c r="BV314" s="212" t="inlineStr">
        <is>
          <t>Actual</t>
        </is>
      </c>
      <c r="BW314" s="213" t="inlineStr">
        <is>
          <t/>
        </is>
      </c>
      <c r="BX314" s="214" t="inlineStr">
        <is>
          <t/>
        </is>
      </c>
      <c r="BY314" s="215" t="inlineStr">
        <is>
          <t>Early Stage VC</t>
        </is>
      </c>
      <c r="BZ314" s="216" t="inlineStr">
        <is>
          <t>Series A</t>
        </is>
      </c>
      <c r="CA314" s="217" t="inlineStr">
        <is>
          <t/>
        </is>
      </c>
      <c r="CB314" s="218" t="inlineStr">
        <is>
          <t>Venture Capital</t>
        </is>
      </c>
      <c r="CC314" s="219" t="inlineStr">
        <is>
          <t/>
        </is>
      </c>
      <c r="CD314" s="220" t="inlineStr">
        <is>
          <t/>
        </is>
      </c>
      <c r="CE314" s="221" t="inlineStr">
        <is>
          <t/>
        </is>
      </c>
      <c r="CF314" s="222" t="inlineStr">
        <is>
          <t>Completed</t>
        </is>
      </c>
      <c r="CG314" s="223" t="inlineStr">
        <is>
          <t>-0,31%</t>
        </is>
      </c>
      <c r="CH314" s="224" t="inlineStr">
        <is>
          <t>11</t>
        </is>
      </c>
      <c r="CI314" s="225" t="inlineStr">
        <is>
          <t>-0,02%</t>
        </is>
      </c>
      <c r="CJ314" s="226" t="inlineStr">
        <is>
          <t>-5,12%</t>
        </is>
      </c>
      <c r="CK314" s="227" t="inlineStr">
        <is>
          <t>-0,69%</t>
        </is>
      </c>
      <c r="CL314" s="228" t="inlineStr">
        <is>
          <t>11</t>
        </is>
      </c>
      <c r="CM314" s="229" t="inlineStr">
        <is>
          <t>0,06%</t>
        </is>
      </c>
      <c r="CN314" s="230" t="inlineStr">
        <is>
          <t>54</t>
        </is>
      </c>
      <c r="CO314" s="231" t="inlineStr">
        <is>
          <t>-1,37%</t>
        </is>
      </c>
      <c r="CP314" s="232" t="inlineStr">
        <is>
          <t>18</t>
        </is>
      </c>
      <c r="CQ314" s="233" t="inlineStr">
        <is>
          <t>0,00%</t>
        </is>
      </c>
      <c r="CR314" s="234" t="inlineStr">
        <is>
          <t>13</t>
        </is>
      </c>
      <c r="CS314" s="235" t="inlineStr">
        <is>
          <t>0,05%</t>
        </is>
      </c>
      <c r="CT314" s="236" t="inlineStr">
        <is>
          <t>49</t>
        </is>
      </c>
      <c r="CU314" s="237" t="inlineStr">
        <is>
          <t>0,06%</t>
        </is>
      </c>
      <c r="CV314" s="238" t="inlineStr">
        <is>
          <t>62</t>
        </is>
      </c>
      <c r="CW314" s="239" t="inlineStr">
        <is>
          <t>2,40x</t>
        </is>
      </c>
      <c r="CX314" s="240" t="inlineStr">
        <is>
          <t>67</t>
        </is>
      </c>
      <c r="CY314" s="241" t="inlineStr">
        <is>
          <t>-1,61x</t>
        </is>
      </c>
      <c r="CZ314" s="242" t="inlineStr">
        <is>
          <t>-40,15%</t>
        </is>
      </c>
      <c r="DA314" s="243" t="inlineStr">
        <is>
          <t>1,06x</t>
        </is>
      </c>
      <c r="DB314" s="244" t="inlineStr">
        <is>
          <t>53</t>
        </is>
      </c>
      <c r="DC314" s="245" t="inlineStr">
        <is>
          <t>3,74x</t>
        </is>
      </c>
      <c r="DD314" s="246" t="inlineStr">
        <is>
          <t>72</t>
        </is>
      </c>
      <c r="DE314" s="247" t="inlineStr">
        <is>
          <t>1,32x</t>
        </is>
      </c>
      <c r="DF314" s="248" t="inlineStr">
        <is>
          <t>56</t>
        </is>
      </c>
      <c r="DG314" s="249" t="inlineStr">
        <is>
          <t>0,81x</t>
        </is>
      </c>
      <c r="DH314" s="250" t="inlineStr">
        <is>
          <t>46</t>
        </is>
      </c>
      <c r="DI314" s="251" t="inlineStr">
        <is>
          <t>0,34x</t>
        </is>
      </c>
      <c r="DJ314" s="252" t="inlineStr">
        <is>
          <t>32</t>
        </is>
      </c>
      <c r="DK314" s="253" t="inlineStr">
        <is>
          <t>7,15x</t>
        </is>
      </c>
      <c r="DL314" s="254" t="inlineStr">
        <is>
          <t>83</t>
        </is>
      </c>
      <c r="DM314" s="255" t="inlineStr">
        <is>
          <t>796</t>
        </is>
      </c>
      <c r="DN314" s="256" t="inlineStr">
        <is>
          <t>39</t>
        </is>
      </c>
      <c r="DO314" s="257" t="inlineStr">
        <is>
          <t>5,15%</t>
        </is>
      </c>
      <c r="DP314" s="258" t="inlineStr">
        <is>
          <t>275</t>
        </is>
      </c>
      <c r="DQ314" s="259" t="inlineStr">
        <is>
          <t>0</t>
        </is>
      </c>
      <c r="DR314" s="260" t="inlineStr">
        <is>
          <t>0,00%</t>
        </is>
      </c>
      <c r="DS314" s="261" t="inlineStr">
        <is>
          <t>29</t>
        </is>
      </c>
      <c r="DT314" s="262" t="inlineStr">
        <is>
          <t>0</t>
        </is>
      </c>
      <c r="DU314" s="263" t="inlineStr">
        <is>
          <t>0,00%</t>
        </is>
      </c>
      <c r="DV314" s="264" t="inlineStr">
        <is>
          <t>2.445</t>
        </is>
      </c>
      <c r="DW314" s="265" t="inlineStr">
        <is>
          <t>3</t>
        </is>
      </c>
      <c r="DX314" s="266" t="inlineStr">
        <is>
          <t>0,12%</t>
        </is>
      </c>
      <c r="DY314" s="267" t="inlineStr">
        <is>
          <t>PitchBook Research</t>
        </is>
      </c>
      <c r="DZ314" s="786">
        <f>HYPERLINK("https://my.pitchbook.com?c=167347-54", "View company online")</f>
      </c>
    </row>
    <row r="315">
      <c r="A315" s="9" t="inlineStr">
        <is>
          <t>55807-84</t>
        </is>
      </c>
      <c r="B315" s="10" t="inlineStr">
        <is>
          <t>NeRRe Therapeutics</t>
        </is>
      </c>
      <c r="C315" s="11" t="inlineStr">
        <is>
          <t/>
        </is>
      </c>
      <c r="D315" s="12" t="inlineStr">
        <is>
          <t>NeRRe</t>
        </is>
      </c>
      <c r="E315" s="13" t="inlineStr">
        <is>
          <t>55807-84</t>
        </is>
      </c>
      <c r="F315" s="14" t="inlineStr">
        <is>
          <t>Developer of clinical and pre-clinical neurokinin receptor antagonists. The company focuses on the development of its portfolio of NK receptor antagonists for the treatment of common, chronic and debilitating conditions caused by neuronal hypersensitivity.</t>
        </is>
      </c>
      <c r="G315" s="15" t="inlineStr">
        <is>
          <t>Healthcare</t>
        </is>
      </c>
      <c r="H315" s="16" t="inlineStr">
        <is>
          <t>Pharmaceuticals and Biotechnology</t>
        </is>
      </c>
      <c r="I315" s="17" t="inlineStr">
        <is>
          <t>Biotechnology</t>
        </is>
      </c>
      <c r="J315" s="18" t="inlineStr">
        <is>
          <t>Biotechnology*; Drug Discovery</t>
        </is>
      </c>
      <c r="K315" s="19" t="inlineStr">
        <is>
          <t>Life Sciences</t>
        </is>
      </c>
      <c r="L315" s="20" t="inlineStr">
        <is>
          <t>Venture Capital-Backed</t>
        </is>
      </c>
      <c r="M315" s="21" t="n">
        <v>40.86</v>
      </c>
      <c r="N315" s="22" t="inlineStr">
        <is>
          <t>Startup</t>
        </is>
      </c>
      <c r="O315" s="23" t="inlineStr">
        <is>
          <t>Privately Held (backing)</t>
        </is>
      </c>
      <c r="P315" s="24" t="inlineStr">
        <is>
          <t>Venture Capital</t>
        </is>
      </c>
      <c r="Q315" s="25" t="inlineStr">
        <is>
          <t>www.nerretherapeutics.com</t>
        </is>
      </c>
      <c r="R315" s="26" t="n">
        <v>2.0</v>
      </c>
      <c r="S315" s="27" t="inlineStr">
        <is>
          <t/>
        </is>
      </c>
      <c r="T315" s="28" t="inlineStr">
        <is>
          <t/>
        </is>
      </c>
      <c r="U315" s="29" t="n">
        <v>2012.0</v>
      </c>
      <c r="V315" s="30" t="inlineStr">
        <is>
          <t/>
        </is>
      </c>
      <c r="W315" s="31" t="inlineStr">
        <is>
          <t/>
        </is>
      </c>
      <c r="X315" s="32" t="inlineStr">
        <is>
          <t/>
        </is>
      </c>
      <c r="Y315" s="33" t="n">
        <v>0.87181</v>
      </c>
      <c r="Z315" s="34" t="inlineStr">
        <is>
          <t/>
        </is>
      </c>
      <c r="AA315" s="35" t="n">
        <v>-1.28993</v>
      </c>
      <c r="AB315" s="36" t="inlineStr">
        <is>
          <t/>
        </is>
      </c>
      <c r="AC315" s="37" t="n">
        <v>-1.3611</v>
      </c>
      <c r="AD315" s="38" t="inlineStr">
        <is>
          <t>FY 2016</t>
        </is>
      </c>
      <c r="AE315" s="39" t="inlineStr">
        <is>
          <t>114874-48P</t>
        </is>
      </c>
      <c r="AF315" s="40" t="inlineStr">
        <is>
          <t>Mary Kerr</t>
        </is>
      </c>
      <c r="AG315" s="41" t="inlineStr">
        <is>
          <t>Board Member &amp; Chief Executive Officer</t>
        </is>
      </c>
      <c r="AH315" s="42" t="inlineStr">
        <is>
          <t>mary.kerr@adventls.com</t>
        </is>
      </c>
      <c r="AI315" s="43" t="inlineStr">
        <is>
          <t>+44 (0)14 3890 6960</t>
        </is>
      </c>
      <c r="AJ315" s="44" t="inlineStr">
        <is>
          <t>Stevenage, United Kingdom</t>
        </is>
      </c>
      <c r="AK315" s="45" t="inlineStr">
        <is>
          <t>Stevenage Bioscience Catalyst</t>
        </is>
      </c>
      <c r="AL315" s="46" t="inlineStr">
        <is>
          <t>Incubator Building, Gunnels Wood Road</t>
        </is>
      </c>
      <c r="AM315" s="47" t="inlineStr">
        <is>
          <t>Stevenage</t>
        </is>
      </c>
      <c r="AN315" s="48" t="inlineStr">
        <is>
          <t>England</t>
        </is>
      </c>
      <c r="AO315" s="49" t="inlineStr">
        <is>
          <t>SG1 2FX</t>
        </is>
      </c>
      <c r="AP315" s="50" t="inlineStr">
        <is>
          <t>United Kingdom</t>
        </is>
      </c>
      <c r="AQ315" s="51" t="inlineStr">
        <is>
          <t>+44 (0)14 3890 6960</t>
        </is>
      </c>
      <c r="AR315" s="52" t="inlineStr">
        <is>
          <t/>
        </is>
      </c>
      <c r="AS315" s="53" t="inlineStr">
        <is>
          <t>info@nerretherapeutics.com</t>
        </is>
      </c>
      <c r="AT315" s="54" t="inlineStr">
        <is>
          <t>Europe</t>
        </is>
      </c>
      <c r="AU315" s="55" t="inlineStr">
        <is>
          <t>Western Europe</t>
        </is>
      </c>
      <c r="AV315" s="56" t="inlineStr">
        <is>
          <t>The company raised GBP 23 million of Series B venture funding in a round led by Fountain Healthcare Partners, Forbion Capital Partners and OrbiMed on January 5, 2017, putting the pre-money valuation at GBP 7.13 million. Advent Life Sciences and Novo also participated in this round. Of the total amount, GBP 11.96 million was raised via convertible debt. The company intends to use the funds to generate Phase 2 data on orvepitant, its lead oral NK-1 antagonist candidate as a potential new treatment for a common, chronic respiratory condition; and to advance NT-814, a dual NK-1,3 antagonist, into Phase 2 trials as a potential non-hormonal treatment of distressing post-menopausal vasomotor symptoms.</t>
        </is>
      </c>
      <c r="AW315" s="57" t="inlineStr">
        <is>
          <t>Advent Life Sciences, Forbion Capital Partners, Fountain Healthcare Partners, GSK, Novo, OrbiMed</t>
        </is>
      </c>
      <c r="AX315" s="58" t="n">
        <v>6.0</v>
      </c>
      <c r="AY315" s="59" t="inlineStr">
        <is>
          <t/>
        </is>
      </c>
      <c r="AZ315" s="60" t="inlineStr">
        <is>
          <t/>
        </is>
      </c>
      <c r="BA315" s="61" t="inlineStr">
        <is>
          <t/>
        </is>
      </c>
      <c r="BB315" s="62" t="inlineStr">
        <is>
          <t>Advent Life Sciences (www.adventls.com), Forbion Capital Partners (www.forbion.com), Fountain Healthcare Partners (www.fh-partners.com), GSK (www.gsk.com), Novo (www.novoholdings.dk), OrbiMed (www.orbimed.com)</t>
        </is>
      </c>
      <c r="BC315" s="63" t="inlineStr">
        <is>
          <t/>
        </is>
      </c>
      <c r="BD315" s="64" t="inlineStr">
        <is>
          <t/>
        </is>
      </c>
      <c r="BE315" s="65" t="inlineStr">
        <is>
          <t>Rawlinson &amp; Hunter (Legal Advisor)</t>
        </is>
      </c>
      <c r="BF315" s="66" t="inlineStr">
        <is>
          <t/>
        </is>
      </c>
      <c r="BG315" s="67" t="n">
        <v>41269.0</v>
      </c>
      <c r="BH315" s="68" t="n">
        <v>14.15</v>
      </c>
      <c r="BI315" s="69" t="inlineStr">
        <is>
          <t>Actual</t>
        </is>
      </c>
      <c r="BJ315" s="70" t="n">
        <v>7.8</v>
      </c>
      <c r="BK315" s="71" t="inlineStr">
        <is>
          <t>Actual</t>
        </is>
      </c>
      <c r="BL315" s="72" t="inlineStr">
        <is>
          <t>Early Stage VC</t>
        </is>
      </c>
      <c r="BM315" s="73" t="inlineStr">
        <is>
          <t>Series A</t>
        </is>
      </c>
      <c r="BN315" s="74" t="inlineStr">
        <is>
          <t/>
        </is>
      </c>
      <c r="BO315" s="75" t="inlineStr">
        <is>
          <t>Venture Capital</t>
        </is>
      </c>
      <c r="BP315" s="76" t="inlineStr">
        <is>
          <t>Convertible Debt</t>
        </is>
      </c>
      <c r="BQ315" s="77" t="inlineStr">
        <is>
          <t/>
        </is>
      </c>
      <c r="BR315" s="78" t="inlineStr">
        <is>
          <t/>
        </is>
      </c>
      <c r="BS315" s="79" t="inlineStr">
        <is>
          <t>Completed</t>
        </is>
      </c>
      <c r="BT315" s="80" t="n">
        <v>42740.0</v>
      </c>
      <c r="BU315" s="81" t="n">
        <v>26.71</v>
      </c>
      <c r="BV315" s="82" t="inlineStr">
        <is>
          <t>Actual</t>
        </is>
      </c>
      <c r="BW315" s="83" t="n">
        <v>21.1</v>
      </c>
      <c r="BX315" s="84" t="inlineStr">
        <is>
          <t>Actual</t>
        </is>
      </c>
      <c r="BY315" s="85" t="inlineStr">
        <is>
          <t>Early Stage VC</t>
        </is>
      </c>
      <c r="BZ315" s="86" t="inlineStr">
        <is>
          <t>Series B</t>
        </is>
      </c>
      <c r="CA315" s="87" t="inlineStr">
        <is>
          <t/>
        </is>
      </c>
      <c r="CB315" s="88" t="inlineStr">
        <is>
          <t>Venture Capital</t>
        </is>
      </c>
      <c r="CC315" s="89" t="inlineStr">
        <is>
          <t>Convertible Debt</t>
        </is>
      </c>
      <c r="CD315" s="90" t="inlineStr">
        <is>
          <t/>
        </is>
      </c>
      <c r="CE315" s="91" t="inlineStr">
        <is>
          <t/>
        </is>
      </c>
      <c r="CF315" s="92" t="inlineStr">
        <is>
          <t>Completed</t>
        </is>
      </c>
      <c r="CG315" s="93" t="inlineStr">
        <is>
          <t>0,00%</t>
        </is>
      </c>
      <c r="CH315" s="94" t="inlineStr">
        <is>
          <t>23</t>
        </is>
      </c>
      <c r="CI315" s="95" t="inlineStr">
        <is>
          <t>0,00%</t>
        </is>
      </c>
      <c r="CJ315" s="96" t="inlineStr">
        <is>
          <t>0,00%</t>
        </is>
      </c>
      <c r="CK315" s="97" t="inlineStr">
        <is>
          <t>0,00%</t>
        </is>
      </c>
      <c r="CL315" s="98" t="inlineStr">
        <is>
          <t>18</t>
        </is>
      </c>
      <c r="CM315" s="99" t="inlineStr">
        <is>
          <t/>
        </is>
      </c>
      <c r="CN315" s="100" t="inlineStr">
        <is>
          <t/>
        </is>
      </c>
      <c r="CO315" s="101" t="inlineStr">
        <is>
          <t/>
        </is>
      </c>
      <c r="CP315" s="102" t="inlineStr">
        <is>
          <t/>
        </is>
      </c>
      <c r="CQ315" s="103" t="inlineStr">
        <is>
          <t>0,00%</t>
        </is>
      </c>
      <c r="CR315" s="104" t="inlineStr">
        <is>
          <t>13</t>
        </is>
      </c>
      <c r="CS315" s="105" t="inlineStr">
        <is>
          <t/>
        </is>
      </c>
      <c r="CT315" s="106" t="inlineStr">
        <is>
          <t/>
        </is>
      </c>
      <c r="CU315" s="107" t="inlineStr">
        <is>
          <t/>
        </is>
      </c>
      <c r="CV315" s="108" t="inlineStr">
        <is>
          <t/>
        </is>
      </c>
      <c r="CW315" s="109" t="inlineStr">
        <is>
          <t>0,75x</t>
        </is>
      </c>
      <c r="CX315" s="110" t="inlineStr">
        <is>
          <t>42</t>
        </is>
      </c>
      <c r="CY315" s="111" t="inlineStr">
        <is>
          <t>-0,01x</t>
        </is>
      </c>
      <c r="CZ315" s="112" t="inlineStr">
        <is>
          <t>-0,89%</t>
        </is>
      </c>
      <c r="DA315" s="113" t="inlineStr">
        <is>
          <t>0,75x</t>
        </is>
      </c>
      <c r="DB315" s="114" t="inlineStr">
        <is>
          <t>45</t>
        </is>
      </c>
      <c r="DC315" s="115" t="inlineStr">
        <is>
          <t/>
        </is>
      </c>
      <c r="DD315" s="116" t="inlineStr">
        <is>
          <t/>
        </is>
      </c>
      <c r="DE315" s="117" t="inlineStr">
        <is>
          <t/>
        </is>
      </c>
      <c r="DF315" s="118" t="inlineStr">
        <is>
          <t/>
        </is>
      </c>
      <c r="DG315" s="119" t="inlineStr">
        <is>
          <t>0,75x</t>
        </is>
      </c>
      <c r="DH315" s="120" t="inlineStr">
        <is>
          <t>44</t>
        </is>
      </c>
      <c r="DI315" s="121" t="inlineStr">
        <is>
          <t/>
        </is>
      </c>
      <c r="DJ315" s="122" t="inlineStr">
        <is>
          <t/>
        </is>
      </c>
      <c r="DK315" s="123" t="inlineStr">
        <is>
          <t/>
        </is>
      </c>
      <c r="DL315" s="124" t="inlineStr">
        <is>
          <t/>
        </is>
      </c>
      <c r="DM315" s="125" t="inlineStr">
        <is>
          <t>334</t>
        </is>
      </c>
      <c r="DN315" s="126" t="inlineStr">
        <is>
          <t>-22</t>
        </is>
      </c>
      <c r="DO315" s="127" t="inlineStr">
        <is>
          <t>-6,18%</t>
        </is>
      </c>
      <c r="DP315" s="128" t="inlineStr">
        <is>
          <t/>
        </is>
      </c>
      <c r="DQ315" s="129" t="inlineStr">
        <is>
          <t/>
        </is>
      </c>
      <c r="DR315" s="130" t="inlineStr">
        <is>
          <t/>
        </is>
      </c>
      <c r="DS315" s="131" t="inlineStr">
        <is>
          <t>27</t>
        </is>
      </c>
      <c r="DT315" s="132" t="inlineStr">
        <is>
          <t>-1</t>
        </is>
      </c>
      <c r="DU315" s="133" t="inlineStr">
        <is>
          <t>-3,57%</t>
        </is>
      </c>
      <c r="DV315" s="134" t="inlineStr">
        <is>
          <t/>
        </is>
      </c>
      <c r="DW315" s="135" t="inlineStr">
        <is>
          <t/>
        </is>
      </c>
      <c r="DX315" s="136" t="inlineStr">
        <is>
          <t/>
        </is>
      </c>
      <c r="DY315" s="137" t="inlineStr">
        <is>
          <t>PitchBook Research</t>
        </is>
      </c>
      <c r="DZ315" s="785">
        <f>HYPERLINK("https://my.pitchbook.com?c=55807-84", "View company online")</f>
      </c>
    </row>
    <row r="316">
      <c r="A316" s="139" t="inlineStr">
        <is>
          <t>166511-53</t>
        </is>
      </c>
      <c r="B316" s="140" t="inlineStr">
        <is>
          <t>Nested (Property Sale Services)</t>
        </is>
      </c>
      <c r="C316" s="141" t="inlineStr">
        <is>
          <t/>
        </is>
      </c>
      <c r="D316" s="142" t="inlineStr">
        <is>
          <t/>
        </is>
      </c>
      <c r="E316" s="143" t="inlineStr">
        <is>
          <t>166511-53</t>
        </is>
      </c>
      <c r="F316" s="144" t="inlineStr">
        <is>
          <t>Provider of an online platform designed to offer property sale services. The company's online platform guarantees to sell houses within 90 days or offers cash in advance, enabling home-sellers to sell their property without compromising on price and saves them from months of stress and uncertainty.</t>
        </is>
      </c>
      <c r="G316" s="145" t="inlineStr">
        <is>
          <t>Information Technology</t>
        </is>
      </c>
      <c r="H316" s="146" t="inlineStr">
        <is>
          <t>Software</t>
        </is>
      </c>
      <c r="I316" s="147" t="inlineStr">
        <is>
          <t>Application Software</t>
        </is>
      </c>
      <c r="J316" s="148" t="inlineStr">
        <is>
          <t>Application Software*; Real Estate Services (B2C)</t>
        </is>
      </c>
      <c r="K316" s="149" t="inlineStr">
        <is>
          <t/>
        </is>
      </c>
      <c r="L316" s="150" t="inlineStr">
        <is>
          <t>Venture Capital-Backed</t>
        </is>
      </c>
      <c r="M316" s="151" t="n">
        <v>12.7</v>
      </c>
      <c r="N316" s="152" t="inlineStr">
        <is>
          <t>Generating Revenue</t>
        </is>
      </c>
      <c r="O316" s="153" t="inlineStr">
        <is>
          <t>Privately Held (backing)</t>
        </is>
      </c>
      <c r="P316" s="154" t="inlineStr">
        <is>
          <t>Venture Capital</t>
        </is>
      </c>
      <c r="Q316" s="155" t="inlineStr">
        <is>
          <t>www.nested.com</t>
        </is>
      </c>
      <c r="R316" s="156" t="n">
        <v>3.0</v>
      </c>
      <c r="S316" s="157" t="inlineStr">
        <is>
          <t/>
        </is>
      </c>
      <c r="T316" s="158" t="inlineStr">
        <is>
          <t/>
        </is>
      </c>
      <c r="U316" s="159" t="n">
        <v>2015.0</v>
      </c>
      <c r="V316" s="160" t="inlineStr">
        <is>
          <t/>
        </is>
      </c>
      <c r="W316" s="161" t="inlineStr">
        <is>
          <t/>
        </is>
      </c>
      <c r="X316" s="162" t="inlineStr">
        <is>
          <t/>
        </is>
      </c>
      <c r="Y316" s="163" t="n">
        <v>1.10055</v>
      </c>
      <c r="Z316" s="164" t="inlineStr">
        <is>
          <t/>
        </is>
      </c>
      <c r="AA316" s="165" t="inlineStr">
        <is>
          <t/>
        </is>
      </c>
      <c r="AB316" s="166" t="inlineStr">
        <is>
          <t/>
        </is>
      </c>
      <c r="AC316" s="167" t="inlineStr">
        <is>
          <t/>
        </is>
      </c>
      <c r="AD316" s="168" t="inlineStr">
        <is>
          <t>FY 2017</t>
        </is>
      </c>
      <c r="AE316" s="169" t="inlineStr">
        <is>
          <t>40107-25P</t>
        </is>
      </c>
      <c r="AF316" s="170" t="inlineStr">
        <is>
          <t>Matthew Robinson</t>
        </is>
      </c>
      <c r="AG316" s="171" t="inlineStr">
        <is>
          <t>Chief Executive Officer, Board Member &amp; Co-Founder</t>
        </is>
      </c>
      <c r="AH316" s="172" t="inlineStr">
        <is>
          <t>matt@nested.com</t>
        </is>
      </c>
      <c r="AI316" s="173" t="inlineStr">
        <is>
          <t>+44 (0)20 3856 7856</t>
        </is>
      </c>
      <c r="AJ316" s="174" t="inlineStr">
        <is>
          <t>London, United Kingdom</t>
        </is>
      </c>
      <c r="AK316" s="175" t="inlineStr">
        <is>
          <t>The Stables</t>
        </is>
      </c>
      <c r="AL316" s="176" t="inlineStr">
        <is>
          <t>8-10 Warner Street</t>
        </is>
      </c>
      <c r="AM316" s="177" t="inlineStr">
        <is>
          <t>London</t>
        </is>
      </c>
      <c r="AN316" s="178" t="inlineStr">
        <is>
          <t>England</t>
        </is>
      </c>
      <c r="AO316" s="179" t="inlineStr">
        <is>
          <t>EC1R 5HA</t>
        </is>
      </c>
      <c r="AP316" s="180" t="inlineStr">
        <is>
          <t>United Kingdom</t>
        </is>
      </c>
      <c r="AQ316" s="181" t="inlineStr">
        <is>
          <t>+44 (0)20 3856 7856</t>
        </is>
      </c>
      <c r="AR316" s="182" t="inlineStr">
        <is>
          <t/>
        </is>
      </c>
      <c r="AS316" s="183" t="inlineStr">
        <is>
          <t>help@nested.com</t>
        </is>
      </c>
      <c r="AT316" s="184" t="inlineStr">
        <is>
          <t>Europe</t>
        </is>
      </c>
      <c r="AU316" s="185" t="inlineStr">
        <is>
          <t>Western Europe</t>
        </is>
      </c>
      <c r="AV316" s="186" t="inlineStr">
        <is>
          <t>The company raised GBP 9.2 million of venture funding in a deal led by Passion Capital on March 20, 2017. Miroma Ventures, Global Founders Capital, Paul Forster, Timothy Bunting and Alex Samwer also participated in the round. The company intends to use the funds to continue to expand its operations.</t>
        </is>
      </c>
      <c r="AW316" s="187" t="inlineStr">
        <is>
          <t>Alexander Samwer, Global Founders Capital, Miroma Ventures, Passion Capital, Paul Forster, Timothy Bunting</t>
        </is>
      </c>
      <c r="AX316" s="188" t="n">
        <v>6.0</v>
      </c>
      <c r="AY316" s="189" t="inlineStr">
        <is>
          <t/>
        </is>
      </c>
      <c r="AZ316" s="190" t="inlineStr">
        <is>
          <t/>
        </is>
      </c>
      <c r="BA316" s="191" t="inlineStr">
        <is>
          <t/>
        </is>
      </c>
      <c r="BB316" s="192" t="inlineStr">
        <is>
          <t>Global Founders Capital (www.globalfounders.vc), Miroma Ventures (www.miromaventures.com), Passion Capital (www.passioncapital.com)</t>
        </is>
      </c>
      <c r="BC316" s="193" t="inlineStr">
        <is>
          <t/>
        </is>
      </c>
      <c r="BD316" s="194" t="inlineStr">
        <is>
          <t/>
        </is>
      </c>
      <c r="BE316" s="195" t="inlineStr">
        <is>
          <t/>
        </is>
      </c>
      <c r="BF316" s="196" t="inlineStr">
        <is>
          <t/>
        </is>
      </c>
      <c r="BG316" s="197" t="inlineStr">
        <is>
          <t/>
        </is>
      </c>
      <c r="BH316" s="198" t="n">
        <v>1.98</v>
      </c>
      <c r="BI316" s="199" t="inlineStr">
        <is>
          <t>Actual</t>
        </is>
      </c>
      <c r="BJ316" s="200" t="inlineStr">
        <is>
          <t/>
        </is>
      </c>
      <c r="BK316" s="201" t="inlineStr">
        <is>
          <t/>
        </is>
      </c>
      <c r="BL316" s="202" t="inlineStr">
        <is>
          <t>Early Stage VC</t>
        </is>
      </c>
      <c r="BM316" s="203" t="inlineStr">
        <is>
          <t/>
        </is>
      </c>
      <c r="BN316" s="204" t="inlineStr">
        <is>
          <t/>
        </is>
      </c>
      <c r="BO316" s="205" t="inlineStr">
        <is>
          <t>Venture Capital</t>
        </is>
      </c>
      <c r="BP316" s="206" t="inlineStr">
        <is>
          <t/>
        </is>
      </c>
      <c r="BQ316" s="207" t="inlineStr">
        <is>
          <t/>
        </is>
      </c>
      <c r="BR316" s="208" t="inlineStr">
        <is>
          <t/>
        </is>
      </c>
      <c r="BS316" s="209" t="inlineStr">
        <is>
          <t>Completed</t>
        </is>
      </c>
      <c r="BT316" s="210" t="n">
        <v>42814.0</v>
      </c>
      <c r="BU316" s="211" t="n">
        <v>10.62</v>
      </c>
      <c r="BV316" s="212" t="inlineStr">
        <is>
          <t>Actual</t>
        </is>
      </c>
      <c r="BW316" s="213" t="inlineStr">
        <is>
          <t/>
        </is>
      </c>
      <c r="BX316" s="214" t="inlineStr">
        <is>
          <t/>
        </is>
      </c>
      <c r="BY316" s="215" t="inlineStr">
        <is>
          <t>Early Stage VC</t>
        </is>
      </c>
      <c r="BZ316" s="216" t="inlineStr">
        <is>
          <t/>
        </is>
      </c>
      <c r="CA316" s="217" t="inlineStr">
        <is>
          <t/>
        </is>
      </c>
      <c r="CB316" s="218" t="inlineStr">
        <is>
          <t>Venture Capital</t>
        </is>
      </c>
      <c r="CC316" s="219" t="inlineStr">
        <is>
          <t/>
        </is>
      </c>
      <c r="CD316" s="220" t="inlineStr">
        <is>
          <t/>
        </is>
      </c>
      <c r="CE316" s="221" t="inlineStr">
        <is>
          <t/>
        </is>
      </c>
      <c r="CF316" s="222" t="inlineStr">
        <is>
          <t>Completed</t>
        </is>
      </c>
      <c r="CG316" s="223" t="inlineStr">
        <is>
          <t>1,36%</t>
        </is>
      </c>
      <c r="CH316" s="224" t="inlineStr">
        <is>
          <t>91</t>
        </is>
      </c>
      <c r="CI316" s="225" t="inlineStr">
        <is>
          <t>-0,43%</t>
        </is>
      </c>
      <c r="CJ316" s="226" t="inlineStr">
        <is>
          <t>-24,08%</t>
        </is>
      </c>
      <c r="CK316" s="227" t="inlineStr">
        <is>
          <t>-1,86%</t>
        </is>
      </c>
      <c r="CL316" s="228" t="inlineStr">
        <is>
          <t>6</t>
        </is>
      </c>
      <c r="CM316" s="229" t="inlineStr">
        <is>
          <t>4,57%</t>
        </is>
      </c>
      <c r="CN316" s="230" t="inlineStr">
        <is>
          <t>100</t>
        </is>
      </c>
      <c r="CO316" s="231" t="inlineStr">
        <is>
          <t>-3,71%</t>
        </is>
      </c>
      <c r="CP316" s="232" t="inlineStr">
        <is>
          <t>10</t>
        </is>
      </c>
      <c r="CQ316" s="233" t="inlineStr">
        <is>
          <t>0,00%</t>
        </is>
      </c>
      <c r="CR316" s="234" t="inlineStr">
        <is>
          <t>13</t>
        </is>
      </c>
      <c r="CS316" s="235" t="inlineStr">
        <is>
          <t>4,57%</t>
        </is>
      </c>
      <c r="CT316" s="236" t="inlineStr">
        <is>
          <t>100</t>
        </is>
      </c>
      <c r="CU316" s="237" t="inlineStr">
        <is>
          <t/>
        </is>
      </c>
      <c r="CV316" s="238" t="inlineStr">
        <is>
          <t/>
        </is>
      </c>
      <c r="CW316" s="239" t="inlineStr">
        <is>
          <t>2,61x</t>
        </is>
      </c>
      <c r="CX316" s="240" t="inlineStr">
        <is>
          <t>69</t>
        </is>
      </c>
      <c r="CY316" s="241" t="inlineStr">
        <is>
          <t>0,04x</t>
        </is>
      </c>
      <c r="CZ316" s="242" t="inlineStr">
        <is>
          <t>1,37%</t>
        </is>
      </c>
      <c r="DA316" s="243" t="inlineStr">
        <is>
          <t>4,32x</t>
        </is>
      </c>
      <c r="DB316" s="244" t="inlineStr">
        <is>
          <t>78</t>
        </is>
      </c>
      <c r="DC316" s="245" t="inlineStr">
        <is>
          <t>0,90x</t>
        </is>
      </c>
      <c r="DD316" s="246" t="inlineStr">
        <is>
          <t>46</t>
        </is>
      </c>
      <c r="DE316" s="247" t="inlineStr">
        <is>
          <t>7,90x</t>
        </is>
      </c>
      <c r="DF316" s="248" t="inlineStr">
        <is>
          <t>81</t>
        </is>
      </c>
      <c r="DG316" s="249" t="inlineStr">
        <is>
          <t>0,75x</t>
        </is>
      </c>
      <c r="DH316" s="250" t="inlineStr">
        <is>
          <t>44</t>
        </is>
      </c>
      <c r="DI316" s="251" t="inlineStr">
        <is>
          <t>0,90x</t>
        </is>
      </c>
      <c r="DJ316" s="252" t="inlineStr">
        <is>
          <t>49</t>
        </is>
      </c>
      <c r="DK316" s="253" t="inlineStr">
        <is>
          <t/>
        </is>
      </c>
      <c r="DL316" s="254" t="inlineStr">
        <is>
          <t/>
        </is>
      </c>
      <c r="DM316" s="255" t="inlineStr">
        <is>
          <t>4.888</t>
        </is>
      </c>
      <c r="DN316" s="256" t="inlineStr">
        <is>
          <t>-90</t>
        </is>
      </c>
      <c r="DO316" s="257" t="inlineStr">
        <is>
          <t>-1,81%</t>
        </is>
      </c>
      <c r="DP316" s="258" t="inlineStr">
        <is>
          <t>707</t>
        </is>
      </c>
      <c r="DQ316" s="259" t="inlineStr">
        <is>
          <t>23</t>
        </is>
      </c>
      <c r="DR316" s="260" t="inlineStr">
        <is>
          <t>3,36%</t>
        </is>
      </c>
      <c r="DS316" s="261" t="inlineStr">
        <is>
          <t>26</t>
        </is>
      </c>
      <c r="DT316" s="262" t="inlineStr">
        <is>
          <t>0</t>
        </is>
      </c>
      <c r="DU316" s="263" t="inlineStr">
        <is>
          <t>0,00%</t>
        </is>
      </c>
      <c r="DV316" s="264" t="inlineStr">
        <is>
          <t>137</t>
        </is>
      </c>
      <c r="DW316" s="265" t="inlineStr">
        <is>
          <t>2</t>
        </is>
      </c>
      <c r="DX316" s="266" t="inlineStr">
        <is>
          <t>1,48%</t>
        </is>
      </c>
      <c r="DY316" s="267" t="inlineStr">
        <is>
          <t>PitchBook Research</t>
        </is>
      </c>
      <c r="DZ316" s="786">
        <f>HYPERLINK("https://my.pitchbook.com?c=166511-53", "View company online")</f>
      </c>
    </row>
    <row r="317">
      <c r="A317" s="9" t="inlineStr">
        <is>
          <t>93679-30</t>
        </is>
      </c>
      <c r="B317" s="10" t="inlineStr">
        <is>
          <t>Nestpick</t>
        </is>
      </c>
      <c r="C317" s="11" t="inlineStr">
        <is>
          <t/>
        </is>
      </c>
      <c r="D317" s="12" t="inlineStr">
        <is>
          <t/>
        </is>
      </c>
      <c r="E317" s="13" t="inlineStr">
        <is>
          <t>93679-30</t>
        </is>
      </c>
      <c r="F317" s="14" t="inlineStr">
        <is>
          <t>Provider of an online platform intended to offer midterm rentals of furnished apartments. The company's online platform connects tenants and landlords as well as offers information on renting and letting mid to long term accommodation and private rooms, enabling students to connect with landlords and real estate companies registered with the software to find a place to live.</t>
        </is>
      </c>
      <c r="G317" s="15" t="inlineStr">
        <is>
          <t>Consumer Products and Services (B2C)</t>
        </is>
      </c>
      <c r="H317" s="16" t="inlineStr">
        <is>
          <t>Services (Non-Financial)</t>
        </is>
      </c>
      <c r="I317" s="17" t="inlineStr">
        <is>
          <t>Real Estate Services (B2C)</t>
        </is>
      </c>
      <c r="J317" s="18" t="inlineStr">
        <is>
          <t>Real Estate Services (B2C)*; Application Software; Social/Platform Software</t>
        </is>
      </c>
      <c r="K317" s="19" t="inlineStr">
        <is>
          <t/>
        </is>
      </c>
      <c r="L317" s="20" t="inlineStr">
        <is>
          <t>Venture Capital-Backed</t>
        </is>
      </c>
      <c r="M317" s="21" t="n">
        <v>11.94</v>
      </c>
      <c r="N317" s="22" t="inlineStr">
        <is>
          <t>Startup</t>
        </is>
      </c>
      <c r="O317" s="23" t="inlineStr">
        <is>
          <t>Privately Held (backing)</t>
        </is>
      </c>
      <c r="P317" s="24" t="inlineStr">
        <is>
          <t>Venture Capital</t>
        </is>
      </c>
      <c r="Q317" s="25" t="inlineStr">
        <is>
          <t>www.nestpick.com</t>
        </is>
      </c>
      <c r="R317" s="26" t="n">
        <v>86.0</v>
      </c>
      <c r="S317" s="27" t="inlineStr">
        <is>
          <t/>
        </is>
      </c>
      <c r="T317" s="28" t="inlineStr">
        <is>
          <t/>
        </is>
      </c>
      <c r="U317" s="29" t="n">
        <v>2014.0</v>
      </c>
      <c r="V317" s="30" t="inlineStr">
        <is>
          <t/>
        </is>
      </c>
      <c r="W317" s="31" t="inlineStr">
        <is>
          <t/>
        </is>
      </c>
      <c r="X317" s="32" t="inlineStr">
        <is>
          <t/>
        </is>
      </c>
      <c r="Y317" s="33" t="inlineStr">
        <is>
          <t/>
        </is>
      </c>
      <c r="Z317" s="34" t="inlineStr">
        <is>
          <t/>
        </is>
      </c>
      <c r="AA317" s="35" t="inlineStr">
        <is>
          <t/>
        </is>
      </c>
      <c r="AB317" s="36" t="inlineStr">
        <is>
          <t/>
        </is>
      </c>
      <c r="AC317" s="37" t="inlineStr">
        <is>
          <t/>
        </is>
      </c>
      <c r="AD317" s="38" t="inlineStr">
        <is>
          <t/>
        </is>
      </c>
      <c r="AE317" s="39" t="inlineStr">
        <is>
          <t>122278-69P</t>
        </is>
      </c>
      <c r="AF317" s="40" t="inlineStr">
        <is>
          <t>Patricia Moubarak</t>
        </is>
      </c>
      <c r="AG317" s="41" t="inlineStr">
        <is>
          <t>Co-Founder, Managing Director &amp; Chief Operating Officer</t>
        </is>
      </c>
      <c r="AH317" s="42" t="inlineStr">
        <is>
          <t>patricia@nestpick.com</t>
        </is>
      </c>
      <c r="AI317" s="43" t="inlineStr">
        <is>
          <t>+49 (0)21 1959 8684 4</t>
        </is>
      </c>
      <c r="AJ317" s="44" t="inlineStr">
        <is>
          <t>Berlin, Germany</t>
        </is>
      </c>
      <c r="AK317" s="45" t="inlineStr">
        <is>
          <t>Charlottenstraße 4</t>
        </is>
      </c>
      <c r="AL317" s="46" t="inlineStr">
        <is>
          <t/>
        </is>
      </c>
      <c r="AM317" s="47" t="inlineStr">
        <is>
          <t>Berlin</t>
        </is>
      </c>
      <c r="AN317" s="48" t="inlineStr">
        <is>
          <t/>
        </is>
      </c>
      <c r="AO317" s="49" t="inlineStr">
        <is>
          <t>10969</t>
        </is>
      </c>
      <c r="AP317" s="50" t="inlineStr">
        <is>
          <t>Germany</t>
        </is>
      </c>
      <c r="AQ317" s="51" t="inlineStr">
        <is>
          <t>+49 (0)21 1959 8684 4</t>
        </is>
      </c>
      <c r="AR317" s="52" t="inlineStr">
        <is>
          <t/>
        </is>
      </c>
      <c r="AS317" s="53" t="inlineStr">
        <is>
          <t>info@nestpick.com</t>
        </is>
      </c>
      <c r="AT317" s="54" t="inlineStr">
        <is>
          <t>Europe</t>
        </is>
      </c>
      <c r="AU317" s="55" t="inlineStr">
        <is>
          <t>Western Europe</t>
        </is>
      </c>
      <c r="AV317" s="56" t="inlineStr">
        <is>
          <t>The company raised $13 million of Series A venture funding from Mangrove Capital Partners, Enern and Rocket Internet on December 8, 2015. Target Global and b-to-v Partners also participated in this round. Prior to that, the company Keadyn sold its stake in the company to Rocket Internet for an undisclosed amount on December 16, 2014.</t>
        </is>
      </c>
      <c r="AW317" s="57" t="inlineStr">
        <is>
          <t>btov Partners, Enern, Mangrove Capital Partners, Rocket Internet, Target Global</t>
        </is>
      </c>
      <c r="AX317" s="58" t="n">
        <v>5.0</v>
      </c>
      <c r="AY317" s="59" t="inlineStr">
        <is>
          <t/>
        </is>
      </c>
      <c r="AZ317" s="60" t="inlineStr">
        <is>
          <t>Keadyn</t>
        </is>
      </c>
      <c r="BA317" s="61" t="inlineStr">
        <is>
          <t/>
        </is>
      </c>
      <c r="BB317" s="62" t="inlineStr">
        <is>
          <t>btov Partners (www.btov.vc), Enern (www.enern.eu), Mangrove Capital Partners (www.mangrove.vc), Rocket Internet (www.rocket-internet.com), Target Global (www.targetglobal.vc)</t>
        </is>
      </c>
      <c r="BC317" s="63" t="inlineStr">
        <is>
          <t>Keadyn (www.keadyn.com)</t>
        </is>
      </c>
      <c r="BD317" s="64" t="inlineStr">
        <is>
          <t/>
        </is>
      </c>
      <c r="BE317" s="65" t="inlineStr">
        <is>
          <t/>
        </is>
      </c>
      <c r="BF317" s="66" t="inlineStr">
        <is>
          <t/>
        </is>
      </c>
      <c r="BG317" s="67" t="inlineStr">
        <is>
          <t/>
        </is>
      </c>
      <c r="BH317" s="68" t="inlineStr">
        <is>
          <t/>
        </is>
      </c>
      <c r="BI317" s="69" t="inlineStr">
        <is>
          <t/>
        </is>
      </c>
      <c r="BJ317" s="70" t="inlineStr">
        <is>
          <t/>
        </is>
      </c>
      <c r="BK317" s="71" t="inlineStr">
        <is>
          <t/>
        </is>
      </c>
      <c r="BL317" s="72" t="inlineStr">
        <is>
          <t>Early Stage VC</t>
        </is>
      </c>
      <c r="BM317" s="73" t="inlineStr">
        <is>
          <t/>
        </is>
      </c>
      <c r="BN317" s="74" t="inlineStr">
        <is>
          <t/>
        </is>
      </c>
      <c r="BO317" s="75" t="inlineStr">
        <is>
          <t>Venture Capital</t>
        </is>
      </c>
      <c r="BP317" s="76" t="inlineStr">
        <is>
          <t/>
        </is>
      </c>
      <c r="BQ317" s="77" t="inlineStr">
        <is>
          <t/>
        </is>
      </c>
      <c r="BR317" s="78" t="inlineStr">
        <is>
          <t/>
        </is>
      </c>
      <c r="BS317" s="79" t="inlineStr">
        <is>
          <t>Completed</t>
        </is>
      </c>
      <c r="BT317" s="80" t="n">
        <v>42346.0</v>
      </c>
      <c r="BU317" s="81" t="n">
        <v>11.94</v>
      </c>
      <c r="BV317" s="82" t="inlineStr">
        <is>
          <t>Actual</t>
        </is>
      </c>
      <c r="BW317" s="83" t="inlineStr">
        <is>
          <t/>
        </is>
      </c>
      <c r="BX317" s="84" t="inlineStr">
        <is>
          <t/>
        </is>
      </c>
      <c r="BY317" s="85" t="inlineStr">
        <is>
          <t>Early Stage VC</t>
        </is>
      </c>
      <c r="BZ317" s="86" t="inlineStr">
        <is>
          <t>Series A</t>
        </is>
      </c>
      <c r="CA317" s="87" t="inlineStr">
        <is>
          <t/>
        </is>
      </c>
      <c r="CB317" s="88" t="inlineStr">
        <is>
          <t>Venture Capital</t>
        </is>
      </c>
      <c r="CC317" s="89" t="inlineStr">
        <is>
          <t/>
        </is>
      </c>
      <c r="CD317" s="90" t="inlineStr">
        <is>
          <t/>
        </is>
      </c>
      <c r="CE317" s="91" t="inlineStr">
        <is>
          <t/>
        </is>
      </c>
      <c r="CF317" s="92" t="inlineStr">
        <is>
          <t>Completed</t>
        </is>
      </c>
      <c r="CG317" s="93" t="inlineStr">
        <is>
          <t>0,97%</t>
        </is>
      </c>
      <c r="CH317" s="94" t="inlineStr">
        <is>
          <t>88</t>
        </is>
      </c>
      <c r="CI317" s="95" t="inlineStr">
        <is>
          <t>-0,04%</t>
        </is>
      </c>
      <c r="CJ317" s="96" t="inlineStr">
        <is>
          <t>-4,11%</t>
        </is>
      </c>
      <c r="CK317" s="97" t="inlineStr">
        <is>
          <t>1,83%</t>
        </is>
      </c>
      <c r="CL317" s="98" t="inlineStr">
        <is>
          <t>90</t>
        </is>
      </c>
      <c r="CM317" s="99" t="inlineStr">
        <is>
          <t>0,10%</t>
        </is>
      </c>
      <c r="CN317" s="100" t="inlineStr">
        <is>
          <t>60</t>
        </is>
      </c>
      <c r="CO317" s="101" t="inlineStr">
        <is>
          <t>1,56%</t>
        </is>
      </c>
      <c r="CP317" s="102" t="inlineStr">
        <is>
          <t>87</t>
        </is>
      </c>
      <c r="CQ317" s="103" t="inlineStr">
        <is>
          <t>2,09%</t>
        </is>
      </c>
      <c r="CR317" s="104" t="inlineStr">
        <is>
          <t>91</t>
        </is>
      </c>
      <c r="CS317" s="105" t="inlineStr">
        <is>
          <t>-0,02%</t>
        </is>
      </c>
      <c r="CT317" s="106" t="inlineStr">
        <is>
          <t>12</t>
        </is>
      </c>
      <c r="CU317" s="107" t="inlineStr">
        <is>
          <t>0,23%</t>
        </is>
      </c>
      <c r="CV317" s="108" t="inlineStr">
        <is>
          <t>80</t>
        </is>
      </c>
      <c r="CW317" s="109" t="inlineStr">
        <is>
          <t>53,77x</t>
        </is>
      </c>
      <c r="CX317" s="110" t="inlineStr">
        <is>
          <t>96</t>
        </is>
      </c>
      <c r="CY317" s="111" t="inlineStr">
        <is>
          <t>0,45x</t>
        </is>
      </c>
      <c r="CZ317" s="112" t="inlineStr">
        <is>
          <t>0,85%</t>
        </is>
      </c>
      <c r="DA317" s="113" t="inlineStr">
        <is>
          <t>94,18x</t>
        </is>
      </c>
      <c r="DB317" s="114" t="inlineStr">
        <is>
          <t>98</t>
        </is>
      </c>
      <c r="DC317" s="115" t="inlineStr">
        <is>
          <t>13,36x</t>
        </is>
      </c>
      <c r="DD317" s="116" t="inlineStr">
        <is>
          <t>87</t>
        </is>
      </c>
      <c r="DE317" s="117" t="inlineStr">
        <is>
          <t>157,45x</t>
        </is>
      </c>
      <c r="DF317" s="118" t="inlineStr">
        <is>
          <t>97</t>
        </is>
      </c>
      <c r="DG317" s="119" t="inlineStr">
        <is>
          <t>30,92x</t>
        </is>
      </c>
      <c r="DH317" s="120" t="inlineStr">
        <is>
          <t>95</t>
        </is>
      </c>
      <c r="DI317" s="121" t="inlineStr">
        <is>
          <t>24,63x</t>
        </is>
      </c>
      <c r="DJ317" s="122" t="inlineStr">
        <is>
          <t>89</t>
        </is>
      </c>
      <c r="DK317" s="123" t="inlineStr">
        <is>
          <t>2,09x</t>
        </is>
      </c>
      <c r="DL317" s="124" t="inlineStr">
        <is>
          <t>64</t>
        </is>
      </c>
      <c r="DM317" s="125" t="inlineStr">
        <is>
          <t>95.916</t>
        </is>
      </c>
      <c r="DN317" s="126" t="inlineStr">
        <is>
          <t>2.745</t>
        </is>
      </c>
      <c r="DO317" s="127" t="inlineStr">
        <is>
          <t>2,95%</t>
        </is>
      </c>
      <c r="DP317" s="128" t="inlineStr">
        <is>
          <t>19.681</t>
        </is>
      </c>
      <c r="DQ317" s="129" t="inlineStr">
        <is>
          <t>-7</t>
        </is>
      </c>
      <c r="DR317" s="130" t="inlineStr">
        <is>
          <t>-0,04%</t>
        </is>
      </c>
      <c r="DS317" s="131" t="inlineStr">
        <is>
          <t>1.106</t>
        </is>
      </c>
      <c r="DT317" s="132" t="inlineStr">
        <is>
          <t>26</t>
        </is>
      </c>
      <c r="DU317" s="133" t="inlineStr">
        <is>
          <t>2,41%</t>
        </is>
      </c>
      <c r="DV317" s="134" t="inlineStr">
        <is>
          <t>712</t>
        </is>
      </c>
      <c r="DW317" s="135" t="inlineStr">
        <is>
          <t>3</t>
        </is>
      </c>
      <c r="DX317" s="136" t="inlineStr">
        <is>
          <t>0,42%</t>
        </is>
      </c>
      <c r="DY317" s="137" t="inlineStr">
        <is>
          <t>PitchBook Research</t>
        </is>
      </c>
      <c r="DZ317" s="785">
        <f>HYPERLINK("https://my.pitchbook.com?c=93679-30", "View company online")</f>
      </c>
    </row>
    <row r="318">
      <c r="A318" s="139" t="inlineStr">
        <is>
          <t>119570-77</t>
        </is>
      </c>
      <c r="B318" s="140" t="inlineStr">
        <is>
          <t>NexWafe</t>
        </is>
      </c>
      <c r="C318" s="141" t="inlineStr">
        <is>
          <t/>
        </is>
      </c>
      <c r="D318" s="142" t="inlineStr">
        <is>
          <t/>
        </is>
      </c>
      <c r="E318" s="143" t="inlineStr">
        <is>
          <t>119570-77</t>
        </is>
      </c>
      <c r="F318" s="144" t="inlineStr">
        <is>
          <t>Developer of monocrystalline wafers for solar cell producers. The company is a developer of monocrystalline wafers which are compatible with common cell and module fabrication processes used for the production of solar cells.</t>
        </is>
      </c>
      <c r="G318" s="145" t="inlineStr">
        <is>
          <t>Energy</t>
        </is>
      </c>
      <c r="H318" s="146" t="inlineStr">
        <is>
          <t>Energy Equipment</t>
        </is>
      </c>
      <c r="I318" s="147" t="inlineStr">
        <is>
          <t>Alternative Energy Equipment</t>
        </is>
      </c>
      <c r="J318" s="148" t="inlineStr">
        <is>
          <t>Alternative Energy Equipment*; Other Equipment</t>
        </is>
      </c>
      <c r="K318" s="149" t="inlineStr">
        <is>
          <t>CleanTech</t>
        </is>
      </c>
      <c r="L318" s="150" t="inlineStr">
        <is>
          <t>Venture Capital-Backed</t>
        </is>
      </c>
      <c r="M318" s="151" t="n">
        <v>6.0</v>
      </c>
      <c r="N318" s="152" t="inlineStr">
        <is>
          <t>Product Development</t>
        </is>
      </c>
      <c r="O318" s="153" t="inlineStr">
        <is>
          <t>Privately Held (backing)</t>
        </is>
      </c>
      <c r="P318" s="154" t="inlineStr">
        <is>
          <t>Venture Capital</t>
        </is>
      </c>
      <c r="Q318" s="155" t="inlineStr">
        <is>
          <t>www.nexwafe.com</t>
        </is>
      </c>
      <c r="R318" s="156" t="n">
        <v>9.0</v>
      </c>
      <c r="S318" s="157" t="inlineStr">
        <is>
          <t/>
        </is>
      </c>
      <c r="T318" s="158" t="inlineStr">
        <is>
          <t/>
        </is>
      </c>
      <c r="U318" s="159" t="n">
        <v>2015.0</v>
      </c>
      <c r="V318" s="160" t="inlineStr">
        <is>
          <t/>
        </is>
      </c>
      <c r="W318" s="161" t="inlineStr">
        <is>
          <t/>
        </is>
      </c>
      <c r="X318" s="162" t="inlineStr">
        <is>
          <t/>
        </is>
      </c>
      <c r="Y318" s="163" t="inlineStr">
        <is>
          <t/>
        </is>
      </c>
      <c r="Z318" s="164" t="inlineStr">
        <is>
          <t/>
        </is>
      </c>
      <c r="AA318" s="165" t="inlineStr">
        <is>
          <t/>
        </is>
      </c>
      <c r="AB318" s="166" t="inlineStr">
        <is>
          <t/>
        </is>
      </c>
      <c r="AC318" s="167" t="inlineStr">
        <is>
          <t/>
        </is>
      </c>
      <c r="AD318" s="168" t="inlineStr">
        <is>
          <t/>
        </is>
      </c>
      <c r="AE318" s="169" t="inlineStr">
        <is>
          <t>106188-13P</t>
        </is>
      </c>
      <c r="AF318" s="170" t="inlineStr">
        <is>
          <t>Stefan Reber</t>
        </is>
      </c>
      <c r="AG318" s="171" t="inlineStr">
        <is>
          <t>Co-Founder, Managing Director &amp; Chief Executive Officer</t>
        </is>
      </c>
      <c r="AH318" s="172" t="inlineStr">
        <is>
          <t>stefan.reber@nexwafe.com</t>
        </is>
      </c>
      <c r="AI318" s="173" t="inlineStr">
        <is>
          <t>+49 (0)76 1766 1186 00</t>
        </is>
      </c>
      <c r="AJ318" s="174" t="inlineStr">
        <is>
          <t>Freiburg, Germany</t>
        </is>
      </c>
      <c r="AK318" s="175" t="inlineStr">
        <is>
          <t>Hans-Bunte-Strasse 19</t>
        </is>
      </c>
      <c r="AL318" s="176" t="inlineStr">
        <is>
          <t/>
        </is>
      </c>
      <c r="AM318" s="177" t="inlineStr">
        <is>
          <t>Freiburg</t>
        </is>
      </c>
      <c r="AN318" s="178" t="inlineStr">
        <is>
          <t/>
        </is>
      </c>
      <c r="AO318" s="179" t="inlineStr">
        <is>
          <t>79108</t>
        </is>
      </c>
      <c r="AP318" s="180" t="inlineStr">
        <is>
          <t>Germany</t>
        </is>
      </c>
      <c r="AQ318" s="181" t="inlineStr">
        <is>
          <t>+49 (0)76 1766 1186 00</t>
        </is>
      </c>
      <c r="AR318" s="182" t="inlineStr">
        <is>
          <t>+49 (0)76 1766 1186 99</t>
        </is>
      </c>
      <c r="AS318" s="183" t="inlineStr">
        <is>
          <t>info@nexwafe.com</t>
        </is>
      </c>
      <c r="AT318" s="184" t="inlineStr">
        <is>
          <t>Europe</t>
        </is>
      </c>
      <c r="AU318" s="185" t="inlineStr">
        <is>
          <t>Western Europe</t>
        </is>
      </c>
      <c r="AV318" s="186" t="inlineStr">
        <is>
          <t>The company raised EUR 6 million of Series A venture funding from lead investor Lynwood (A&amp;NN Group) on March 7, 2016. The company will use the funding for the commercialization of the EpiWafer technology.</t>
        </is>
      </c>
      <c r="AW318" s="187" t="inlineStr">
        <is>
          <t>A&amp;NN Investments, Fraunhofer Venture</t>
        </is>
      </c>
      <c r="AX318" s="188" t="n">
        <v>2.0</v>
      </c>
      <c r="AY318" s="189" t="inlineStr">
        <is>
          <t/>
        </is>
      </c>
      <c r="AZ318" s="190" t="inlineStr">
        <is>
          <t/>
        </is>
      </c>
      <c r="BA318" s="191" t="inlineStr">
        <is>
          <t/>
        </is>
      </c>
      <c r="BB318" s="192" t="inlineStr">
        <is>
          <t>A&amp;NN Investments (www.ann.ru), Fraunhofer Venture (www.fraunhoferventure.de)</t>
        </is>
      </c>
      <c r="BC318" s="193" t="inlineStr">
        <is>
          <t/>
        </is>
      </c>
      <c r="BD318" s="194" t="inlineStr">
        <is>
          <t/>
        </is>
      </c>
      <c r="BE318" s="195" t="inlineStr">
        <is>
          <t/>
        </is>
      </c>
      <c r="BF318" s="196" t="inlineStr">
        <is>
          <t/>
        </is>
      </c>
      <c r="BG318" s="197" t="n">
        <v>42170.0</v>
      </c>
      <c r="BH318" s="198" t="inlineStr">
        <is>
          <t/>
        </is>
      </c>
      <c r="BI318" s="199" t="inlineStr">
        <is>
          <t/>
        </is>
      </c>
      <c r="BJ318" s="200" t="inlineStr">
        <is>
          <t/>
        </is>
      </c>
      <c r="BK318" s="201" t="inlineStr">
        <is>
          <t/>
        </is>
      </c>
      <c r="BL318" s="202" t="inlineStr">
        <is>
          <t>Seed Round</t>
        </is>
      </c>
      <c r="BM318" s="203" t="inlineStr">
        <is>
          <t>Seed</t>
        </is>
      </c>
      <c r="BN318" s="204" t="inlineStr">
        <is>
          <t/>
        </is>
      </c>
      <c r="BO318" s="205" t="inlineStr">
        <is>
          <t>Venture Capital</t>
        </is>
      </c>
      <c r="BP318" s="206" t="inlineStr">
        <is>
          <t/>
        </is>
      </c>
      <c r="BQ318" s="207" t="inlineStr">
        <is>
          <t/>
        </is>
      </c>
      <c r="BR318" s="208" t="inlineStr">
        <is>
          <t/>
        </is>
      </c>
      <c r="BS318" s="209" t="inlineStr">
        <is>
          <t>Completed</t>
        </is>
      </c>
      <c r="BT318" s="210" t="n">
        <v>42436.0</v>
      </c>
      <c r="BU318" s="211" t="n">
        <v>6.0</v>
      </c>
      <c r="BV318" s="212" t="inlineStr">
        <is>
          <t>Actual</t>
        </is>
      </c>
      <c r="BW318" s="213" t="inlineStr">
        <is>
          <t/>
        </is>
      </c>
      <c r="BX318" s="214" t="inlineStr">
        <is>
          <t/>
        </is>
      </c>
      <c r="BY318" s="215" t="inlineStr">
        <is>
          <t>Early Stage VC</t>
        </is>
      </c>
      <c r="BZ318" s="216" t="inlineStr">
        <is>
          <t>Series A</t>
        </is>
      </c>
      <c r="CA318" s="217" t="inlineStr">
        <is>
          <t/>
        </is>
      </c>
      <c r="CB318" s="218" t="inlineStr">
        <is>
          <t>Venture Capital</t>
        </is>
      </c>
      <c r="CC318" s="219" t="inlineStr">
        <is>
          <t/>
        </is>
      </c>
      <c r="CD318" s="220" t="inlineStr">
        <is>
          <t/>
        </is>
      </c>
      <c r="CE318" s="221" t="inlineStr">
        <is>
          <t/>
        </is>
      </c>
      <c r="CF318" s="222" t="inlineStr">
        <is>
          <t>Completed</t>
        </is>
      </c>
      <c r="CG318" s="223" t="inlineStr">
        <is>
          <t>0,00%</t>
        </is>
      </c>
      <c r="CH318" s="224" t="inlineStr">
        <is>
          <t>23</t>
        </is>
      </c>
      <c r="CI318" s="225" t="inlineStr">
        <is>
          <t>0,00%</t>
        </is>
      </c>
      <c r="CJ318" s="226" t="inlineStr">
        <is>
          <t>0,00%</t>
        </is>
      </c>
      <c r="CK318" s="227" t="inlineStr">
        <is>
          <t>0,00%</t>
        </is>
      </c>
      <c r="CL318" s="228" t="inlineStr">
        <is>
          <t>18</t>
        </is>
      </c>
      <c r="CM318" s="229" t="inlineStr">
        <is>
          <t/>
        </is>
      </c>
      <c r="CN318" s="230" t="inlineStr">
        <is>
          <t/>
        </is>
      </c>
      <c r="CO318" s="231" t="inlineStr">
        <is>
          <t>0,00%</t>
        </is>
      </c>
      <c r="CP318" s="232" t="inlineStr">
        <is>
          <t>26</t>
        </is>
      </c>
      <c r="CQ318" s="233" t="inlineStr">
        <is>
          <t>0,00%</t>
        </is>
      </c>
      <c r="CR318" s="234" t="inlineStr">
        <is>
          <t>13</t>
        </is>
      </c>
      <c r="CS318" s="235" t="inlineStr">
        <is>
          <t/>
        </is>
      </c>
      <c r="CT318" s="236" t="inlineStr">
        <is>
          <t/>
        </is>
      </c>
      <c r="CU318" s="237" t="inlineStr">
        <is>
          <t/>
        </is>
      </c>
      <c r="CV318" s="238" t="inlineStr">
        <is>
          <t/>
        </is>
      </c>
      <c r="CW318" s="239" t="inlineStr">
        <is>
          <t>0,98x</t>
        </is>
      </c>
      <c r="CX318" s="240" t="inlineStr">
        <is>
          <t>49</t>
        </is>
      </c>
      <c r="CY318" s="241" t="inlineStr">
        <is>
          <t>0,00x</t>
        </is>
      </c>
      <c r="CZ318" s="242" t="inlineStr">
        <is>
          <t>-0,50%</t>
        </is>
      </c>
      <c r="DA318" s="243" t="inlineStr">
        <is>
          <t>0,98x</t>
        </is>
      </c>
      <c r="DB318" s="244" t="inlineStr">
        <is>
          <t>51</t>
        </is>
      </c>
      <c r="DC318" s="245" t="inlineStr">
        <is>
          <t/>
        </is>
      </c>
      <c r="DD318" s="246" t="inlineStr">
        <is>
          <t/>
        </is>
      </c>
      <c r="DE318" s="247" t="inlineStr">
        <is>
          <t>0,31x</t>
        </is>
      </c>
      <c r="DF318" s="248" t="inlineStr">
        <is>
          <t>26</t>
        </is>
      </c>
      <c r="DG318" s="249" t="inlineStr">
        <is>
          <t>1,64x</t>
        </is>
      </c>
      <c r="DH318" s="250" t="inlineStr">
        <is>
          <t>60</t>
        </is>
      </c>
      <c r="DI318" s="251" t="inlineStr">
        <is>
          <t/>
        </is>
      </c>
      <c r="DJ318" s="252" t="inlineStr">
        <is>
          <t/>
        </is>
      </c>
      <c r="DK318" s="253" t="inlineStr">
        <is>
          <t/>
        </is>
      </c>
      <c r="DL318" s="254" t="inlineStr">
        <is>
          <t/>
        </is>
      </c>
      <c r="DM318" s="255" t="inlineStr">
        <is>
          <t>189</t>
        </is>
      </c>
      <c r="DN318" s="256" t="inlineStr">
        <is>
          <t>13</t>
        </is>
      </c>
      <c r="DO318" s="257" t="inlineStr">
        <is>
          <t>7,39%</t>
        </is>
      </c>
      <c r="DP318" s="258" t="inlineStr">
        <is>
          <t/>
        </is>
      </c>
      <c r="DQ318" s="259" t="inlineStr">
        <is>
          <t/>
        </is>
      </c>
      <c r="DR318" s="260" t="inlineStr">
        <is>
          <t/>
        </is>
      </c>
      <c r="DS318" s="261" t="inlineStr">
        <is>
          <t>59</t>
        </is>
      </c>
      <c r="DT318" s="262" t="inlineStr">
        <is>
          <t>-2</t>
        </is>
      </c>
      <c r="DU318" s="263" t="inlineStr">
        <is>
          <t>-3,28%</t>
        </is>
      </c>
      <c r="DV318" s="264" t="inlineStr">
        <is>
          <t/>
        </is>
      </c>
      <c r="DW318" s="265" t="inlineStr">
        <is>
          <t/>
        </is>
      </c>
      <c r="DX318" s="266" t="inlineStr">
        <is>
          <t/>
        </is>
      </c>
      <c r="DY318" s="267" t="inlineStr">
        <is>
          <t>PitchBook Research</t>
        </is>
      </c>
      <c r="DZ318" s="786">
        <f>HYPERLINK("https://my.pitchbook.com?c=119570-77", "View company online")</f>
      </c>
    </row>
    <row r="319">
      <c r="A319" s="9" t="inlineStr">
        <is>
          <t>152084-89</t>
        </is>
      </c>
      <c r="B319" s="10" t="inlineStr">
        <is>
          <t>Neyber</t>
        </is>
      </c>
      <c r="C319" s="11" t="inlineStr">
        <is>
          <t/>
        </is>
      </c>
      <c r="D319" s="12" t="inlineStr">
        <is>
          <t/>
        </is>
      </c>
      <c r="E319" s="13" t="inlineStr">
        <is>
          <t>152084-89</t>
        </is>
      </c>
      <c r="F319" s="14" t="inlineStr">
        <is>
          <t>Provider of an employee lending platform intended to provide fair rates and cut credit costs. The company's employee lending platform integrates with payroll systems and offers easy-to-implement workplace financial services that act as a key driver for employee engagement, productivity and to reduce stress-related absenteeism, providing employees with access to affordable, salary-deducted loans and financial education insights to achieve greater financial well-being.</t>
        </is>
      </c>
      <c r="G319" s="15" t="inlineStr">
        <is>
          <t>Information Technology</t>
        </is>
      </c>
      <c r="H319" s="16" t="inlineStr">
        <is>
          <t>Software</t>
        </is>
      </c>
      <c r="I319" s="17" t="inlineStr">
        <is>
          <t>Financial Software</t>
        </is>
      </c>
      <c r="J319" s="18" t="inlineStr">
        <is>
          <t>Financial Software*; Consumer Finance</t>
        </is>
      </c>
      <c r="K319" s="19" t="inlineStr">
        <is>
          <t>FinTech</t>
        </is>
      </c>
      <c r="L319" s="20" t="inlineStr">
        <is>
          <t>Venture Capital-Backed</t>
        </is>
      </c>
      <c r="M319" s="21" t="n">
        <v>43.12</v>
      </c>
      <c r="N319" s="22" t="inlineStr">
        <is>
          <t>Generating Revenue</t>
        </is>
      </c>
      <c r="O319" s="23" t="inlineStr">
        <is>
          <t>Privately Held (backing)</t>
        </is>
      </c>
      <c r="P319" s="24" t="inlineStr">
        <is>
          <t>Venture Capital</t>
        </is>
      </c>
      <c r="Q319" s="25" t="inlineStr">
        <is>
          <t>www.neyber.co.uk</t>
        </is>
      </c>
      <c r="R319" s="26" t="n">
        <v>60.0</v>
      </c>
      <c r="S319" s="27" t="inlineStr">
        <is>
          <t/>
        </is>
      </c>
      <c r="T319" s="28" t="inlineStr">
        <is>
          <t/>
        </is>
      </c>
      <c r="U319" s="29" t="n">
        <v>2014.0</v>
      </c>
      <c r="V319" s="30" t="inlineStr">
        <is>
          <t/>
        </is>
      </c>
      <c r="W319" s="31" t="inlineStr">
        <is>
          <t/>
        </is>
      </c>
      <c r="X319" s="32" t="inlineStr">
        <is>
          <t/>
        </is>
      </c>
      <c r="Y319" s="33" t="inlineStr">
        <is>
          <t/>
        </is>
      </c>
      <c r="Z319" s="34" t="inlineStr">
        <is>
          <t/>
        </is>
      </c>
      <c r="AA319" s="35" t="inlineStr">
        <is>
          <t/>
        </is>
      </c>
      <c r="AB319" s="36" t="inlineStr">
        <is>
          <t/>
        </is>
      </c>
      <c r="AC319" s="37" t="inlineStr">
        <is>
          <t/>
        </is>
      </c>
      <c r="AD319" s="38" t="inlineStr">
        <is>
          <t/>
        </is>
      </c>
      <c r="AE319" s="39" t="inlineStr">
        <is>
          <t>125616-07P</t>
        </is>
      </c>
      <c r="AF319" s="40" t="inlineStr">
        <is>
          <t>Ezechi Britton</t>
        </is>
      </c>
      <c r="AG319" s="41" t="inlineStr">
        <is>
          <t>Co-Founder and Chief Technology Officer</t>
        </is>
      </c>
      <c r="AH319" s="42" t="inlineStr">
        <is>
          <t>ezechi.britton@neyber.co.uk</t>
        </is>
      </c>
      <c r="AI319" s="43" t="inlineStr">
        <is>
          <t>+44 (0)80 0820 3103</t>
        </is>
      </c>
      <c r="AJ319" s="44" t="inlineStr">
        <is>
          <t>London, United Kingdom</t>
        </is>
      </c>
      <c r="AK319" s="45" t="inlineStr">
        <is>
          <t>First Floor (East), Tabernacle Court</t>
        </is>
      </c>
      <c r="AL319" s="46" t="inlineStr">
        <is>
          <t>16-28 Tabernacle Street</t>
        </is>
      </c>
      <c r="AM319" s="47" t="inlineStr">
        <is>
          <t>London</t>
        </is>
      </c>
      <c r="AN319" s="48" t="inlineStr">
        <is>
          <t>England</t>
        </is>
      </c>
      <c r="AO319" s="49" t="inlineStr">
        <is>
          <t>EC2A 4DD</t>
        </is>
      </c>
      <c r="AP319" s="50" t="inlineStr">
        <is>
          <t>United Kingdom</t>
        </is>
      </c>
      <c r="AQ319" s="51" t="inlineStr">
        <is>
          <t>+44 (0)80 0820 3103</t>
        </is>
      </c>
      <c r="AR319" s="52" t="inlineStr">
        <is>
          <t/>
        </is>
      </c>
      <c r="AS319" s="53" t="inlineStr">
        <is>
          <t>contactus@neyber.co.uk</t>
        </is>
      </c>
      <c r="AT319" s="54" t="inlineStr">
        <is>
          <t>Europe</t>
        </is>
      </c>
      <c r="AU319" s="55" t="inlineStr">
        <is>
          <t>Western Europe</t>
        </is>
      </c>
      <c r="AV319" s="56" t="inlineStr">
        <is>
          <t>The company raised GBP 21 million of Series C venture funding in a deal lead by Wadhawan Holdings on August 8, 2017. Other undisclosed investors also participated in this round. The investment will help the company to accelerate their growth by adding capacity that will support their significant new contract wins, the development of their financial wellbeing offering and communication with their expanding customer base. Prior to that, the company raised GBP 7.5 million of Series B venture funding from Henry Ritchotte, Gaël de Boissard and Police Mutual Assurance Society on April 12, 2017. Other undisclosed investors also participated in this round.</t>
        </is>
      </c>
      <c r="AW319" s="57" t="inlineStr">
        <is>
          <t>Gaël de Boissard, Henry Ritchotte, John Spearman, Police Mutual Assurance Society, Wadhawan Holdings</t>
        </is>
      </c>
      <c r="AX319" s="58" t="n">
        <v>5.0</v>
      </c>
      <c r="AY319" s="59" t="inlineStr">
        <is>
          <t/>
        </is>
      </c>
      <c r="AZ319" s="60" t="inlineStr">
        <is>
          <t/>
        </is>
      </c>
      <c r="BA319" s="61" t="inlineStr">
        <is>
          <t/>
        </is>
      </c>
      <c r="BB319" s="62" t="inlineStr">
        <is>
          <t>Police Mutual Assurance Society (www.policemutual.co.uk), Wadhawan Holdings (www.wgcworld.com)</t>
        </is>
      </c>
      <c r="BC319" s="63" t="inlineStr">
        <is>
          <t/>
        </is>
      </c>
      <c r="BD319" s="64" t="inlineStr">
        <is>
          <t/>
        </is>
      </c>
      <c r="BE319" s="65" t="inlineStr">
        <is>
          <t/>
        </is>
      </c>
      <c r="BF319" s="66" t="inlineStr">
        <is>
          <t/>
        </is>
      </c>
      <c r="BG319" s="67" t="n">
        <v>42005.0</v>
      </c>
      <c r="BH319" s="68" t="n">
        <v>3.25</v>
      </c>
      <c r="BI319" s="69" t="inlineStr">
        <is>
          <t>Actual</t>
        </is>
      </c>
      <c r="BJ319" s="70" t="inlineStr">
        <is>
          <t/>
        </is>
      </c>
      <c r="BK319" s="71" t="inlineStr">
        <is>
          <t/>
        </is>
      </c>
      <c r="BL319" s="72" t="inlineStr">
        <is>
          <t>Seed Round</t>
        </is>
      </c>
      <c r="BM319" s="73" t="inlineStr">
        <is>
          <t>Seed</t>
        </is>
      </c>
      <c r="BN319" s="74" t="inlineStr">
        <is>
          <t/>
        </is>
      </c>
      <c r="BO319" s="75" t="inlineStr">
        <is>
          <t>Individual</t>
        </is>
      </c>
      <c r="BP319" s="76" t="inlineStr">
        <is>
          <t/>
        </is>
      </c>
      <c r="BQ319" s="77" t="inlineStr">
        <is>
          <t/>
        </is>
      </c>
      <c r="BR319" s="78" t="inlineStr">
        <is>
          <t/>
        </is>
      </c>
      <c r="BS319" s="79" t="inlineStr">
        <is>
          <t>Completed</t>
        </is>
      </c>
      <c r="BT319" s="80" t="n">
        <v>42951.0</v>
      </c>
      <c r="BU319" s="81" t="n">
        <v>23.05</v>
      </c>
      <c r="BV319" s="82" t="inlineStr">
        <is>
          <t>Actual</t>
        </is>
      </c>
      <c r="BW319" s="83" t="inlineStr">
        <is>
          <t/>
        </is>
      </c>
      <c r="BX319" s="84" t="inlineStr">
        <is>
          <t/>
        </is>
      </c>
      <c r="BY319" s="85" t="inlineStr">
        <is>
          <t>Early Stage VC</t>
        </is>
      </c>
      <c r="BZ319" s="86" t="inlineStr">
        <is>
          <t>Series C</t>
        </is>
      </c>
      <c r="CA319" s="87" t="inlineStr">
        <is>
          <t/>
        </is>
      </c>
      <c r="CB319" s="88" t="inlineStr">
        <is>
          <t>Venture Capital</t>
        </is>
      </c>
      <c r="CC319" s="89" t="inlineStr">
        <is>
          <t/>
        </is>
      </c>
      <c r="CD319" s="90" t="inlineStr">
        <is>
          <t/>
        </is>
      </c>
      <c r="CE319" s="91" t="inlineStr">
        <is>
          <t/>
        </is>
      </c>
      <c r="CF319" s="92" t="inlineStr">
        <is>
          <t>Completed</t>
        </is>
      </c>
      <c r="CG319" s="93" t="inlineStr">
        <is>
          <t>-1,23%</t>
        </is>
      </c>
      <c r="CH319" s="94" t="inlineStr">
        <is>
          <t>4</t>
        </is>
      </c>
      <c r="CI319" s="95" t="inlineStr">
        <is>
          <t>0,03%</t>
        </is>
      </c>
      <c r="CJ319" s="96" t="inlineStr">
        <is>
          <t>2,33%</t>
        </is>
      </c>
      <c r="CK319" s="97" t="inlineStr">
        <is>
          <t>-3,47%</t>
        </is>
      </c>
      <c r="CL319" s="98" t="inlineStr">
        <is>
          <t>3</t>
        </is>
      </c>
      <c r="CM319" s="99" t="inlineStr">
        <is>
          <t>1,00%</t>
        </is>
      </c>
      <c r="CN319" s="100" t="inlineStr">
        <is>
          <t>96</t>
        </is>
      </c>
      <c r="CO319" s="101" t="inlineStr">
        <is>
          <t>-7,91%</t>
        </is>
      </c>
      <c r="CP319" s="102" t="inlineStr">
        <is>
          <t>3</t>
        </is>
      </c>
      <c r="CQ319" s="103" t="inlineStr">
        <is>
          <t>0,97%</t>
        </is>
      </c>
      <c r="CR319" s="104" t="inlineStr">
        <is>
          <t>88</t>
        </is>
      </c>
      <c r="CS319" s="105" t="inlineStr">
        <is>
          <t>1,11%</t>
        </is>
      </c>
      <c r="CT319" s="106" t="inlineStr">
        <is>
          <t>95</t>
        </is>
      </c>
      <c r="CU319" s="107" t="inlineStr">
        <is>
          <t>0,90%</t>
        </is>
      </c>
      <c r="CV319" s="108" t="inlineStr">
        <is>
          <t>96</t>
        </is>
      </c>
      <c r="CW319" s="109" t="inlineStr">
        <is>
          <t>2,26x</t>
        </is>
      </c>
      <c r="CX319" s="110" t="inlineStr">
        <is>
          <t>66</t>
        </is>
      </c>
      <c r="CY319" s="111" t="inlineStr">
        <is>
          <t>0,05x</t>
        </is>
      </c>
      <c r="CZ319" s="112" t="inlineStr">
        <is>
          <t>2,06%</t>
        </is>
      </c>
      <c r="DA319" s="113" t="inlineStr">
        <is>
          <t>2,82x</t>
        </is>
      </c>
      <c r="DB319" s="114" t="inlineStr">
        <is>
          <t>72</t>
        </is>
      </c>
      <c r="DC319" s="115" t="inlineStr">
        <is>
          <t>1,71x</t>
        </is>
      </c>
      <c r="DD319" s="116" t="inlineStr">
        <is>
          <t>58</t>
        </is>
      </c>
      <c r="DE319" s="117" t="inlineStr">
        <is>
          <t>2,63x</t>
        </is>
      </c>
      <c r="DF319" s="118" t="inlineStr">
        <is>
          <t>68</t>
        </is>
      </c>
      <c r="DG319" s="119" t="inlineStr">
        <is>
          <t>3,00x</t>
        </is>
      </c>
      <c r="DH319" s="120" t="inlineStr">
        <is>
          <t>71</t>
        </is>
      </c>
      <c r="DI319" s="121" t="inlineStr">
        <is>
          <t>0,39x</t>
        </is>
      </c>
      <c r="DJ319" s="122" t="inlineStr">
        <is>
          <t>34</t>
        </is>
      </c>
      <c r="DK319" s="123" t="inlineStr">
        <is>
          <t>3,03x</t>
        </is>
      </c>
      <c r="DL319" s="124" t="inlineStr">
        <is>
          <t>70</t>
        </is>
      </c>
      <c r="DM319" s="125" t="inlineStr">
        <is>
          <t>1.669</t>
        </is>
      </c>
      <c r="DN319" s="126" t="inlineStr">
        <is>
          <t>-153</t>
        </is>
      </c>
      <c r="DO319" s="127" t="inlineStr">
        <is>
          <t>-8,40%</t>
        </is>
      </c>
      <c r="DP319" s="128" t="inlineStr">
        <is>
          <t>308</t>
        </is>
      </c>
      <c r="DQ319" s="129" t="inlineStr">
        <is>
          <t>6</t>
        </is>
      </c>
      <c r="DR319" s="130" t="inlineStr">
        <is>
          <t>1,99%</t>
        </is>
      </c>
      <c r="DS319" s="131" t="inlineStr">
        <is>
          <t>108</t>
        </is>
      </c>
      <c r="DT319" s="132" t="inlineStr">
        <is>
          <t>0</t>
        </is>
      </c>
      <c r="DU319" s="133" t="inlineStr">
        <is>
          <t>0,00%</t>
        </is>
      </c>
      <c r="DV319" s="134" t="inlineStr">
        <is>
          <t>1.034</t>
        </is>
      </c>
      <c r="DW319" s="135" t="inlineStr">
        <is>
          <t>21</t>
        </is>
      </c>
      <c r="DX319" s="136" t="inlineStr">
        <is>
          <t>2,07%</t>
        </is>
      </c>
      <c r="DY319" s="137" t="inlineStr">
        <is>
          <t>PitchBook Research</t>
        </is>
      </c>
      <c r="DZ319" s="785">
        <f>HYPERLINK("https://my.pitchbook.com?c=152084-89", "View company online")</f>
      </c>
    </row>
    <row r="320">
      <c r="A320" s="139" t="inlineStr">
        <is>
          <t>159158-89</t>
        </is>
      </c>
      <c r="B320" s="140" t="inlineStr">
        <is>
          <t>Nouscom</t>
        </is>
      </c>
      <c r="C320" s="141" t="inlineStr">
        <is>
          <t/>
        </is>
      </c>
      <c r="D320" s="142" t="inlineStr">
        <is>
          <t/>
        </is>
      </c>
      <c r="E320" s="143" t="inlineStr">
        <is>
          <t>159158-89</t>
        </is>
      </c>
      <c r="F320" s="144" t="inlineStr">
        <is>
          <t>Developer of technology-based platform for tumor-targeted oncolytic viruses and patient-specific cancer vaccines. The company has developed a next generation of oncolytic viruses that infect and kill tumor cells to stimulate an immune response against cancer cells throughout the body.</t>
        </is>
      </c>
      <c r="G320" s="145" t="inlineStr">
        <is>
          <t>Healthcare</t>
        </is>
      </c>
      <c r="H320" s="146" t="inlineStr">
        <is>
          <t>Pharmaceuticals and Biotechnology</t>
        </is>
      </c>
      <c r="I320" s="147" t="inlineStr">
        <is>
          <t>Biotechnology</t>
        </is>
      </c>
      <c r="J320" s="148" t="inlineStr">
        <is>
          <t>Biotechnology*; Other Healthcare Technology Systems; Other Pharmaceuticals and Biotechnology</t>
        </is>
      </c>
      <c r="K320" s="149" t="inlineStr">
        <is>
          <t>Life Sciences, Oncology</t>
        </is>
      </c>
      <c r="L320" s="150" t="inlineStr">
        <is>
          <t>Venture Capital-Backed</t>
        </is>
      </c>
      <c r="M320" s="151" t="n">
        <v>12.0</v>
      </c>
      <c r="N320" s="152" t="inlineStr">
        <is>
          <t>Startup</t>
        </is>
      </c>
      <c r="O320" s="153" t="inlineStr">
        <is>
          <t>Privately Held (backing)</t>
        </is>
      </c>
      <c r="P320" s="154" t="inlineStr">
        <is>
          <t>Venture Capital</t>
        </is>
      </c>
      <c r="Q320" s="155" t="inlineStr">
        <is>
          <t>www.nouscom.com</t>
        </is>
      </c>
      <c r="R320" s="156" t="n">
        <v>7.0</v>
      </c>
      <c r="S320" s="157" t="inlineStr">
        <is>
          <t/>
        </is>
      </c>
      <c r="T320" s="158" t="inlineStr">
        <is>
          <t/>
        </is>
      </c>
      <c r="U320" s="159" t="n">
        <v>2015.0</v>
      </c>
      <c r="V320" s="160" t="inlineStr">
        <is>
          <t/>
        </is>
      </c>
      <c r="W320" s="161" t="inlineStr">
        <is>
          <t/>
        </is>
      </c>
      <c r="X320" s="162" t="inlineStr">
        <is>
          <t/>
        </is>
      </c>
      <c r="Y320" s="163" t="inlineStr">
        <is>
          <t/>
        </is>
      </c>
      <c r="Z320" s="164" t="inlineStr">
        <is>
          <t/>
        </is>
      </c>
      <c r="AA320" s="165" t="inlineStr">
        <is>
          <t/>
        </is>
      </c>
      <c r="AB320" s="166" t="inlineStr">
        <is>
          <t/>
        </is>
      </c>
      <c r="AC320" s="167" t="inlineStr">
        <is>
          <t/>
        </is>
      </c>
      <c r="AD320" s="168" t="inlineStr">
        <is>
          <t/>
        </is>
      </c>
      <c r="AE320" s="169" t="inlineStr">
        <is>
          <t>73813-69P</t>
        </is>
      </c>
      <c r="AF320" s="170" t="inlineStr">
        <is>
          <t>Elisa Scarselli</t>
        </is>
      </c>
      <c r="AG320" s="171" t="inlineStr">
        <is>
          <t>Co-Founder &amp; Chief Scientific Officer</t>
        </is>
      </c>
      <c r="AH320" s="172" t="inlineStr">
        <is>
          <t>scarselli@nouscom.com</t>
        </is>
      </c>
      <c r="AI320" s="173" t="inlineStr">
        <is>
          <t>+41 (0)61 201 1831</t>
        </is>
      </c>
      <c r="AJ320" s="174" t="inlineStr">
        <is>
          <t>Basel, Switzerland</t>
        </is>
      </c>
      <c r="AK320" s="175" t="inlineStr">
        <is>
          <t>Bäumleingasse 18</t>
        </is>
      </c>
      <c r="AL320" s="176" t="inlineStr">
        <is>
          <t/>
        </is>
      </c>
      <c r="AM320" s="177" t="inlineStr">
        <is>
          <t>Basel</t>
        </is>
      </c>
      <c r="AN320" s="178" t="inlineStr">
        <is>
          <t/>
        </is>
      </c>
      <c r="AO320" s="179" t="inlineStr">
        <is>
          <t>4051</t>
        </is>
      </c>
      <c r="AP320" s="180" t="inlineStr">
        <is>
          <t>Switzerland</t>
        </is>
      </c>
      <c r="AQ320" s="181" t="inlineStr">
        <is>
          <t>+41 (0)61 201 1831</t>
        </is>
      </c>
      <c r="AR320" s="182" t="inlineStr">
        <is>
          <t/>
        </is>
      </c>
      <c r="AS320" s="183" t="inlineStr">
        <is>
          <t>info@nouscom.com</t>
        </is>
      </c>
      <c r="AT320" s="184" t="inlineStr">
        <is>
          <t>Europe</t>
        </is>
      </c>
      <c r="AU320" s="185" t="inlineStr">
        <is>
          <t>Western Europe</t>
        </is>
      </c>
      <c r="AV320" s="186" t="inlineStr">
        <is>
          <t>The company raised EUR 12 million of Series A venture funding led by Life Sciences Partners and Versant Ventures on May 17, 2016. The funds will be used to support discovery and development of personalized cancer vaccines and tumor selective oncolytic viruses.</t>
        </is>
      </c>
      <c r="AW320" s="187" t="inlineStr">
        <is>
          <t>Life Sciences Partners, Versant Venture Management</t>
        </is>
      </c>
      <c r="AX320" s="188" t="n">
        <v>2.0</v>
      </c>
      <c r="AY320" s="189" t="inlineStr">
        <is>
          <t/>
        </is>
      </c>
      <c r="AZ320" s="190" t="inlineStr">
        <is>
          <t/>
        </is>
      </c>
      <c r="BA320" s="191" t="inlineStr">
        <is>
          <t/>
        </is>
      </c>
      <c r="BB320" s="192" t="inlineStr">
        <is>
          <t>Life Sciences Partners (www.lspvc.com), Versant Venture Management (www.versantventures.com)</t>
        </is>
      </c>
      <c r="BC320" s="193" t="inlineStr">
        <is>
          <t/>
        </is>
      </c>
      <c r="BD320" s="194" t="inlineStr">
        <is>
          <t/>
        </is>
      </c>
      <c r="BE320" s="195" t="inlineStr">
        <is>
          <t/>
        </is>
      </c>
      <c r="BF320" s="196" t="inlineStr">
        <is>
          <t>Vischer (Legal Advisor)</t>
        </is>
      </c>
      <c r="BG320" s="197" t="n">
        <v>42507.0</v>
      </c>
      <c r="BH320" s="198" t="n">
        <v>12.0</v>
      </c>
      <c r="BI320" s="199" t="inlineStr">
        <is>
          <t>Actual</t>
        </is>
      </c>
      <c r="BJ320" s="200" t="inlineStr">
        <is>
          <t/>
        </is>
      </c>
      <c r="BK320" s="201" t="inlineStr">
        <is>
          <t/>
        </is>
      </c>
      <c r="BL320" s="202" t="inlineStr">
        <is>
          <t>Early Stage VC</t>
        </is>
      </c>
      <c r="BM320" s="203" t="inlineStr">
        <is>
          <t>Series A</t>
        </is>
      </c>
      <c r="BN320" s="204" t="inlineStr">
        <is>
          <t/>
        </is>
      </c>
      <c r="BO320" s="205" t="inlineStr">
        <is>
          <t>Venture Capital</t>
        </is>
      </c>
      <c r="BP320" s="206" t="inlineStr">
        <is>
          <t/>
        </is>
      </c>
      <c r="BQ320" s="207" t="inlineStr">
        <is>
          <t/>
        </is>
      </c>
      <c r="BR320" s="208" t="inlineStr">
        <is>
          <t/>
        </is>
      </c>
      <c r="BS320" s="209" t="inlineStr">
        <is>
          <t>Completed</t>
        </is>
      </c>
      <c r="BT320" s="210" t="n">
        <v>42507.0</v>
      </c>
      <c r="BU320" s="211" t="n">
        <v>12.0</v>
      </c>
      <c r="BV320" s="212" t="inlineStr">
        <is>
          <t>Actual</t>
        </is>
      </c>
      <c r="BW320" s="213" t="inlineStr">
        <is>
          <t/>
        </is>
      </c>
      <c r="BX320" s="214" t="inlineStr">
        <is>
          <t/>
        </is>
      </c>
      <c r="BY320" s="215" t="inlineStr">
        <is>
          <t>Early Stage VC</t>
        </is>
      </c>
      <c r="BZ320" s="216" t="inlineStr">
        <is>
          <t>Series A</t>
        </is>
      </c>
      <c r="CA320" s="217" t="inlineStr">
        <is>
          <t/>
        </is>
      </c>
      <c r="CB320" s="218" t="inlineStr">
        <is>
          <t>Venture Capital</t>
        </is>
      </c>
      <c r="CC320" s="219" t="inlineStr">
        <is>
          <t/>
        </is>
      </c>
      <c r="CD320" s="220" t="inlineStr">
        <is>
          <t/>
        </is>
      </c>
      <c r="CE320" s="221" t="inlineStr">
        <is>
          <t/>
        </is>
      </c>
      <c r="CF320" s="222" t="inlineStr">
        <is>
          <t>Completed</t>
        </is>
      </c>
      <c r="CG320" s="223" t="inlineStr">
        <is>
          <t>0,00%</t>
        </is>
      </c>
      <c r="CH320" s="224" t="inlineStr">
        <is>
          <t>23</t>
        </is>
      </c>
      <c r="CI320" s="225" t="inlineStr">
        <is>
          <t>0,00%</t>
        </is>
      </c>
      <c r="CJ320" s="226" t="inlineStr">
        <is>
          <t>0,00%</t>
        </is>
      </c>
      <c r="CK320" s="227" t="inlineStr">
        <is>
          <t>0,00%</t>
        </is>
      </c>
      <c r="CL320" s="228" t="inlineStr">
        <is>
          <t>18</t>
        </is>
      </c>
      <c r="CM320" s="229" t="inlineStr">
        <is>
          <t/>
        </is>
      </c>
      <c r="CN320" s="230" t="inlineStr">
        <is>
          <t/>
        </is>
      </c>
      <c r="CO320" s="231" t="inlineStr">
        <is>
          <t>0,00%</t>
        </is>
      </c>
      <c r="CP320" s="232" t="inlineStr">
        <is>
          <t>26</t>
        </is>
      </c>
      <c r="CQ320" s="233" t="inlineStr">
        <is>
          <t>0,00%</t>
        </is>
      </c>
      <c r="CR320" s="234" t="inlineStr">
        <is>
          <t>13</t>
        </is>
      </c>
      <c r="CS320" s="235" t="inlineStr">
        <is>
          <t/>
        </is>
      </c>
      <c r="CT320" s="236" t="inlineStr">
        <is>
          <t/>
        </is>
      </c>
      <c r="CU320" s="237" t="inlineStr">
        <is>
          <t/>
        </is>
      </c>
      <c r="CV320" s="238" t="inlineStr">
        <is>
          <t/>
        </is>
      </c>
      <c r="CW320" s="239" t="inlineStr">
        <is>
          <t>0,93x</t>
        </is>
      </c>
      <c r="CX320" s="240" t="inlineStr">
        <is>
          <t>47</t>
        </is>
      </c>
      <c r="CY320" s="241" t="inlineStr">
        <is>
          <t>0,01x</t>
        </is>
      </c>
      <c r="CZ320" s="242" t="inlineStr">
        <is>
          <t>1,10%</t>
        </is>
      </c>
      <c r="DA320" s="243" t="inlineStr">
        <is>
          <t>0,93x</t>
        </is>
      </c>
      <c r="DB320" s="244" t="inlineStr">
        <is>
          <t>50</t>
        </is>
      </c>
      <c r="DC320" s="245" t="inlineStr">
        <is>
          <t/>
        </is>
      </c>
      <c r="DD320" s="246" t="inlineStr">
        <is>
          <t/>
        </is>
      </c>
      <c r="DE320" s="247" t="inlineStr">
        <is>
          <t>1,12x</t>
        </is>
      </c>
      <c r="DF320" s="248" t="inlineStr">
        <is>
          <t>53</t>
        </is>
      </c>
      <c r="DG320" s="249" t="inlineStr">
        <is>
          <t>0,75x</t>
        </is>
      </c>
      <c r="DH320" s="250" t="inlineStr">
        <is>
          <t>44</t>
        </is>
      </c>
      <c r="DI320" s="251" t="inlineStr">
        <is>
          <t/>
        </is>
      </c>
      <c r="DJ320" s="252" t="inlineStr">
        <is>
          <t/>
        </is>
      </c>
      <c r="DK320" s="253" t="inlineStr">
        <is>
          <t/>
        </is>
      </c>
      <c r="DL320" s="254" t="inlineStr">
        <is>
          <t/>
        </is>
      </c>
      <c r="DM320" s="255" t="inlineStr">
        <is>
          <t>645</t>
        </is>
      </c>
      <c r="DN320" s="256" t="inlineStr">
        <is>
          <t>125</t>
        </is>
      </c>
      <c r="DO320" s="257" t="inlineStr">
        <is>
          <t>24,04%</t>
        </is>
      </c>
      <c r="DP320" s="258" t="inlineStr">
        <is>
          <t/>
        </is>
      </c>
      <c r="DQ320" s="259" t="inlineStr">
        <is>
          <t/>
        </is>
      </c>
      <c r="DR320" s="260" t="inlineStr">
        <is>
          <t/>
        </is>
      </c>
      <c r="DS320" s="261" t="inlineStr">
        <is>
          <t>27</t>
        </is>
      </c>
      <c r="DT320" s="262" t="inlineStr">
        <is>
          <t>0</t>
        </is>
      </c>
      <c r="DU320" s="263" t="inlineStr">
        <is>
          <t>0,00%</t>
        </is>
      </c>
      <c r="DV320" s="264" t="inlineStr">
        <is>
          <t/>
        </is>
      </c>
      <c r="DW320" s="265" t="inlineStr">
        <is>
          <t/>
        </is>
      </c>
      <c r="DX320" s="266" t="inlineStr">
        <is>
          <t/>
        </is>
      </c>
      <c r="DY320" s="267" t="inlineStr">
        <is>
          <t>PitchBook Research</t>
        </is>
      </c>
      <c r="DZ320" s="786">
        <f>HYPERLINK("https://my.pitchbook.com?c=159158-89", "View company online")</f>
      </c>
    </row>
    <row r="321">
      <c r="A321" s="9" t="inlineStr">
        <is>
          <t>100188-10</t>
        </is>
      </c>
      <c r="B321" s="10" t="inlineStr">
        <is>
          <t>Nova Lumos Netherlands Holding</t>
        </is>
      </c>
      <c r="C321" s="11" t="inlineStr">
        <is>
          <t/>
        </is>
      </c>
      <c r="D321" s="12" t="inlineStr">
        <is>
          <t>Lumos</t>
        </is>
      </c>
      <c r="E321" s="13" t="inlineStr">
        <is>
          <t>100188-10</t>
        </is>
      </c>
      <c r="F321" s="14" t="inlineStr">
        <is>
          <t>Provider of electricity distribution services. The company enables people to replace kerosene generators and lanterns with modern solar electricity that can power lights, cellphones, fans, computers, TVs and other small electronic devices.</t>
        </is>
      </c>
      <c r="G321" s="15" t="inlineStr">
        <is>
          <t>Energy</t>
        </is>
      </c>
      <c r="H321" s="16" t="inlineStr">
        <is>
          <t>Utilities</t>
        </is>
      </c>
      <c r="I321" s="17" t="inlineStr">
        <is>
          <t>Electric Utilities</t>
        </is>
      </c>
      <c r="J321" s="18" t="inlineStr">
        <is>
          <t>Electric Utilities*</t>
        </is>
      </c>
      <c r="K321" s="19" t="inlineStr">
        <is>
          <t>CleanTech</t>
        </is>
      </c>
      <c r="L321" s="20" t="inlineStr">
        <is>
          <t>Venture Capital-Backed</t>
        </is>
      </c>
      <c r="M321" s="21" t="n">
        <v>85.37</v>
      </c>
      <c r="N321" s="22" t="inlineStr">
        <is>
          <t>Startup</t>
        </is>
      </c>
      <c r="O321" s="23" t="inlineStr">
        <is>
          <t>Privately Held (backing)</t>
        </is>
      </c>
      <c r="P321" s="24" t="inlineStr">
        <is>
          <t>Venture Capital</t>
        </is>
      </c>
      <c r="Q321" s="25" t="inlineStr">
        <is>
          <t>www.nova-lumos.com</t>
        </is>
      </c>
      <c r="R321" s="26" t="n">
        <v>51.0</v>
      </c>
      <c r="S321" s="27" t="inlineStr">
        <is>
          <t/>
        </is>
      </c>
      <c r="T321" s="28" t="inlineStr">
        <is>
          <t/>
        </is>
      </c>
      <c r="U321" s="29" t="n">
        <v>2012.0</v>
      </c>
      <c r="V321" s="30" t="inlineStr">
        <is>
          <t/>
        </is>
      </c>
      <c r="W321" s="31" t="inlineStr">
        <is>
          <t/>
        </is>
      </c>
      <c r="X321" s="32" t="inlineStr">
        <is>
          <t/>
        </is>
      </c>
      <c r="Y321" s="33" t="inlineStr">
        <is>
          <t/>
        </is>
      </c>
      <c r="Z321" s="34" t="inlineStr">
        <is>
          <t/>
        </is>
      </c>
      <c r="AA321" s="35" t="inlineStr">
        <is>
          <t/>
        </is>
      </c>
      <c r="AB321" s="36" t="inlineStr">
        <is>
          <t/>
        </is>
      </c>
      <c r="AC321" s="37" t="inlineStr">
        <is>
          <t/>
        </is>
      </c>
      <c r="AD321" s="38" t="inlineStr">
        <is>
          <t/>
        </is>
      </c>
      <c r="AE321" s="39" t="inlineStr">
        <is>
          <t>108913-96P</t>
        </is>
      </c>
      <c r="AF321" s="40" t="inlineStr">
        <is>
          <t>Eddie Sadan</t>
        </is>
      </c>
      <c r="AG321" s="41" t="inlineStr">
        <is>
          <t>Chief Financial Officer</t>
        </is>
      </c>
      <c r="AH321" s="42" t="inlineStr">
        <is>
          <t>eddie.s@nova-lumos.com</t>
        </is>
      </c>
      <c r="AI321" s="43" t="inlineStr">
        <is>
          <t>+31 (0)20 808 3185</t>
        </is>
      </c>
      <c r="AJ321" s="44" t="inlineStr">
        <is>
          <t>Amsterdam, Netherlands</t>
        </is>
      </c>
      <c r="AK321" s="45" t="inlineStr">
        <is>
          <t>Keizersgracht 241</t>
        </is>
      </c>
      <c r="AL321" s="46" t="inlineStr">
        <is>
          <t/>
        </is>
      </c>
      <c r="AM321" s="47" t="inlineStr">
        <is>
          <t>Amsterdam</t>
        </is>
      </c>
      <c r="AN321" s="48" t="inlineStr">
        <is>
          <t/>
        </is>
      </c>
      <c r="AO321" s="49" t="inlineStr">
        <is>
          <t>1016 EA</t>
        </is>
      </c>
      <c r="AP321" s="50" t="inlineStr">
        <is>
          <t>Netherlands</t>
        </is>
      </c>
      <c r="AQ321" s="51" t="inlineStr">
        <is>
          <t>+31 (0)20 808 3185</t>
        </is>
      </c>
      <c r="AR321" s="52" t="inlineStr">
        <is>
          <t/>
        </is>
      </c>
      <c r="AS321" s="53" t="inlineStr">
        <is>
          <t>info@nova-lumos.com</t>
        </is>
      </c>
      <c r="AT321" s="54" t="inlineStr">
        <is>
          <t>Europe</t>
        </is>
      </c>
      <c r="AU321" s="55" t="inlineStr">
        <is>
          <t>Western Europe</t>
        </is>
      </c>
      <c r="AV321" s="56" t="inlineStr">
        <is>
          <t>The company raised $90 million of venture through a combination of debt and equity on December 1, 2016. $40 million equity portion of venture funding was led by Pembani Remgro Infrastructure Fund with participation from VLTCM and Israel Cleantech Ventures. A $50 million debt portion was provided by Overseas Private Investment Corporation.</t>
        </is>
      </c>
      <c r="AW321" s="57" t="inlineStr">
        <is>
          <t>IBM SmartCamp, Israel Cleantech Ventures, Pembani Remgro Infrastructure Fund, The Cleantech Open, VLTCM</t>
        </is>
      </c>
      <c r="AX321" s="58" t="n">
        <v>5.0</v>
      </c>
      <c r="AY321" s="59" t="inlineStr">
        <is>
          <t/>
        </is>
      </c>
      <c r="AZ321" s="60" t="inlineStr">
        <is>
          <t/>
        </is>
      </c>
      <c r="BA321" s="61" t="inlineStr">
        <is>
          <t/>
        </is>
      </c>
      <c r="BB321" s="62" t="inlineStr">
        <is>
          <t>IBM SmartCamp (www.smartcamp2016.com), Israel Cleantech Ventures (www.icv.vc), Pembani Remgro Infrastructure Fund (www.remgro.com), The Cleantech Open (www2.cleantechopen.org), VLTCM (www.vltcm.com)</t>
        </is>
      </c>
      <c r="BC321" s="63" t="inlineStr">
        <is>
          <t/>
        </is>
      </c>
      <c r="BD321" s="64" t="inlineStr">
        <is>
          <t/>
        </is>
      </c>
      <c r="BE321" s="65" t="inlineStr">
        <is>
          <t/>
        </is>
      </c>
      <c r="BF321" s="66" t="inlineStr">
        <is>
          <t>Overseas Private Investment Corporation</t>
        </is>
      </c>
      <c r="BG321" s="67" t="inlineStr">
        <is>
          <t/>
        </is>
      </c>
      <c r="BH321" s="68" t="inlineStr">
        <is>
          <t/>
        </is>
      </c>
      <c r="BI321" s="69" t="inlineStr">
        <is>
          <t/>
        </is>
      </c>
      <c r="BJ321" s="70" t="inlineStr">
        <is>
          <t/>
        </is>
      </c>
      <c r="BK321" s="71" t="inlineStr">
        <is>
          <t/>
        </is>
      </c>
      <c r="BL321" s="72" t="inlineStr">
        <is>
          <t>Early Stage VC</t>
        </is>
      </c>
      <c r="BM321" s="73" t="inlineStr">
        <is>
          <t/>
        </is>
      </c>
      <c r="BN321" s="74" t="inlineStr">
        <is>
          <t/>
        </is>
      </c>
      <c r="BO321" s="75" t="inlineStr">
        <is>
          <t>Venture Capital</t>
        </is>
      </c>
      <c r="BP321" s="76" t="inlineStr">
        <is>
          <t/>
        </is>
      </c>
      <c r="BQ321" s="77" t="inlineStr">
        <is>
          <t/>
        </is>
      </c>
      <c r="BR321" s="78" t="inlineStr">
        <is>
          <t/>
        </is>
      </c>
      <c r="BS321" s="79" t="inlineStr">
        <is>
          <t>Completed</t>
        </is>
      </c>
      <c r="BT321" s="80" t="n">
        <v>42705.0</v>
      </c>
      <c r="BU321" s="81" t="n">
        <v>85.37</v>
      </c>
      <c r="BV321" s="82" t="inlineStr">
        <is>
          <t>Actual</t>
        </is>
      </c>
      <c r="BW321" s="83" t="inlineStr">
        <is>
          <t/>
        </is>
      </c>
      <c r="BX321" s="84" t="inlineStr">
        <is>
          <t/>
        </is>
      </c>
      <c r="BY321" s="85" t="inlineStr">
        <is>
          <t>Early Stage VC</t>
        </is>
      </c>
      <c r="BZ321" s="86" t="inlineStr">
        <is>
          <t/>
        </is>
      </c>
      <c r="CA321" s="87" t="inlineStr">
        <is>
          <t/>
        </is>
      </c>
      <c r="CB321" s="88" t="inlineStr">
        <is>
          <t>Venture Capital</t>
        </is>
      </c>
      <c r="CC321" s="89" t="inlineStr">
        <is>
          <t>Senior Debt</t>
        </is>
      </c>
      <c r="CD321" s="90" t="inlineStr">
        <is>
          <t/>
        </is>
      </c>
      <c r="CE321" s="91" t="inlineStr">
        <is>
          <t/>
        </is>
      </c>
      <c r="CF321" s="92" t="inlineStr">
        <is>
          <t>Completed</t>
        </is>
      </c>
      <c r="CG321" s="93" t="inlineStr">
        <is>
          <t>0,32%</t>
        </is>
      </c>
      <c r="CH321" s="94" t="inlineStr">
        <is>
          <t>81</t>
        </is>
      </c>
      <c r="CI321" s="95" t="inlineStr">
        <is>
          <t>0,32%</t>
        </is>
      </c>
      <c r="CJ321" s="96" t="inlineStr">
        <is>
          <t>0,00%</t>
        </is>
      </c>
      <c r="CK321" s="97" t="inlineStr">
        <is>
          <t>0,00%</t>
        </is>
      </c>
      <c r="CL321" s="98" t="inlineStr">
        <is>
          <t>18</t>
        </is>
      </c>
      <c r="CM321" s="99" t="inlineStr">
        <is>
          <t>0,64%</t>
        </is>
      </c>
      <c r="CN321" s="100" t="inlineStr">
        <is>
          <t>92</t>
        </is>
      </c>
      <c r="CO321" s="101" t="inlineStr">
        <is>
          <t>0,00%</t>
        </is>
      </c>
      <c r="CP321" s="102" t="inlineStr">
        <is>
          <t>26</t>
        </is>
      </c>
      <c r="CQ321" s="103" t="inlineStr">
        <is>
          <t>0,00%</t>
        </is>
      </c>
      <c r="CR321" s="104" t="inlineStr">
        <is>
          <t>13</t>
        </is>
      </c>
      <c r="CS321" s="105" t="inlineStr">
        <is>
          <t>0,64%</t>
        </is>
      </c>
      <c r="CT321" s="106" t="inlineStr">
        <is>
          <t>90</t>
        </is>
      </c>
      <c r="CU321" s="107" t="inlineStr">
        <is>
          <t/>
        </is>
      </c>
      <c r="CV321" s="108" t="inlineStr">
        <is>
          <t/>
        </is>
      </c>
      <c r="CW321" s="109" t="inlineStr">
        <is>
          <t>7,87x</t>
        </is>
      </c>
      <c r="CX321" s="110" t="inlineStr">
        <is>
          <t>84</t>
        </is>
      </c>
      <c r="CY321" s="111" t="inlineStr">
        <is>
          <t>6,55x</t>
        </is>
      </c>
      <c r="CZ321" s="112" t="inlineStr">
        <is>
          <t>494,64%</t>
        </is>
      </c>
      <c r="DA321" s="113" t="inlineStr">
        <is>
          <t>1,37x</t>
        </is>
      </c>
      <c r="DB321" s="114" t="inlineStr">
        <is>
          <t>59</t>
        </is>
      </c>
      <c r="DC321" s="115" t="inlineStr">
        <is>
          <t>14,37x</t>
        </is>
      </c>
      <c r="DD321" s="116" t="inlineStr">
        <is>
          <t>87</t>
        </is>
      </c>
      <c r="DE321" s="117" t="inlineStr">
        <is>
          <t>0,30x</t>
        </is>
      </c>
      <c r="DF321" s="118" t="inlineStr">
        <is>
          <t>26</t>
        </is>
      </c>
      <c r="DG321" s="119" t="inlineStr">
        <is>
          <t>2,44x</t>
        </is>
      </c>
      <c r="DH321" s="120" t="inlineStr">
        <is>
          <t>68</t>
        </is>
      </c>
      <c r="DI321" s="121" t="inlineStr">
        <is>
          <t>14,37x</t>
        </is>
      </c>
      <c r="DJ321" s="122" t="inlineStr">
        <is>
          <t>85</t>
        </is>
      </c>
      <c r="DK321" s="123" t="inlineStr">
        <is>
          <t/>
        </is>
      </c>
      <c r="DL321" s="124" t="inlineStr">
        <is>
          <t/>
        </is>
      </c>
      <c r="DM321" s="125" t="inlineStr">
        <is>
          <t>174</t>
        </is>
      </c>
      <c r="DN321" s="126" t="inlineStr">
        <is>
          <t>21</t>
        </is>
      </c>
      <c r="DO321" s="127" t="inlineStr">
        <is>
          <t>13,73%</t>
        </is>
      </c>
      <c r="DP321" s="128" t="inlineStr">
        <is>
          <t>11.474</t>
        </is>
      </c>
      <c r="DQ321" s="129" t="inlineStr">
        <is>
          <t>10</t>
        </is>
      </c>
      <c r="DR321" s="130" t="inlineStr">
        <is>
          <t>0,09%</t>
        </is>
      </c>
      <c r="DS321" s="131" t="inlineStr">
        <is>
          <t>87</t>
        </is>
      </c>
      <c r="DT321" s="132" t="inlineStr">
        <is>
          <t>0</t>
        </is>
      </c>
      <c r="DU321" s="133" t="inlineStr">
        <is>
          <t>0,00%</t>
        </is>
      </c>
      <c r="DV321" s="134" t="inlineStr">
        <is>
          <t/>
        </is>
      </c>
      <c r="DW321" s="135" t="inlineStr">
        <is>
          <t/>
        </is>
      </c>
      <c r="DX321" s="136" t="inlineStr">
        <is>
          <t/>
        </is>
      </c>
      <c r="DY321" s="137" t="inlineStr">
        <is>
          <t>PitchBook Research</t>
        </is>
      </c>
      <c r="DZ321" s="785">
        <f>HYPERLINK("https://my.pitchbook.com?c=100188-10", "View company online")</f>
      </c>
    </row>
    <row r="322">
      <c r="A322" s="139" t="inlineStr">
        <is>
          <t>64786-42</t>
        </is>
      </c>
      <c r="B322" s="140" t="inlineStr">
        <is>
          <t>Novadip Biosciences</t>
        </is>
      </c>
      <c r="C322" s="141" t="inlineStr">
        <is>
          <t/>
        </is>
      </c>
      <c r="D322" s="142" t="inlineStr">
        <is>
          <t>Novadip</t>
        </is>
      </c>
      <c r="E322" s="143" t="inlineStr">
        <is>
          <t>64786-42</t>
        </is>
      </c>
      <c r="F322" s="144" t="inlineStr">
        <is>
          <t>Developer of cell-based regeneration therapies designed to offer new generation therapies for hard and soft tissue reconstruction from autologous adipose stem cells. The company's cell-based regeneration therapies helps to treat bone defects and bone diseases, its innovative adipose stem cell-based technology offers potential for further applications, including skin regeneration, enabling doctors and patients to get more positive clinical outcomes and long-term quality of life.</t>
        </is>
      </c>
      <c r="G322" s="145" t="inlineStr">
        <is>
          <t>Healthcare</t>
        </is>
      </c>
      <c r="H322" s="146" t="inlineStr">
        <is>
          <t>Pharmaceuticals and Biotechnology</t>
        </is>
      </c>
      <c r="I322" s="147" t="inlineStr">
        <is>
          <t>Biotechnology</t>
        </is>
      </c>
      <c r="J322" s="148" t="inlineStr">
        <is>
          <t>Biotechnology*; Therapeutic Devices</t>
        </is>
      </c>
      <c r="K322" s="149" t="inlineStr">
        <is>
          <t>Life Sciences, Manufacturing</t>
        </is>
      </c>
      <c r="L322" s="150" t="inlineStr">
        <is>
          <t>Venture Capital-Backed</t>
        </is>
      </c>
      <c r="M322" s="151" t="n">
        <v>36.5</v>
      </c>
      <c r="N322" s="152" t="inlineStr">
        <is>
          <t>Startup</t>
        </is>
      </c>
      <c r="O322" s="153" t="inlineStr">
        <is>
          <t>Privately Held (backing)</t>
        </is>
      </c>
      <c r="P322" s="154" t="inlineStr">
        <is>
          <t>Venture Capital</t>
        </is>
      </c>
      <c r="Q322" s="155" t="inlineStr">
        <is>
          <t>www.novadip.com</t>
        </is>
      </c>
      <c r="R322" s="156" t="n">
        <v>3.0</v>
      </c>
      <c r="S322" s="157" t="inlineStr">
        <is>
          <t/>
        </is>
      </c>
      <c r="T322" s="158" t="inlineStr">
        <is>
          <t/>
        </is>
      </c>
      <c r="U322" s="159" t="n">
        <v>2013.0</v>
      </c>
      <c r="V322" s="160" t="inlineStr">
        <is>
          <t/>
        </is>
      </c>
      <c r="W322" s="161" t="inlineStr">
        <is>
          <t/>
        </is>
      </c>
      <c r="X322" s="162" t="inlineStr">
        <is>
          <t/>
        </is>
      </c>
      <c r="Y322" s="163" t="inlineStr">
        <is>
          <t/>
        </is>
      </c>
      <c r="Z322" s="164" t="inlineStr">
        <is>
          <t/>
        </is>
      </c>
      <c r="AA322" s="165" t="n">
        <v>-0.97385</v>
      </c>
      <c r="AB322" s="166" t="inlineStr">
        <is>
          <t/>
        </is>
      </c>
      <c r="AC322" s="167" t="n">
        <v>-1.69965</v>
      </c>
      <c r="AD322" s="168" t="inlineStr">
        <is>
          <t>FY 2015</t>
        </is>
      </c>
      <c r="AE322" s="169" t="inlineStr">
        <is>
          <t>72280-54P</t>
        </is>
      </c>
      <c r="AF322" s="170" t="inlineStr">
        <is>
          <t>Jean-François Pollet</t>
        </is>
      </c>
      <c r="AG322" s="171" t="inlineStr">
        <is>
          <t>Co-Founder &amp; Chief Executive Officer</t>
        </is>
      </c>
      <c r="AH322" s="172" t="inlineStr">
        <is>
          <t>jean-francois.pollet@novadip.com</t>
        </is>
      </c>
      <c r="AI322" s="173" t="inlineStr">
        <is>
          <t>+32 (0)1 077 92 20</t>
        </is>
      </c>
      <c r="AJ322" s="174" t="inlineStr">
        <is>
          <t>Mont-Saint-Guibert, Belgium</t>
        </is>
      </c>
      <c r="AK322" s="175" t="inlineStr">
        <is>
          <t>Watson &amp; Crick Hill</t>
        </is>
      </c>
      <c r="AL322" s="176" t="inlineStr">
        <is>
          <t>Rue Granbonpré 11</t>
        </is>
      </c>
      <c r="AM322" s="177" t="inlineStr">
        <is>
          <t>Mont-Saint-Guibert</t>
        </is>
      </c>
      <c r="AN322" s="178" t="inlineStr">
        <is>
          <t/>
        </is>
      </c>
      <c r="AO322" s="179" t="inlineStr">
        <is>
          <t>1435</t>
        </is>
      </c>
      <c r="AP322" s="180" t="inlineStr">
        <is>
          <t>Belgium</t>
        </is>
      </c>
      <c r="AQ322" s="181" t="inlineStr">
        <is>
          <t>+32 (0)1 077 92 20</t>
        </is>
      </c>
      <c r="AR322" s="182" t="inlineStr">
        <is>
          <t/>
        </is>
      </c>
      <c r="AS322" s="183" t="inlineStr">
        <is>
          <t>info@novadip.com</t>
        </is>
      </c>
      <c r="AT322" s="184" t="inlineStr">
        <is>
          <t>Europe</t>
        </is>
      </c>
      <c r="AU322" s="185" t="inlineStr">
        <is>
          <t>Western Europe</t>
        </is>
      </c>
      <c r="AV322" s="186" t="inlineStr">
        <is>
          <t>The company raised EUR 28 million of Series A venture funding in a deal led by New Science Ventures on September 10, 2015. VIVES, Groupe Nivelinvest, Fund+, Integrale, Societe Regionale d'Investissement de Wallonie, Federal Holding and Investment Company, Epimède and other individual investors also participated in this round. The funding will be used for clinical development and process industrialization of Novadip Biosciences' lead compound Creost.</t>
        </is>
      </c>
      <c r="AW322" s="187" t="inlineStr">
        <is>
          <t>Epimède, Federal Holding and Investment Company, Fund+, Groupe Nivelinvest, Intégrale, New Science Ventures, Société Régionale d'Investissement de Wallonie, VIVES</t>
        </is>
      </c>
      <c r="AX322" s="188" t="n">
        <v>8.0</v>
      </c>
      <c r="AY322" s="189" t="inlineStr">
        <is>
          <t/>
        </is>
      </c>
      <c r="AZ322" s="190" t="inlineStr">
        <is>
          <t/>
        </is>
      </c>
      <c r="BA322" s="191" t="inlineStr">
        <is>
          <t/>
        </is>
      </c>
      <c r="BB322" s="192" t="inlineStr">
        <is>
          <t>Federal Holding and Investment Company (www.sfpi-fpim.be), Fund+ (www.fundplus.be), Groupe Nivelinvest (www.nivelinvest.be), New Science Ventures (www.newscienceventures.com), Société Régionale d'Investissement de Wallonie (www.sriw.be), VIVES (www.vivesfund.com)</t>
        </is>
      </c>
      <c r="BC322" s="193" t="inlineStr">
        <is>
          <t/>
        </is>
      </c>
      <c r="BD322" s="194" t="inlineStr">
        <is>
          <t/>
        </is>
      </c>
      <c r="BE322" s="195" t="inlineStr">
        <is>
          <t/>
        </is>
      </c>
      <c r="BF322" s="196" t="inlineStr">
        <is>
          <t/>
        </is>
      </c>
      <c r="BG322" s="197" t="n">
        <v>41690.0</v>
      </c>
      <c r="BH322" s="198" t="n">
        <v>8.5</v>
      </c>
      <c r="BI322" s="199" t="inlineStr">
        <is>
          <t>Actual</t>
        </is>
      </c>
      <c r="BJ322" s="200" t="inlineStr">
        <is>
          <t/>
        </is>
      </c>
      <c r="BK322" s="201" t="inlineStr">
        <is>
          <t/>
        </is>
      </c>
      <c r="BL322" s="202" t="inlineStr">
        <is>
          <t>Early Stage VC</t>
        </is>
      </c>
      <c r="BM322" s="203" t="inlineStr">
        <is>
          <t/>
        </is>
      </c>
      <c r="BN322" s="204" t="inlineStr">
        <is>
          <t/>
        </is>
      </c>
      <c r="BO322" s="205" t="inlineStr">
        <is>
          <t>Venture Capital</t>
        </is>
      </c>
      <c r="BP322" s="206" t="inlineStr">
        <is>
          <t/>
        </is>
      </c>
      <c r="BQ322" s="207" t="inlineStr">
        <is>
          <t/>
        </is>
      </c>
      <c r="BR322" s="208" t="inlineStr">
        <is>
          <t/>
        </is>
      </c>
      <c r="BS322" s="209" t="inlineStr">
        <is>
          <t>Completed</t>
        </is>
      </c>
      <c r="BT322" s="210" t="n">
        <v>42257.0</v>
      </c>
      <c r="BU322" s="211" t="n">
        <v>28.0</v>
      </c>
      <c r="BV322" s="212" t="inlineStr">
        <is>
          <t>Actual</t>
        </is>
      </c>
      <c r="BW322" s="213" t="inlineStr">
        <is>
          <t/>
        </is>
      </c>
      <c r="BX322" s="214" t="inlineStr">
        <is>
          <t/>
        </is>
      </c>
      <c r="BY322" s="215" t="inlineStr">
        <is>
          <t>Early Stage VC</t>
        </is>
      </c>
      <c r="BZ322" s="216" t="inlineStr">
        <is>
          <t>Series A</t>
        </is>
      </c>
      <c r="CA322" s="217" t="inlineStr">
        <is>
          <t/>
        </is>
      </c>
      <c r="CB322" s="218" t="inlineStr">
        <is>
          <t>Venture Capital</t>
        </is>
      </c>
      <c r="CC322" s="219" t="inlineStr">
        <is>
          <t/>
        </is>
      </c>
      <c r="CD322" s="220" t="inlineStr">
        <is>
          <t/>
        </is>
      </c>
      <c r="CE322" s="221" t="inlineStr">
        <is>
          <t/>
        </is>
      </c>
      <c r="CF322" s="222" t="inlineStr">
        <is>
          <t>Completed</t>
        </is>
      </c>
      <c r="CG322" s="223" t="inlineStr">
        <is>
          <t>0,00%</t>
        </is>
      </c>
      <c r="CH322" s="224" t="inlineStr">
        <is>
          <t>23</t>
        </is>
      </c>
      <c r="CI322" s="225" t="inlineStr">
        <is>
          <t>0,00%</t>
        </is>
      </c>
      <c r="CJ322" s="226" t="inlineStr">
        <is>
          <t>0,00%</t>
        </is>
      </c>
      <c r="CK322" s="227" t="inlineStr">
        <is>
          <t>0,00%</t>
        </is>
      </c>
      <c r="CL322" s="228" t="inlineStr">
        <is>
          <t>18</t>
        </is>
      </c>
      <c r="CM322" s="229" t="inlineStr">
        <is>
          <t/>
        </is>
      </c>
      <c r="CN322" s="230" t="inlineStr">
        <is>
          <t/>
        </is>
      </c>
      <c r="CO322" s="231" t="inlineStr">
        <is>
          <t/>
        </is>
      </c>
      <c r="CP322" s="232" t="inlineStr">
        <is>
          <t/>
        </is>
      </c>
      <c r="CQ322" s="233" t="inlineStr">
        <is>
          <t>0,00%</t>
        </is>
      </c>
      <c r="CR322" s="234" t="inlineStr">
        <is>
          <t>13</t>
        </is>
      </c>
      <c r="CS322" s="235" t="inlineStr">
        <is>
          <t/>
        </is>
      </c>
      <c r="CT322" s="236" t="inlineStr">
        <is>
          <t/>
        </is>
      </c>
      <c r="CU322" s="237" t="inlineStr">
        <is>
          <t/>
        </is>
      </c>
      <c r="CV322" s="238" t="inlineStr">
        <is>
          <t/>
        </is>
      </c>
      <c r="CW322" s="239" t="inlineStr">
        <is>
          <t>2,17x</t>
        </is>
      </c>
      <c r="CX322" s="240" t="inlineStr">
        <is>
          <t>66</t>
        </is>
      </c>
      <c r="CY322" s="241" t="inlineStr">
        <is>
          <t>-0,02x</t>
        </is>
      </c>
      <c r="CZ322" s="242" t="inlineStr">
        <is>
          <t>-1,03%</t>
        </is>
      </c>
      <c r="DA322" s="243" t="inlineStr">
        <is>
          <t>2,17x</t>
        </is>
      </c>
      <c r="DB322" s="244" t="inlineStr">
        <is>
          <t>68</t>
        </is>
      </c>
      <c r="DC322" s="245" t="inlineStr">
        <is>
          <t/>
        </is>
      </c>
      <c r="DD322" s="246" t="inlineStr">
        <is>
          <t/>
        </is>
      </c>
      <c r="DE322" s="247" t="inlineStr">
        <is>
          <t/>
        </is>
      </c>
      <c r="DF322" s="248" t="inlineStr">
        <is>
          <t/>
        </is>
      </c>
      <c r="DG322" s="249" t="inlineStr">
        <is>
          <t>2,17x</t>
        </is>
      </c>
      <c r="DH322" s="250" t="inlineStr">
        <is>
          <t>66</t>
        </is>
      </c>
      <c r="DI322" s="251" t="inlineStr">
        <is>
          <t/>
        </is>
      </c>
      <c r="DJ322" s="252" t="inlineStr">
        <is>
          <t/>
        </is>
      </c>
      <c r="DK322" s="253" t="inlineStr">
        <is>
          <t/>
        </is>
      </c>
      <c r="DL322" s="254" t="inlineStr">
        <is>
          <t/>
        </is>
      </c>
      <c r="DM322" s="255" t="inlineStr">
        <is>
          <t>184</t>
        </is>
      </c>
      <c r="DN322" s="256" t="inlineStr">
        <is>
          <t>21</t>
        </is>
      </c>
      <c r="DO322" s="257" t="inlineStr">
        <is>
          <t>12,88%</t>
        </is>
      </c>
      <c r="DP322" s="258" t="inlineStr">
        <is>
          <t/>
        </is>
      </c>
      <c r="DQ322" s="259" t="inlineStr">
        <is>
          <t/>
        </is>
      </c>
      <c r="DR322" s="260" t="inlineStr">
        <is>
          <t/>
        </is>
      </c>
      <c r="DS322" s="261" t="inlineStr">
        <is>
          <t>79</t>
        </is>
      </c>
      <c r="DT322" s="262" t="inlineStr">
        <is>
          <t>-2</t>
        </is>
      </c>
      <c r="DU322" s="263" t="inlineStr">
        <is>
          <t>-2,47%</t>
        </is>
      </c>
      <c r="DV322" s="264" t="inlineStr">
        <is>
          <t/>
        </is>
      </c>
      <c r="DW322" s="265" t="inlineStr">
        <is>
          <t/>
        </is>
      </c>
      <c r="DX322" s="266" t="inlineStr">
        <is>
          <t/>
        </is>
      </c>
      <c r="DY322" s="267" t="inlineStr">
        <is>
          <t>PitchBook Research</t>
        </is>
      </c>
      <c r="DZ322" s="786">
        <f>HYPERLINK("https://my.pitchbook.com?c=64786-42", "View company online")</f>
      </c>
    </row>
    <row r="323">
      <c r="A323" s="9" t="inlineStr">
        <is>
          <t>167488-48</t>
        </is>
      </c>
      <c r="B323" s="10" t="inlineStr">
        <is>
          <t>Nozomi Networks</t>
        </is>
      </c>
      <c r="C323" s="11" t="inlineStr">
        <is>
          <t/>
        </is>
      </c>
      <c r="D323" s="12" t="inlineStr">
        <is>
          <t/>
        </is>
      </c>
      <c r="E323" s="13" t="inlineStr">
        <is>
          <t>167488-48</t>
        </is>
      </c>
      <c r="F323" s="14" t="inlineStr">
        <is>
          <t>Provider of real-time cyber-security and visibility of industrial control networks. The company provides machine-learning technology for cyber-security and operational visibility to provide unique insights for detection of suspicious cyber activities and abnormal process control indicators in industrial control systems (ICS).</t>
        </is>
      </c>
      <c r="G323" s="15" t="inlineStr">
        <is>
          <t>Information Technology</t>
        </is>
      </c>
      <c r="H323" s="16" t="inlineStr">
        <is>
          <t>Software</t>
        </is>
      </c>
      <c r="I323" s="17" t="inlineStr">
        <is>
          <t>Network Management Software</t>
        </is>
      </c>
      <c r="J323" s="18" t="inlineStr">
        <is>
          <t>Network Management Software*</t>
        </is>
      </c>
      <c r="K323" s="19" t="inlineStr">
        <is>
          <t>Artificial Intelligence &amp; Machine Learning, Cybersecurity</t>
        </is>
      </c>
      <c r="L323" s="20" t="inlineStr">
        <is>
          <t>Venture Capital-Backed</t>
        </is>
      </c>
      <c r="M323" s="21" t="n">
        <v>6.79</v>
      </c>
      <c r="N323" s="22" t="inlineStr">
        <is>
          <t>Startup</t>
        </is>
      </c>
      <c r="O323" s="23" t="inlineStr">
        <is>
          <t>Privately Held (backing)</t>
        </is>
      </c>
      <c r="P323" s="24" t="inlineStr">
        <is>
          <t>Venture Capital</t>
        </is>
      </c>
      <c r="Q323" s="25" t="inlineStr">
        <is>
          <t>nozominetworks.com</t>
        </is>
      </c>
      <c r="R323" s="26" t="n">
        <v>11.0</v>
      </c>
      <c r="S323" s="27" t="inlineStr">
        <is>
          <t/>
        </is>
      </c>
      <c r="T323" s="28" t="inlineStr">
        <is>
          <t/>
        </is>
      </c>
      <c r="U323" s="29" t="n">
        <v>2013.0</v>
      </c>
      <c r="V323" s="30" t="inlineStr">
        <is>
          <t/>
        </is>
      </c>
      <c r="W323" s="31" t="inlineStr">
        <is>
          <t/>
        </is>
      </c>
      <c r="X323" s="32" t="inlineStr">
        <is>
          <t/>
        </is>
      </c>
      <c r="Y323" s="33" t="inlineStr">
        <is>
          <t/>
        </is>
      </c>
      <c r="Z323" s="34" t="inlineStr">
        <is>
          <t/>
        </is>
      </c>
      <c r="AA323" s="35" t="inlineStr">
        <is>
          <t/>
        </is>
      </c>
      <c r="AB323" s="36" t="inlineStr">
        <is>
          <t/>
        </is>
      </c>
      <c r="AC323" s="37" t="inlineStr">
        <is>
          <t/>
        </is>
      </c>
      <c r="AD323" s="38" t="inlineStr">
        <is>
          <t/>
        </is>
      </c>
      <c r="AE323" s="39" t="inlineStr">
        <is>
          <t>135427-60P</t>
        </is>
      </c>
      <c r="AF323" s="40" t="inlineStr">
        <is>
          <t>Edgard Capdevielle</t>
        </is>
      </c>
      <c r="AG323" s="41" t="inlineStr">
        <is>
          <t>Chief Executive Officer &amp; President</t>
        </is>
      </c>
      <c r="AH323" s="42" t="inlineStr">
        <is>
          <t>edgard@nozominetworks.com</t>
        </is>
      </c>
      <c r="AI323" s="43" t="inlineStr">
        <is>
          <t>+41 (0)91 647 0406</t>
        </is>
      </c>
      <c r="AJ323" s="44" t="inlineStr">
        <is>
          <t>Mendrisio, Switzerland</t>
        </is>
      </c>
      <c r="AK323" s="45" t="inlineStr">
        <is>
          <t>Via Penate 4</t>
        </is>
      </c>
      <c r="AL323" s="46" t="inlineStr">
        <is>
          <t/>
        </is>
      </c>
      <c r="AM323" s="47" t="inlineStr">
        <is>
          <t>Mendrisio</t>
        </is>
      </c>
      <c r="AN323" s="48" t="inlineStr">
        <is>
          <t/>
        </is>
      </c>
      <c r="AO323" s="49" t="inlineStr">
        <is>
          <t>6850</t>
        </is>
      </c>
      <c r="AP323" s="50" t="inlineStr">
        <is>
          <t>Switzerland</t>
        </is>
      </c>
      <c r="AQ323" s="51" t="inlineStr">
        <is>
          <t>+41 (0)91 647 0406</t>
        </is>
      </c>
      <c r="AR323" s="52" t="inlineStr">
        <is>
          <t/>
        </is>
      </c>
      <c r="AS323" s="53" t="inlineStr">
        <is>
          <t>info@nozominetworks.com</t>
        </is>
      </c>
      <c r="AT323" s="54" t="inlineStr">
        <is>
          <t>Europe</t>
        </is>
      </c>
      <c r="AU323" s="55" t="inlineStr">
        <is>
          <t>Western Europe</t>
        </is>
      </c>
      <c r="AV323" s="56" t="inlineStr">
        <is>
          <t>The company raised $7.5 million of Series A venture funding in a deal co-led by GGV Capital and Lux Capital on October 24, 2016. Planven Investments also participated in the round. The company intends to use the funds to establish its corporate headquarters in the U.S. in addition to Switzerland.</t>
        </is>
      </c>
      <c r="AW323" s="57" t="inlineStr">
        <is>
          <t>GGV Capital, INCENSe, Lux Capital, Planven Investments</t>
        </is>
      </c>
      <c r="AX323" s="58" t="n">
        <v>4.0</v>
      </c>
      <c r="AY323" s="59" t="inlineStr">
        <is>
          <t/>
        </is>
      </c>
      <c r="AZ323" s="60" t="inlineStr">
        <is>
          <t/>
        </is>
      </c>
      <c r="BA323" s="61" t="inlineStr">
        <is>
          <t/>
        </is>
      </c>
      <c r="BB323" s="62" t="inlineStr">
        <is>
          <t>GGV Capital (www.ggvc.com), INCENSe (www.incense-accelerator.com), Lux Capital (www.luxcapital.com), Planven Investments (www.planven.com)</t>
        </is>
      </c>
      <c r="BC323" s="63" t="inlineStr">
        <is>
          <t/>
        </is>
      </c>
      <c r="BD323" s="64" t="inlineStr">
        <is>
          <t/>
        </is>
      </c>
      <c r="BE323" s="65" t="inlineStr">
        <is>
          <t>Latham &amp; Watkins (Legal Advisor)</t>
        </is>
      </c>
      <c r="BF323" s="66" t="inlineStr">
        <is>
          <t>Latham &amp; Watkins (Legal Advisor)</t>
        </is>
      </c>
      <c r="BG323" s="67" t="n">
        <v>42111.0</v>
      </c>
      <c r="BH323" s="68" t="n">
        <v>0.15</v>
      </c>
      <c r="BI323" s="69" t="inlineStr">
        <is>
          <t>Actual</t>
        </is>
      </c>
      <c r="BJ323" s="70" t="inlineStr">
        <is>
          <t/>
        </is>
      </c>
      <c r="BK323" s="71" t="inlineStr">
        <is>
          <t/>
        </is>
      </c>
      <c r="BL323" s="72" t="inlineStr">
        <is>
          <t>Accelerator/Incubator</t>
        </is>
      </c>
      <c r="BM323" s="73" t="inlineStr">
        <is>
          <t/>
        </is>
      </c>
      <c r="BN323" s="74" t="inlineStr">
        <is>
          <t/>
        </is>
      </c>
      <c r="BO323" s="75" t="inlineStr">
        <is>
          <t>Other</t>
        </is>
      </c>
      <c r="BP323" s="76" t="inlineStr">
        <is>
          <t/>
        </is>
      </c>
      <c r="BQ323" s="77" t="inlineStr">
        <is>
          <t/>
        </is>
      </c>
      <c r="BR323" s="78" t="inlineStr">
        <is>
          <t/>
        </is>
      </c>
      <c r="BS323" s="79" t="inlineStr">
        <is>
          <t>Completed</t>
        </is>
      </c>
      <c r="BT323" s="80" t="n">
        <v>42667.0</v>
      </c>
      <c r="BU323" s="81" t="n">
        <v>6.79</v>
      </c>
      <c r="BV323" s="82" t="inlineStr">
        <is>
          <t>Actual</t>
        </is>
      </c>
      <c r="BW323" s="83" t="inlineStr">
        <is>
          <t/>
        </is>
      </c>
      <c r="BX323" s="84" t="inlineStr">
        <is>
          <t/>
        </is>
      </c>
      <c r="BY323" s="85" t="inlineStr">
        <is>
          <t>Early Stage VC</t>
        </is>
      </c>
      <c r="BZ323" s="86" t="inlineStr">
        <is>
          <t>Series A</t>
        </is>
      </c>
      <c r="CA323" s="87" t="inlineStr">
        <is>
          <t/>
        </is>
      </c>
      <c r="CB323" s="88" t="inlineStr">
        <is>
          <t>Venture Capital</t>
        </is>
      </c>
      <c r="CC323" s="89" t="inlineStr">
        <is>
          <t/>
        </is>
      </c>
      <c r="CD323" s="90" t="inlineStr">
        <is>
          <t/>
        </is>
      </c>
      <c r="CE323" s="91" t="inlineStr">
        <is>
          <t/>
        </is>
      </c>
      <c r="CF323" s="92" t="inlineStr">
        <is>
          <t>Completed</t>
        </is>
      </c>
      <c r="CG323" s="93" t="inlineStr">
        <is>
          <t>1,29%</t>
        </is>
      </c>
      <c r="CH323" s="94" t="inlineStr">
        <is>
          <t>90</t>
        </is>
      </c>
      <c r="CI323" s="95" t="inlineStr">
        <is>
          <t>-0,61%</t>
        </is>
      </c>
      <c r="CJ323" s="96" t="inlineStr">
        <is>
          <t>-32,24%</t>
        </is>
      </c>
      <c r="CK323" s="97" t="inlineStr">
        <is>
          <t>1,15%</t>
        </is>
      </c>
      <c r="CL323" s="98" t="inlineStr">
        <is>
          <t>87</t>
        </is>
      </c>
      <c r="CM323" s="99" t="inlineStr">
        <is>
          <t>1,43%</t>
        </is>
      </c>
      <c r="CN323" s="100" t="inlineStr">
        <is>
          <t>98</t>
        </is>
      </c>
      <c r="CO323" s="101" t="inlineStr">
        <is>
          <t>2,29%</t>
        </is>
      </c>
      <c r="CP323" s="102" t="inlineStr">
        <is>
          <t>90</t>
        </is>
      </c>
      <c r="CQ323" s="103" t="inlineStr">
        <is>
          <t>0,02%</t>
        </is>
      </c>
      <c r="CR323" s="104" t="inlineStr">
        <is>
          <t>82</t>
        </is>
      </c>
      <c r="CS323" s="105" t="inlineStr">
        <is>
          <t>0,00%</t>
        </is>
      </c>
      <c r="CT323" s="106" t="inlineStr">
        <is>
          <t>18</t>
        </is>
      </c>
      <c r="CU323" s="107" t="inlineStr">
        <is>
          <t>2,85%</t>
        </is>
      </c>
      <c r="CV323" s="108" t="inlineStr">
        <is>
          <t>100</t>
        </is>
      </c>
      <c r="CW323" s="109" t="inlineStr">
        <is>
          <t>2,11x</t>
        </is>
      </c>
      <c r="CX323" s="110" t="inlineStr">
        <is>
          <t>65</t>
        </is>
      </c>
      <c r="CY323" s="111" t="inlineStr">
        <is>
          <t>0,05x</t>
        </is>
      </c>
      <c r="CZ323" s="112" t="inlineStr">
        <is>
          <t>2,58%</t>
        </is>
      </c>
      <c r="DA323" s="113" t="inlineStr">
        <is>
          <t>2,90x</t>
        </is>
      </c>
      <c r="DB323" s="114" t="inlineStr">
        <is>
          <t>73</t>
        </is>
      </c>
      <c r="DC323" s="115" t="inlineStr">
        <is>
          <t>1,33x</t>
        </is>
      </c>
      <c r="DD323" s="116" t="inlineStr">
        <is>
          <t>54</t>
        </is>
      </c>
      <c r="DE323" s="117" t="inlineStr">
        <is>
          <t>1,99x</t>
        </is>
      </c>
      <c r="DF323" s="118" t="inlineStr">
        <is>
          <t>63</t>
        </is>
      </c>
      <c r="DG323" s="119" t="inlineStr">
        <is>
          <t>3,81x</t>
        </is>
      </c>
      <c r="DH323" s="120" t="inlineStr">
        <is>
          <t>75</t>
        </is>
      </c>
      <c r="DI323" s="121" t="inlineStr">
        <is>
          <t>0,11x</t>
        </is>
      </c>
      <c r="DJ323" s="122" t="inlineStr">
        <is>
          <t>15</t>
        </is>
      </c>
      <c r="DK323" s="123" t="inlineStr">
        <is>
          <t>2,55x</t>
        </is>
      </c>
      <c r="DL323" s="124" t="inlineStr">
        <is>
          <t>67</t>
        </is>
      </c>
      <c r="DM323" s="125" t="inlineStr">
        <is>
          <t>1.192</t>
        </is>
      </c>
      <c r="DN323" s="126" t="inlineStr">
        <is>
          <t>96</t>
        </is>
      </c>
      <c r="DO323" s="127" t="inlineStr">
        <is>
          <t>8,76%</t>
        </is>
      </c>
      <c r="DP323" s="128" t="inlineStr">
        <is>
          <t>82</t>
        </is>
      </c>
      <c r="DQ323" s="129" t="inlineStr">
        <is>
          <t>3</t>
        </is>
      </c>
      <c r="DR323" s="130" t="inlineStr">
        <is>
          <t>3,80%</t>
        </is>
      </c>
      <c r="DS323" s="131" t="inlineStr">
        <is>
          <t>136</t>
        </is>
      </c>
      <c r="DT323" s="132" t="inlineStr">
        <is>
          <t>-1</t>
        </is>
      </c>
      <c r="DU323" s="133" t="inlineStr">
        <is>
          <t>-0,73%</t>
        </is>
      </c>
      <c r="DV323" s="134" t="inlineStr">
        <is>
          <t>870</t>
        </is>
      </c>
      <c r="DW323" s="135" t="inlineStr">
        <is>
          <t>4</t>
        </is>
      </c>
      <c r="DX323" s="136" t="inlineStr">
        <is>
          <t>0,46%</t>
        </is>
      </c>
      <c r="DY323" s="137" t="inlineStr">
        <is>
          <t>PitchBook Research</t>
        </is>
      </c>
      <c r="DZ323" s="785">
        <f>HYPERLINK("https://my.pitchbook.com?c=167488-48", "View company online")</f>
      </c>
    </row>
    <row r="324">
      <c r="A324" s="139" t="inlineStr">
        <is>
          <t>170075-98</t>
        </is>
      </c>
      <c r="B324" s="140" t="inlineStr">
        <is>
          <t>OCTIMET</t>
        </is>
      </c>
      <c r="C324" s="141" t="inlineStr">
        <is>
          <t/>
        </is>
      </c>
      <c r="D324" s="142" t="inlineStr">
        <is>
          <t>OCTIMET Oncology</t>
        </is>
      </c>
      <c r="E324" s="143" t="inlineStr">
        <is>
          <t>170075-98</t>
        </is>
      </c>
      <c r="F324" s="144" t="inlineStr">
        <is>
          <t>Developer of discovery stage molecules used for the treatment of cancer cells. The company's discovery stage molecules with innovative patient selection and pharmacodynamic biomarker-based strategies enables its clients to treat of solid cancers</t>
        </is>
      </c>
      <c r="G324" s="145" t="inlineStr">
        <is>
          <t>Healthcare</t>
        </is>
      </c>
      <c r="H324" s="146" t="inlineStr">
        <is>
          <t>Pharmaceuticals and Biotechnology</t>
        </is>
      </c>
      <c r="I324" s="147" t="inlineStr">
        <is>
          <t>Biotechnology</t>
        </is>
      </c>
      <c r="J324" s="148" t="inlineStr">
        <is>
          <t>Biotechnology*; Drug Discovery; Pharmaceuticals</t>
        </is>
      </c>
      <c r="K324" s="149" t="inlineStr">
        <is>
          <t>Life Sciences, Oncology</t>
        </is>
      </c>
      <c r="L324" s="150" t="inlineStr">
        <is>
          <t>Venture Capital-Backed</t>
        </is>
      </c>
      <c r="M324" s="151" t="n">
        <v>11.3</v>
      </c>
      <c r="N324" s="152" t="inlineStr">
        <is>
          <t>Startup</t>
        </is>
      </c>
      <c r="O324" s="153" t="inlineStr">
        <is>
          <t>Privately Held (backing)</t>
        </is>
      </c>
      <c r="P324" s="154" t="inlineStr">
        <is>
          <t>Venture Capital</t>
        </is>
      </c>
      <c r="Q324" s="155" t="inlineStr">
        <is>
          <t>www.octimet.com</t>
        </is>
      </c>
      <c r="R324" s="156" t="inlineStr">
        <is>
          <t/>
        </is>
      </c>
      <c r="S324" s="157" t="inlineStr">
        <is>
          <t/>
        </is>
      </c>
      <c r="T324" s="158" t="inlineStr">
        <is>
          <t/>
        </is>
      </c>
      <c r="U324" s="159" t="n">
        <v>2016.0</v>
      </c>
      <c r="V324" s="160" t="inlineStr">
        <is>
          <t/>
        </is>
      </c>
      <c r="W324" s="161" t="inlineStr">
        <is>
          <t/>
        </is>
      </c>
      <c r="X324" s="162" t="inlineStr">
        <is>
          <t/>
        </is>
      </c>
      <c r="Y324" s="163" t="inlineStr">
        <is>
          <t/>
        </is>
      </c>
      <c r="Z324" s="164" t="inlineStr">
        <is>
          <t/>
        </is>
      </c>
      <c r="AA324" s="165" t="inlineStr">
        <is>
          <t/>
        </is>
      </c>
      <c r="AB324" s="166" t="inlineStr">
        <is>
          <t/>
        </is>
      </c>
      <c r="AC324" s="167" t="inlineStr">
        <is>
          <t/>
        </is>
      </c>
      <c r="AD324" s="168" t="inlineStr">
        <is>
          <t/>
        </is>
      </c>
      <c r="AE324" s="169" t="inlineStr">
        <is>
          <t>155763-46P</t>
        </is>
      </c>
      <c r="AF324" s="170" t="inlineStr">
        <is>
          <t>Glen Clack</t>
        </is>
      </c>
      <c r="AG324" s="171" t="inlineStr">
        <is>
          <t>Chief Marketing Officer</t>
        </is>
      </c>
      <c r="AH324" s="172" t="inlineStr">
        <is>
          <t>gclack@octimet.com</t>
        </is>
      </c>
      <c r="AI324" s="173" t="inlineStr">
        <is>
          <t>+32 (0)4 735 58 35</t>
        </is>
      </c>
      <c r="AJ324" s="174" t="inlineStr">
        <is>
          <t>Beerse, Belgium</t>
        </is>
      </c>
      <c r="AK324" s="175" t="inlineStr">
        <is>
          <t>Turnhoutsebaan 30</t>
        </is>
      </c>
      <c r="AL324" s="176" t="inlineStr">
        <is>
          <t/>
        </is>
      </c>
      <c r="AM324" s="177" t="inlineStr">
        <is>
          <t>Beerse</t>
        </is>
      </c>
      <c r="AN324" s="178" t="inlineStr">
        <is>
          <t/>
        </is>
      </c>
      <c r="AO324" s="179" t="inlineStr">
        <is>
          <t>2340</t>
        </is>
      </c>
      <c r="AP324" s="180" t="inlineStr">
        <is>
          <t>Belgium</t>
        </is>
      </c>
      <c r="AQ324" s="181" t="inlineStr">
        <is>
          <t>+32 (0)4 735 58 35</t>
        </is>
      </c>
      <c r="AR324" s="182" t="inlineStr">
        <is>
          <t/>
        </is>
      </c>
      <c r="AS324" s="183" t="inlineStr">
        <is>
          <t>info@octimet.com</t>
        </is>
      </c>
      <c r="AT324" s="184" t="inlineStr">
        <is>
          <t>Europe</t>
        </is>
      </c>
      <c r="AU324" s="185" t="inlineStr">
        <is>
          <t>Western Europe</t>
        </is>
      </c>
      <c r="AV324" s="186" t="inlineStr">
        <is>
          <t>The company raised EUR 11.3 million of venture funding from Droia, Fund+ and Omnes Capital in November 19, 2017. V-Bio Ventures, VIB and Vlaams Agentschap Innoveren en Ondernemen also participated in the round.</t>
        </is>
      </c>
      <c r="AW324" s="187" t="inlineStr">
        <is>
          <t>Droia Oncology Ventures, Fund+, Omnes Capital, V-Bio Ventures, VIB, Vlaams Agentschap Innoveren en Ondernemen</t>
        </is>
      </c>
      <c r="AX324" s="188" t="n">
        <v>6.0</v>
      </c>
      <c r="AY324" s="189" t="inlineStr">
        <is>
          <t/>
        </is>
      </c>
      <c r="AZ324" s="190" t="inlineStr">
        <is>
          <t/>
        </is>
      </c>
      <c r="BA324" s="191" t="inlineStr">
        <is>
          <t/>
        </is>
      </c>
      <c r="BB324" s="192" t="inlineStr">
        <is>
          <t>Droia Oncology Ventures (www.droia.be), Fund+ (www.fundplus.be), Omnes Capital (www.omnescapital.com), VIB (www.vib.be), Vlaams Agentschap Innoveren en Ondernemen (www.vlaio.be)</t>
        </is>
      </c>
      <c r="BC324" s="193" t="inlineStr">
        <is>
          <t/>
        </is>
      </c>
      <c r="BD324" s="194" t="inlineStr">
        <is>
          <t/>
        </is>
      </c>
      <c r="BE324" s="195" t="inlineStr">
        <is>
          <t/>
        </is>
      </c>
      <c r="BF324" s="196" t="inlineStr">
        <is>
          <t/>
        </is>
      </c>
      <c r="BG324" s="197" t="n">
        <v>42754.0</v>
      </c>
      <c r="BH324" s="198" t="n">
        <v>11.3</v>
      </c>
      <c r="BI324" s="199" t="inlineStr">
        <is>
          <t>Actual</t>
        </is>
      </c>
      <c r="BJ324" s="200" t="inlineStr">
        <is>
          <t/>
        </is>
      </c>
      <c r="BK324" s="201" t="inlineStr">
        <is>
          <t/>
        </is>
      </c>
      <c r="BL324" s="202" t="inlineStr">
        <is>
          <t>Early Stage VC</t>
        </is>
      </c>
      <c r="BM324" s="203" t="inlineStr">
        <is>
          <t/>
        </is>
      </c>
      <c r="BN324" s="204" t="inlineStr">
        <is>
          <t/>
        </is>
      </c>
      <c r="BO324" s="205" t="inlineStr">
        <is>
          <t>Venture Capital</t>
        </is>
      </c>
      <c r="BP324" s="206" t="inlineStr">
        <is>
          <t/>
        </is>
      </c>
      <c r="BQ324" s="207" t="inlineStr">
        <is>
          <t/>
        </is>
      </c>
      <c r="BR324" s="208" t="inlineStr">
        <is>
          <t/>
        </is>
      </c>
      <c r="BS324" s="209" t="inlineStr">
        <is>
          <t>Completed</t>
        </is>
      </c>
      <c r="BT324" s="210" t="n">
        <v>42754.0</v>
      </c>
      <c r="BU324" s="211" t="n">
        <v>11.3</v>
      </c>
      <c r="BV324" s="212" t="inlineStr">
        <is>
          <t>Actual</t>
        </is>
      </c>
      <c r="BW324" s="213" t="inlineStr">
        <is>
          <t/>
        </is>
      </c>
      <c r="BX324" s="214" t="inlineStr">
        <is>
          <t/>
        </is>
      </c>
      <c r="BY324" s="215" t="inlineStr">
        <is>
          <t>Early Stage VC</t>
        </is>
      </c>
      <c r="BZ324" s="216" t="inlineStr">
        <is>
          <t/>
        </is>
      </c>
      <c r="CA324" s="217" t="inlineStr">
        <is>
          <t/>
        </is>
      </c>
      <c r="CB324" s="218" t="inlineStr">
        <is>
          <t>Venture Capital</t>
        </is>
      </c>
      <c r="CC324" s="219" t="inlineStr">
        <is>
          <t/>
        </is>
      </c>
      <c r="CD324" s="220" t="inlineStr">
        <is>
          <t/>
        </is>
      </c>
      <c r="CE324" s="221" t="inlineStr">
        <is>
          <t/>
        </is>
      </c>
      <c r="CF324" s="222" t="inlineStr">
        <is>
          <t>Completed</t>
        </is>
      </c>
      <c r="CG324" s="223" t="inlineStr">
        <is>
          <t>0,00%</t>
        </is>
      </c>
      <c r="CH324" s="224" t="inlineStr">
        <is>
          <t>23</t>
        </is>
      </c>
      <c r="CI324" s="225" t="inlineStr">
        <is>
          <t>0,00%</t>
        </is>
      </c>
      <c r="CJ324" s="226" t="inlineStr">
        <is>
          <t>0,00%</t>
        </is>
      </c>
      <c r="CK324" s="227" t="inlineStr">
        <is>
          <t>0,00%</t>
        </is>
      </c>
      <c r="CL324" s="228" t="inlineStr">
        <is>
          <t>18</t>
        </is>
      </c>
      <c r="CM324" s="229" t="inlineStr">
        <is>
          <t/>
        </is>
      </c>
      <c r="CN324" s="230" t="inlineStr">
        <is>
          <t/>
        </is>
      </c>
      <c r="CO324" s="231" t="inlineStr">
        <is>
          <t/>
        </is>
      </c>
      <c r="CP324" s="232" t="inlineStr">
        <is>
          <t/>
        </is>
      </c>
      <c r="CQ324" s="233" t="inlineStr">
        <is>
          <t>0,00%</t>
        </is>
      </c>
      <c r="CR324" s="234" t="inlineStr">
        <is>
          <t>13</t>
        </is>
      </c>
      <c r="CS324" s="235" t="inlineStr">
        <is>
          <t/>
        </is>
      </c>
      <c r="CT324" s="236" t="inlineStr">
        <is>
          <t/>
        </is>
      </c>
      <c r="CU324" s="237" t="inlineStr">
        <is>
          <t/>
        </is>
      </c>
      <c r="CV324" s="238" t="inlineStr">
        <is>
          <t/>
        </is>
      </c>
      <c r="CW324" s="239" t="inlineStr">
        <is>
          <t>0,56x</t>
        </is>
      </c>
      <c r="CX324" s="240" t="inlineStr">
        <is>
          <t>36</t>
        </is>
      </c>
      <c r="CY324" s="241" t="inlineStr">
        <is>
          <t>0,04x</t>
        </is>
      </c>
      <c r="CZ324" s="242" t="inlineStr">
        <is>
          <t>8,19%</t>
        </is>
      </c>
      <c r="DA324" s="243" t="inlineStr">
        <is>
          <t>0,56x</t>
        </is>
      </c>
      <c r="DB324" s="244" t="inlineStr">
        <is>
          <t>38</t>
        </is>
      </c>
      <c r="DC324" s="245" t="inlineStr">
        <is>
          <t/>
        </is>
      </c>
      <c r="DD324" s="246" t="inlineStr">
        <is>
          <t/>
        </is>
      </c>
      <c r="DE324" s="247" t="inlineStr">
        <is>
          <t/>
        </is>
      </c>
      <c r="DF324" s="248" t="inlineStr">
        <is>
          <t/>
        </is>
      </c>
      <c r="DG324" s="249" t="inlineStr">
        <is>
          <t>0,56x</t>
        </is>
      </c>
      <c r="DH324" s="250" t="inlineStr">
        <is>
          <t>38</t>
        </is>
      </c>
      <c r="DI324" s="251" t="inlineStr">
        <is>
          <t/>
        </is>
      </c>
      <c r="DJ324" s="252" t="inlineStr">
        <is>
          <t/>
        </is>
      </c>
      <c r="DK324" s="253" t="inlineStr">
        <is>
          <t/>
        </is>
      </c>
      <c r="DL324" s="254" t="inlineStr">
        <is>
          <t/>
        </is>
      </c>
      <c r="DM324" s="255" t="inlineStr">
        <is>
          <t/>
        </is>
      </c>
      <c r="DN324" s="256" t="inlineStr">
        <is>
          <t/>
        </is>
      </c>
      <c r="DO324" s="257" t="inlineStr">
        <is>
          <t/>
        </is>
      </c>
      <c r="DP324" s="258" t="inlineStr">
        <is>
          <t/>
        </is>
      </c>
      <c r="DQ324" s="259" t="inlineStr">
        <is>
          <t/>
        </is>
      </c>
      <c r="DR324" s="260" t="inlineStr">
        <is>
          <t/>
        </is>
      </c>
      <c r="DS324" s="261" t="inlineStr">
        <is>
          <t>19</t>
        </is>
      </c>
      <c r="DT324" s="262" t="inlineStr">
        <is>
          <t>1</t>
        </is>
      </c>
      <c r="DU324" s="263" t="inlineStr">
        <is>
          <t>5,56%</t>
        </is>
      </c>
      <c r="DV324" s="264" t="inlineStr">
        <is>
          <t/>
        </is>
      </c>
      <c r="DW324" s="265" t="inlineStr">
        <is>
          <t/>
        </is>
      </c>
      <c r="DX324" s="266" t="inlineStr">
        <is>
          <t/>
        </is>
      </c>
      <c r="DY324" s="267" t="inlineStr">
        <is>
          <t>PitchBook Research</t>
        </is>
      </c>
      <c r="DZ324" s="786">
        <f>HYPERLINK("https://my.pitchbook.com?c=170075-98", "View company online")</f>
      </c>
    </row>
    <row r="325">
      <c r="A325" s="9" t="inlineStr">
        <is>
          <t>106935-49</t>
        </is>
      </c>
      <c r="B325" s="10" t="inlineStr">
        <is>
          <t>Ogury</t>
        </is>
      </c>
      <c r="C325" s="11" t="inlineStr">
        <is>
          <t/>
        </is>
      </c>
      <c r="D325" s="12" t="inlineStr">
        <is>
          <t/>
        </is>
      </c>
      <c r="E325" s="13" t="inlineStr">
        <is>
          <t>106935-49</t>
        </is>
      </c>
      <c r="F325" s="14" t="inlineStr">
        <is>
          <t>Provider of an omniscient mobile data platform for advertisers and publishers. The company provides a mobile data platform for advertisers and publishers to activate ultra-granular proprietary mobile datasets from different global user profiles.</t>
        </is>
      </c>
      <c r="G325" s="15" t="inlineStr">
        <is>
          <t>Business Products and Services (B2B)</t>
        </is>
      </c>
      <c r="H325" s="16" t="inlineStr">
        <is>
          <t>Commercial Services</t>
        </is>
      </c>
      <c r="I325" s="17" t="inlineStr">
        <is>
          <t>Media and Information Services (B2B)</t>
        </is>
      </c>
      <c r="J325" s="18" t="inlineStr">
        <is>
          <t>Media and Information Services (B2B)*; Information Services (B2C); Other Media</t>
        </is>
      </c>
      <c r="K325" s="19" t="inlineStr">
        <is>
          <t>AdTech, Mobile</t>
        </is>
      </c>
      <c r="L325" s="20" t="inlineStr">
        <is>
          <t>Venture Capital-Backed</t>
        </is>
      </c>
      <c r="M325" s="21" t="n">
        <v>17.95</v>
      </c>
      <c r="N325" s="22" t="inlineStr">
        <is>
          <t>Profitable</t>
        </is>
      </c>
      <c r="O325" s="23" t="inlineStr">
        <is>
          <t>Privately Held (backing)</t>
        </is>
      </c>
      <c r="P325" s="24" t="inlineStr">
        <is>
          <t>Venture Capital</t>
        </is>
      </c>
      <c r="Q325" s="25" t="inlineStr">
        <is>
          <t>www.ogury.co</t>
        </is>
      </c>
      <c r="R325" s="26" t="n">
        <v>100.0</v>
      </c>
      <c r="S325" s="27" t="inlineStr">
        <is>
          <t/>
        </is>
      </c>
      <c r="T325" s="28" t="inlineStr">
        <is>
          <t/>
        </is>
      </c>
      <c r="U325" s="29" t="n">
        <v>2014.0</v>
      </c>
      <c r="V325" s="30" t="inlineStr">
        <is>
          <t/>
        </is>
      </c>
      <c r="W325" s="31" t="inlineStr">
        <is>
          <t/>
        </is>
      </c>
      <c r="X325" s="32" t="inlineStr">
        <is>
          <t/>
        </is>
      </c>
      <c r="Y325" s="33" t="inlineStr">
        <is>
          <t/>
        </is>
      </c>
      <c r="Z325" s="34" t="inlineStr">
        <is>
          <t/>
        </is>
      </c>
      <c r="AA325" s="35" t="inlineStr">
        <is>
          <t/>
        </is>
      </c>
      <c r="AB325" s="36" t="inlineStr">
        <is>
          <t/>
        </is>
      </c>
      <c r="AC325" s="37" t="inlineStr">
        <is>
          <t/>
        </is>
      </c>
      <c r="AD325" s="38" t="inlineStr">
        <is>
          <t>FY 2015</t>
        </is>
      </c>
      <c r="AE325" s="39" t="inlineStr">
        <is>
          <t>90096-58P</t>
        </is>
      </c>
      <c r="AF325" s="40" t="inlineStr">
        <is>
          <t>Jean Canzoneri</t>
        </is>
      </c>
      <c r="AG325" s="41" t="inlineStr">
        <is>
          <t>Board Member, Co-Founder &amp; Chief Executive Officer</t>
        </is>
      </c>
      <c r="AH325" s="42" t="inlineStr">
        <is>
          <t>jean.canzoneri@ogury.co</t>
        </is>
      </c>
      <c r="AI325" s="43" t="inlineStr">
        <is>
          <t>+44 (0)20 3735 5206</t>
        </is>
      </c>
      <c r="AJ325" s="44" t="inlineStr">
        <is>
          <t>London, United Kingdom</t>
        </is>
      </c>
      <c r="AK325" s="45" t="inlineStr">
        <is>
          <t>22 Highbury Grove</t>
        </is>
      </c>
      <c r="AL325" s="46" t="inlineStr">
        <is>
          <t/>
        </is>
      </c>
      <c r="AM325" s="47" t="inlineStr">
        <is>
          <t>London</t>
        </is>
      </c>
      <c r="AN325" s="48" t="inlineStr">
        <is>
          <t>England</t>
        </is>
      </c>
      <c r="AO325" s="49" t="inlineStr">
        <is>
          <t>N5 2EF</t>
        </is>
      </c>
      <c r="AP325" s="50" t="inlineStr">
        <is>
          <t>United Kingdom</t>
        </is>
      </c>
      <c r="AQ325" s="51" t="inlineStr">
        <is>
          <t>+44 (0)20 3735 5206</t>
        </is>
      </c>
      <c r="AR325" s="52" t="inlineStr">
        <is>
          <t/>
        </is>
      </c>
      <c r="AS325" s="53" t="inlineStr">
        <is>
          <t>contact-london@ogury.co</t>
        </is>
      </c>
      <c r="AT325" s="54" t="inlineStr">
        <is>
          <t>Europe</t>
        </is>
      </c>
      <c r="AU325" s="55" t="inlineStr">
        <is>
          <t>Western Europe</t>
        </is>
      </c>
      <c r="AV325" s="56" t="inlineStr">
        <is>
          <t>The company raised $15 million of Series B venture funding led by Idinvest Partners on September 6, 2016. Ventech, CoVent Partners and ACG also participated. The company intends to use the funds to accelerate international expansion, with a New York office opening later this month and to invest in technology, R&amp;D and recruitment.</t>
        </is>
      </c>
      <c r="AW325" s="57" t="inlineStr">
        <is>
          <t>Airtek Capital Group, CoVent Partners, IdInvest Partners, Ventech</t>
        </is>
      </c>
      <c r="AX325" s="58" t="n">
        <v>4.0</v>
      </c>
      <c r="AY325" s="59" t="inlineStr">
        <is>
          <t/>
        </is>
      </c>
      <c r="AZ325" s="60" t="inlineStr">
        <is>
          <t/>
        </is>
      </c>
      <c r="BA325" s="61" t="inlineStr">
        <is>
          <t/>
        </is>
      </c>
      <c r="BB325" s="62" t="inlineStr">
        <is>
          <t>Airtek Capital Group (www.acgeu.com), CoVent Partners (www.coventpartners.com), IdInvest Partners (www.idinvest.com), Ventech (www.ventechvc.com)</t>
        </is>
      </c>
      <c r="BC325" s="63" t="inlineStr">
        <is>
          <t/>
        </is>
      </c>
      <c r="BD325" s="64" t="inlineStr">
        <is>
          <t/>
        </is>
      </c>
      <c r="BE325" s="65" t="inlineStr">
        <is>
          <t>Cooley (Legal Advisor)</t>
        </is>
      </c>
      <c r="BF325" s="66" t="inlineStr">
        <is>
          <t>Cooley (Legal Advisor), Cambon Partners (Advisor)</t>
        </is>
      </c>
      <c r="BG325" s="67" t="n">
        <v>41699.0</v>
      </c>
      <c r="BH325" s="68" t="n">
        <v>1.52</v>
      </c>
      <c r="BI325" s="69" t="inlineStr">
        <is>
          <t>Actual</t>
        </is>
      </c>
      <c r="BJ325" s="70" t="inlineStr">
        <is>
          <t/>
        </is>
      </c>
      <c r="BK325" s="71" t="inlineStr">
        <is>
          <t/>
        </is>
      </c>
      <c r="BL325" s="72" t="inlineStr">
        <is>
          <t>Seed Round</t>
        </is>
      </c>
      <c r="BM325" s="73" t="inlineStr">
        <is>
          <t>Seed</t>
        </is>
      </c>
      <c r="BN325" s="74" t="inlineStr">
        <is>
          <t/>
        </is>
      </c>
      <c r="BO325" s="75" t="inlineStr">
        <is>
          <t>Venture Capital</t>
        </is>
      </c>
      <c r="BP325" s="76" t="inlineStr">
        <is>
          <t/>
        </is>
      </c>
      <c r="BQ325" s="77" t="inlineStr">
        <is>
          <t/>
        </is>
      </c>
      <c r="BR325" s="78" t="inlineStr">
        <is>
          <t/>
        </is>
      </c>
      <c r="BS325" s="79" t="inlineStr">
        <is>
          <t>Completed</t>
        </is>
      </c>
      <c r="BT325" s="80" t="n">
        <v>42619.0</v>
      </c>
      <c r="BU325" s="81" t="n">
        <v>13.39</v>
      </c>
      <c r="BV325" s="82" t="inlineStr">
        <is>
          <t>Actual</t>
        </is>
      </c>
      <c r="BW325" s="83" t="inlineStr">
        <is>
          <t/>
        </is>
      </c>
      <c r="BX325" s="84" t="inlineStr">
        <is>
          <t/>
        </is>
      </c>
      <c r="BY325" s="85" t="inlineStr">
        <is>
          <t>Early Stage VC</t>
        </is>
      </c>
      <c r="BZ325" s="86" t="inlineStr">
        <is>
          <t>Series B</t>
        </is>
      </c>
      <c r="CA325" s="87" t="inlineStr">
        <is>
          <t/>
        </is>
      </c>
      <c r="CB325" s="88" t="inlineStr">
        <is>
          <t>Venture Capital</t>
        </is>
      </c>
      <c r="CC325" s="89" t="inlineStr">
        <is>
          <t/>
        </is>
      </c>
      <c r="CD325" s="90" t="inlineStr">
        <is>
          <t/>
        </is>
      </c>
      <c r="CE325" s="91" t="inlineStr">
        <is>
          <t/>
        </is>
      </c>
      <c r="CF325" s="92" t="inlineStr">
        <is>
          <t>Completed</t>
        </is>
      </c>
      <c r="CG325" s="93" t="inlineStr">
        <is>
          <t>-2,79%</t>
        </is>
      </c>
      <c r="CH325" s="94" t="inlineStr">
        <is>
          <t>2</t>
        </is>
      </c>
      <c r="CI325" s="95" t="inlineStr">
        <is>
          <t>0,03%</t>
        </is>
      </c>
      <c r="CJ325" s="96" t="inlineStr">
        <is>
          <t>1,21%</t>
        </is>
      </c>
      <c r="CK325" s="97" t="inlineStr">
        <is>
          <t>-5,59%</t>
        </is>
      </c>
      <c r="CL325" s="98" t="inlineStr">
        <is>
          <t>1</t>
        </is>
      </c>
      <c r="CM325" s="99" t="inlineStr">
        <is>
          <t>0,01%</t>
        </is>
      </c>
      <c r="CN325" s="100" t="inlineStr">
        <is>
          <t>44</t>
        </is>
      </c>
      <c r="CO325" s="101" t="inlineStr">
        <is>
          <t>-12,33%</t>
        </is>
      </c>
      <c r="CP325" s="102" t="inlineStr">
        <is>
          <t>1</t>
        </is>
      </c>
      <c r="CQ325" s="103" t="inlineStr">
        <is>
          <t>1,14%</t>
        </is>
      </c>
      <c r="CR325" s="104" t="inlineStr">
        <is>
          <t>89</t>
        </is>
      </c>
      <c r="CS325" s="105" t="inlineStr">
        <is>
          <t/>
        </is>
      </c>
      <c r="CT325" s="106" t="inlineStr">
        <is>
          <t/>
        </is>
      </c>
      <c r="CU325" s="107" t="inlineStr">
        <is>
          <t>0,01%</t>
        </is>
      </c>
      <c r="CV325" s="108" t="inlineStr">
        <is>
          <t>56</t>
        </is>
      </c>
      <c r="CW325" s="109" t="inlineStr">
        <is>
          <t>3,45x</t>
        </is>
      </c>
      <c r="CX325" s="110" t="inlineStr">
        <is>
          <t>74</t>
        </is>
      </c>
      <c r="CY325" s="111" t="inlineStr">
        <is>
          <t>0,08x</t>
        </is>
      </c>
      <c r="CZ325" s="112" t="inlineStr">
        <is>
          <t>2,29%</t>
        </is>
      </c>
      <c r="DA325" s="113" t="inlineStr">
        <is>
          <t>3,74x</t>
        </is>
      </c>
      <c r="DB325" s="114" t="inlineStr">
        <is>
          <t>76</t>
        </is>
      </c>
      <c r="DC325" s="115" t="inlineStr">
        <is>
          <t>3,15x</t>
        </is>
      </c>
      <c r="DD325" s="116" t="inlineStr">
        <is>
          <t>69</t>
        </is>
      </c>
      <c r="DE325" s="117" t="inlineStr">
        <is>
          <t>3,57x</t>
        </is>
      </c>
      <c r="DF325" s="118" t="inlineStr">
        <is>
          <t>72</t>
        </is>
      </c>
      <c r="DG325" s="119" t="inlineStr">
        <is>
          <t>3,92x</t>
        </is>
      </c>
      <c r="DH325" s="120" t="inlineStr">
        <is>
          <t>75</t>
        </is>
      </c>
      <c r="DI325" s="121" t="inlineStr">
        <is>
          <t/>
        </is>
      </c>
      <c r="DJ325" s="122" t="inlineStr">
        <is>
          <t/>
        </is>
      </c>
      <c r="DK325" s="123" t="inlineStr">
        <is>
          <t>3,15x</t>
        </is>
      </c>
      <c r="DL325" s="124" t="inlineStr">
        <is>
          <t>71</t>
        </is>
      </c>
      <c r="DM325" s="125" t="inlineStr">
        <is>
          <t>2.251</t>
        </is>
      </c>
      <c r="DN325" s="126" t="inlineStr">
        <is>
          <t>-166</t>
        </is>
      </c>
      <c r="DO325" s="127" t="inlineStr">
        <is>
          <t>-6,87%</t>
        </is>
      </c>
      <c r="DP325" s="128" t="inlineStr">
        <is>
          <t/>
        </is>
      </c>
      <c r="DQ325" s="129" t="inlineStr">
        <is>
          <t/>
        </is>
      </c>
      <c r="DR325" s="130" t="inlineStr">
        <is>
          <t/>
        </is>
      </c>
      <c r="DS325" s="131" t="inlineStr">
        <is>
          <t>140</t>
        </is>
      </c>
      <c r="DT325" s="132" t="inlineStr">
        <is>
          <t>1</t>
        </is>
      </c>
      <c r="DU325" s="133" t="inlineStr">
        <is>
          <t>0,72%</t>
        </is>
      </c>
      <c r="DV325" s="134" t="inlineStr">
        <is>
          <t>1.080</t>
        </is>
      </c>
      <c r="DW325" s="135" t="inlineStr">
        <is>
          <t>5</t>
        </is>
      </c>
      <c r="DX325" s="136" t="inlineStr">
        <is>
          <t>0,47%</t>
        </is>
      </c>
      <c r="DY325" s="137" t="inlineStr">
        <is>
          <t>PitchBook Research</t>
        </is>
      </c>
      <c r="DZ325" s="785">
        <f>HYPERLINK("https://my.pitchbook.com?c=106935-49", "View company online")</f>
      </c>
    </row>
    <row r="326">
      <c r="A326" s="139" t="inlineStr">
        <is>
          <t>167431-69</t>
        </is>
      </c>
      <c r="B326" s="140" t="inlineStr">
        <is>
          <t>Oh My Cream</t>
        </is>
      </c>
      <c r="C326" s="141" t="inlineStr">
        <is>
          <t/>
        </is>
      </c>
      <c r="D326" s="142" t="inlineStr">
        <is>
          <t>OMC</t>
        </is>
      </c>
      <c r="E326" s="143" t="inlineStr">
        <is>
          <t>167431-69</t>
        </is>
      </c>
      <c r="F326" s="144" t="inlineStr">
        <is>
          <t>Owner and operator of an online retail store selling cosmetics. The designs and develops an online software platform and concept beauty store that offers information about skin care and use of skin care cosmetics.</t>
        </is>
      </c>
      <c r="G326" s="145" t="inlineStr">
        <is>
          <t>Consumer Products and Services (B2C)</t>
        </is>
      </c>
      <c r="H326" s="146" t="inlineStr">
        <is>
          <t>Retail</t>
        </is>
      </c>
      <c r="I326" s="147" t="inlineStr">
        <is>
          <t>Internet Retail</t>
        </is>
      </c>
      <c r="J326" s="148" t="inlineStr">
        <is>
          <t>Internet Retail*; Social/Platform Software</t>
        </is>
      </c>
      <c r="K326" s="149" t="inlineStr">
        <is>
          <t>E-Commerce</t>
        </is>
      </c>
      <c r="L326" s="150" t="inlineStr">
        <is>
          <t>Venture Capital-Backed</t>
        </is>
      </c>
      <c r="M326" s="151" t="n">
        <v>6.0</v>
      </c>
      <c r="N326" s="152" t="inlineStr">
        <is>
          <t>Startup</t>
        </is>
      </c>
      <c r="O326" s="153" t="inlineStr">
        <is>
          <t>Privately Held (backing)</t>
        </is>
      </c>
      <c r="P326" s="154" t="inlineStr">
        <is>
          <t>Venture Capital</t>
        </is>
      </c>
      <c r="Q326" s="155" t="inlineStr">
        <is>
          <t>www.ohmycream.com</t>
        </is>
      </c>
      <c r="R326" s="156" t="n">
        <v>3.0</v>
      </c>
      <c r="S326" s="157" t="inlineStr">
        <is>
          <t/>
        </is>
      </c>
      <c r="T326" s="158" t="inlineStr">
        <is>
          <t/>
        </is>
      </c>
      <c r="U326" s="159" t="n">
        <v>2012.0</v>
      </c>
      <c r="V326" s="160" t="inlineStr">
        <is>
          <t/>
        </is>
      </c>
      <c r="W326" s="161" t="inlineStr">
        <is>
          <t/>
        </is>
      </c>
      <c r="X326" s="162" t="inlineStr">
        <is>
          <t/>
        </is>
      </c>
      <c r="Y326" s="163" t="inlineStr">
        <is>
          <t/>
        </is>
      </c>
      <c r="Z326" s="164" t="inlineStr">
        <is>
          <t/>
        </is>
      </c>
      <c r="AA326" s="165" t="inlineStr">
        <is>
          <t/>
        </is>
      </c>
      <c r="AB326" s="166" t="inlineStr">
        <is>
          <t/>
        </is>
      </c>
      <c r="AC326" s="167" t="inlineStr">
        <is>
          <t/>
        </is>
      </c>
      <c r="AD326" s="168" t="inlineStr">
        <is>
          <t/>
        </is>
      </c>
      <c r="AE326" s="169" t="inlineStr">
        <is>
          <t>148261-60P</t>
        </is>
      </c>
      <c r="AF326" s="170" t="inlineStr">
        <is>
          <t>Juliette Levy</t>
        </is>
      </c>
      <c r="AG326" s="171" t="inlineStr">
        <is>
          <t>Founder &amp; Chief Executive Officer</t>
        </is>
      </c>
      <c r="AH326" s="172" t="inlineStr">
        <is>
          <t>jlevy@ohmycream.com</t>
        </is>
      </c>
      <c r="AI326" s="173" t="inlineStr">
        <is>
          <t>+33 (0)1 43 54 80 83</t>
        </is>
      </c>
      <c r="AJ326" s="174" t="inlineStr">
        <is>
          <t>Paris, France</t>
        </is>
      </c>
      <c r="AK326" s="175" t="inlineStr">
        <is>
          <t>5 rue d'Aguesseau</t>
        </is>
      </c>
      <c r="AL326" s="176" t="inlineStr">
        <is>
          <t/>
        </is>
      </c>
      <c r="AM326" s="177" t="inlineStr">
        <is>
          <t>Paris</t>
        </is>
      </c>
      <c r="AN326" s="178" t="inlineStr">
        <is>
          <t/>
        </is>
      </c>
      <c r="AO326" s="179" t="inlineStr">
        <is>
          <t>75008</t>
        </is>
      </c>
      <c r="AP326" s="180" t="inlineStr">
        <is>
          <t>France</t>
        </is>
      </c>
      <c r="AQ326" s="181" t="inlineStr">
        <is>
          <t>+33 (0)1 43 54 80 83</t>
        </is>
      </c>
      <c r="AR326" s="182" t="inlineStr">
        <is>
          <t/>
        </is>
      </c>
      <c r="AS326" s="183" t="inlineStr">
        <is>
          <t>contact@ohmycream.com</t>
        </is>
      </c>
      <c r="AT326" s="184" t="inlineStr">
        <is>
          <t>Europe</t>
        </is>
      </c>
      <c r="AU326" s="185" t="inlineStr">
        <is>
          <t>Western Europe</t>
        </is>
      </c>
      <c r="AV326" s="186" t="inlineStr">
        <is>
          <t>The company raised EUR 6 million of venture funding from Otium Capital on October 20, 2016. The company intends to use the funding to deploy its omni channel via its website and in its own name retail network and also to increase the number of outlets.</t>
        </is>
      </c>
      <c r="AW326" s="187" t="inlineStr">
        <is>
          <t>CapInvest, Otium</t>
        </is>
      </c>
      <c r="AX326" s="188" t="n">
        <v>2.0</v>
      </c>
      <c r="AY326" s="189" t="inlineStr">
        <is>
          <t/>
        </is>
      </c>
      <c r="AZ326" s="190" t="inlineStr">
        <is>
          <t/>
        </is>
      </c>
      <c r="BA326" s="191" t="inlineStr">
        <is>
          <t/>
        </is>
      </c>
      <c r="BB326" s="192" t="inlineStr">
        <is>
          <t>Otium (www.otium.fr)</t>
        </is>
      </c>
      <c r="BC326" s="193" t="inlineStr">
        <is>
          <t/>
        </is>
      </c>
      <c r="BD326" s="194" t="inlineStr">
        <is>
          <t/>
        </is>
      </c>
      <c r="BE326" s="195" t="inlineStr">
        <is>
          <t/>
        </is>
      </c>
      <c r="BF326" s="196" t="inlineStr">
        <is>
          <t/>
        </is>
      </c>
      <c r="BG326" s="197" t="inlineStr">
        <is>
          <t/>
        </is>
      </c>
      <c r="BH326" s="198" t="inlineStr">
        <is>
          <t/>
        </is>
      </c>
      <c r="BI326" s="199" t="inlineStr">
        <is>
          <t/>
        </is>
      </c>
      <c r="BJ326" s="200" t="inlineStr">
        <is>
          <t/>
        </is>
      </c>
      <c r="BK326" s="201" t="inlineStr">
        <is>
          <t/>
        </is>
      </c>
      <c r="BL326" s="202" t="inlineStr">
        <is>
          <t>Angel (individual)</t>
        </is>
      </c>
      <c r="BM326" s="203" t="inlineStr">
        <is>
          <t>Angel</t>
        </is>
      </c>
      <c r="BN326" s="204" t="inlineStr">
        <is>
          <t/>
        </is>
      </c>
      <c r="BO326" s="205" t="inlineStr">
        <is>
          <t>Individual</t>
        </is>
      </c>
      <c r="BP326" s="206" t="inlineStr">
        <is>
          <t/>
        </is>
      </c>
      <c r="BQ326" s="207" t="inlineStr">
        <is>
          <t/>
        </is>
      </c>
      <c r="BR326" s="208" t="inlineStr">
        <is>
          <t/>
        </is>
      </c>
      <c r="BS326" s="209" t="inlineStr">
        <is>
          <t>Completed</t>
        </is>
      </c>
      <c r="BT326" s="210" t="n">
        <v>42663.0</v>
      </c>
      <c r="BU326" s="211" t="n">
        <v>6.0</v>
      </c>
      <c r="BV326" s="212" t="inlineStr">
        <is>
          <t>Actual</t>
        </is>
      </c>
      <c r="BW326" s="213" t="inlineStr">
        <is>
          <t/>
        </is>
      </c>
      <c r="BX326" s="214" t="inlineStr">
        <is>
          <t/>
        </is>
      </c>
      <c r="BY326" s="215" t="inlineStr">
        <is>
          <t>Early Stage VC</t>
        </is>
      </c>
      <c r="BZ326" s="216" t="inlineStr">
        <is>
          <t/>
        </is>
      </c>
      <c r="CA326" s="217" t="inlineStr">
        <is>
          <t/>
        </is>
      </c>
      <c r="CB326" s="218" t="inlineStr">
        <is>
          <t>Venture Capital</t>
        </is>
      </c>
      <c r="CC326" s="219" t="inlineStr">
        <is>
          <t/>
        </is>
      </c>
      <c r="CD326" s="220" t="inlineStr">
        <is>
          <t/>
        </is>
      </c>
      <c r="CE326" s="221" t="inlineStr">
        <is>
          <t/>
        </is>
      </c>
      <c r="CF326" s="222" t="inlineStr">
        <is>
          <t>Completed</t>
        </is>
      </c>
      <c r="CG326" s="223" t="inlineStr">
        <is>
          <t>-0,15%</t>
        </is>
      </c>
      <c r="CH326" s="224" t="inlineStr">
        <is>
          <t>13</t>
        </is>
      </c>
      <c r="CI326" s="225" t="inlineStr">
        <is>
          <t>0,06%</t>
        </is>
      </c>
      <c r="CJ326" s="226" t="inlineStr">
        <is>
          <t>27,62%</t>
        </is>
      </c>
      <c r="CK326" s="227" t="inlineStr">
        <is>
          <t>-1,30%</t>
        </is>
      </c>
      <c r="CL326" s="228" t="inlineStr">
        <is>
          <t>7</t>
        </is>
      </c>
      <c r="CM326" s="229" t="inlineStr">
        <is>
          <t>1,00%</t>
        </is>
      </c>
      <c r="CN326" s="230" t="inlineStr">
        <is>
          <t>96</t>
        </is>
      </c>
      <c r="CO326" s="231" t="inlineStr">
        <is>
          <t>-2,47%</t>
        </is>
      </c>
      <c r="CP326" s="232" t="inlineStr">
        <is>
          <t>14</t>
        </is>
      </c>
      <c r="CQ326" s="233" t="inlineStr">
        <is>
          <t>-0,13%</t>
        </is>
      </c>
      <c r="CR326" s="234" t="inlineStr">
        <is>
          <t>11</t>
        </is>
      </c>
      <c r="CS326" s="235" t="inlineStr">
        <is>
          <t>1,00%</t>
        </is>
      </c>
      <c r="CT326" s="236" t="inlineStr">
        <is>
          <t>95</t>
        </is>
      </c>
      <c r="CU326" s="237" t="inlineStr">
        <is>
          <t/>
        </is>
      </c>
      <c r="CV326" s="238" t="inlineStr">
        <is>
          <t/>
        </is>
      </c>
      <c r="CW326" s="239" t="inlineStr">
        <is>
          <t>28,00x</t>
        </is>
      </c>
      <c r="CX326" s="240" t="inlineStr">
        <is>
          <t>93</t>
        </is>
      </c>
      <c r="CY326" s="241" t="inlineStr">
        <is>
          <t>0,74x</t>
        </is>
      </c>
      <c r="CZ326" s="242" t="inlineStr">
        <is>
          <t>2,70%</t>
        </is>
      </c>
      <c r="DA326" s="243" t="inlineStr">
        <is>
          <t>18,00x</t>
        </is>
      </c>
      <c r="DB326" s="244" t="inlineStr">
        <is>
          <t>92</t>
        </is>
      </c>
      <c r="DC326" s="245" t="inlineStr">
        <is>
          <t>38,00x</t>
        </is>
      </c>
      <c r="DD326" s="246" t="inlineStr">
        <is>
          <t>93</t>
        </is>
      </c>
      <c r="DE326" s="247" t="inlineStr">
        <is>
          <t>23,09x</t>
        </is>
      </c>
      <c r="DF326" s="248" t="inlineStr">
        <is>
          <t>89</t>
        </is>
      </c>
      <c r="DG326" s="249" t="inlineStr">
        <is>
          <t>12,92x</t>
        </is>
      </c>
      <c r="DH326" s="250" t="inlineStr">
        <is>
          <t>89</t>
        </is>
      </c>
      <c r="DI326" s="251" t="inlineStr">
        <is>
          <t>38,00x</t>
        </is>
      </c>
      <c r="DJ326" s="252" t="inlineStr">
        <is>
          <t>91</t>
        </is>
      </c>
      <c r="DK326" s="253" t="inlineStr">
        <is>
          <t/>
        </is>
      </c>
      <c r="DL326" s="254" t="inlineStr">
        <is>
          <t/>
        </is>
      </c>
      <c r="DM326" s="255" t="inlineStr">
        <is>
          <t>14.299</t>
        </is>
      </c>
      <c r="DN326" s="256" t="inlineStr">
        <is>
          <t>-304</t>
        </is>
      </c>
      <c r="DO326" s="257" t="inlineStr">
        <is>
          <t>-2,08%</t>
        </is>
      </c>
      <c r="DP326" s="258" t="inlineStr">
        <is>
          <t>30.174</t>
        </is>
      </c>
      <c r="DQ326" s="259" t="inlineStr">
        <is>
          <t>433</t>
        </is>
      </c>
      <c r="DR326" s="260" t="inlineStr">
        <is>
          <t>1,46%</t>
        </is>
      </c>
      <c r="DS326" s="261" t="inlineStr">
        <is>
          <t>466</t>
        </is>
      </c>
      <c r="DT326" s="262" t="inlineStr">
        <is>
          <t>-3</t>
        </is>
      </c>
      <c r="DU326" s="263" t="inlineStr">
        <is>
          <t>-0,64%</t>
        </is>
      </c>
      <c r="DV326" s="264" t="inlineStr">
        <is>
          <t/>
        </is>
      </c>
      <c r="DW326" s="265" t="inlineStr">
        <is>
          <t/>
        </is>
      </c>
      <c r="DX326" s="266" t="inlineStr">
        <is>
          <t/>
        </is>
      </c>
      <c r="DY326" s="267" t="inlineStr">
        <is>
          <t>PitchBook Research</t>
        </is>
      </c>
      <c r="DZ326" s="786">
        <f>HYPERLINK("https://my.pitchbook.com?c=167431-69", "View company online")</f>
      </c>
    </row>
    <row r="327">
      <c r="A327" s="9" t="inlineStr">
        <is>
          <t>149092-39</t>
        </is>
      </c>
      <c r="B327" s="10" t="inlineStr">
        <is>
          <t>Olly (electronics)</t>
        </is>
      </c>
      <c r="C327" s="11" t="inlineStr">
        <is>
          <t/>
        </is>
      </c>
      <c r="D327" s="12" t="inlineStr">
        <is>
          <t/>
        </is>
      </c>
      <c r="E327" s="13" t="inlineStr">
        <is>
          <t>149092-39</t>
        </is>
      </c>
      <c r="F327" s="14" t="inlineStr">
        <is>
          <t>Developer of a virtual assistant personal robot. The company develops a robot with human brain-inspired artificial intelligence (AI) which offers natural interactions and has a personality which evolves based on its interactions.</t>
        </is>
      </c>
      <c r="G327" s="15" t="inlineStr">
        <is>
          <t>Consumer Products and Services (B2C)</t>
        </is>
      </c>
      <c r="H327" s="16" t="inlineStr">
        <is>
          <t>Other Consumer Products and Services</t>
        </is>
      </c>
      <c r="I327" s="17" t="inlineStr">
        <is>
          <t>Other Consumer Products and Services</t>
        </is>
      </c>
      <c r="J327" s="18" t="inlineStr">
        <is>
          <t>Other Consumer Products and Services*; Electronics (B2C)</t>
        </is>
      </c>
      <c r="K327" s="19" t="inlineStr">
        <is>
          <t>Robotics and Drones</t>
        </is>
      </c>
      <c r="L327" s="20" t="inlineStr">
        <is>
          <t>Venture Capital-Backed</t>
        </is>
      </c>
      <c r="M327" s="21" t="n">
        <v>9.62</v>
      </c>
      <c r="N327" s="22" t="inlineStr">
        <is>
          <t>Startup</t>
        </is>
      </c>
      <c r="O327" s="23" t="inlineStr">
        <is>
          <t>Privately Held (backing)</t>
        </is>
      </c>
      <c r="P327" s="24" t="inlineStr">
        <is>
          <t>Venture Capital</t>
        </is>
      </c>
      <c r="Q327" s="25" t="inlineStr">
        <is>
          <t>www.heyolly.com</t>
        </is>
      </c>
      <c r="R327" s="26" t="n">
        <v>12.0</v>
      </c>
      <c r="S327" s="27" t="inlineStr">
        <is>
          <t/>
        </is>
      </c>
      <c r="T327" s="28" t="inlineStr">
        <is>
          <t/>
        </is>
      </c>
      <c r="U327" s="29" t="n">
        <v>2015.0</v>
      </c>
      <c r="V327" s="30" t="inlineStr">
        <is>
          <t/>
        </is>
      </c>
      <c r="W327" s="31" t="inlineStr">
        <is>
          <t/>
        </is>
      </c>
      <c r="X327" s="32" t="inlineStr">
        <is>
          <t/>
        </is>
      </c>
      <c r="Y327" s="33" t="inlineStr">
        <is>
          <t/>
        </is>
      </c>
      <c r="Z327" s="34" t="inlineStr">
        <is>
          <t/>
        </is>
      </c>
      <c r="AA327" s="35" t="inlineStr">
        <is>
          <t/>
        </is>
      </c>
      <c r="AB327" s="36" t="inlineStr">
        <is>
          <t/>
        </is>
      </c>
      <c r="AC327" s="37" t="inlineStr">
        <is>
          <t/>
        </is>
      </c>
      <c r="AD327" s="38" t="inlineStr">
        <is>
          <t/>
        </is>
      </c>
      <c r="AE327" s="39" t="inlineStr">
        <is>
          <t>122169-07P</t>
        </is>
      </c>
      <c r="AF327" s="40" t="inlineStr">
        <is>
          <t>Hongbin Zhuang</t>
        </is>
      </c>
      <c r="AG327" s="41" t="inlineStr">
        <is>
          <t>Co-Founder, Board Member &amp; Chief Executive Officer</t>
        </is>
      </c>
      <c r="AH327" s="42" t="inlineStr">
        <is>
          <t/>
        </is>
      </c>
      <c r="AI327" s="43" t="inlineStr">
        <is>
          <t/>
        </is>
      </c>
      <c r="AJ327" s="44" t="inlineStr">
        <is>
          <t>London, United Kingdom</t>
        </is>
      </c>
      <c r="AK327" s="45" t="inlineStr">
        <is>
          <t>Central Working Shoreditch 6-8</t>
        </is>
      </c>
      <c r="AL327" s="46" t="inlineStr">
        <is>
          <t>Bonhill Street</t>
        </is>
      </c>
      <c r="AM327" s="47" t="inlineStr">
        <is>
          <t>London</t>
        </is>
      </c>
      <c r="AN327" s="48" t="inlineStr">
        <is>
          <t>England</t>
        </is>
      </c>
      <c r="AO327" s="49" t="inlineStr">
        <is>
          <t>EC2A 4BX</t>
        </is>
      </c>
      <c r="AP327" s="50" t="inlineStr">
        <is>
          <t>United Kingdom</t>
        </is>
      </c>
      <c r="AQ327" s="51" t="inlineStr">
        <is>
          <t/>
        </is>
      </c>
      <c r="AR327" s="52" t="inlineStr">
        <is>
          <t/>
        </is>
      </c>
      <c r="AS327" s="53" t="inlineStr">
        <is>
          <t>c@emotech.co</t>
        </is>
      </c>
      <c r="AT327" s="54" t="inlineStr">
        <is>
          <t>Europe</t>
        </is>
      </c>
      <c r="AU327" s="55" t="inlineStr">
        <is>
          <t>Western Europe</t>
        </is>
      </c>
      <c r="AV327" s="56" t="inlineStr">
        <is>
          <t>The company raised $10 million of Series A venture funding in a deal led by Lightning Capital on August 9, 2016. Alliance Capital also participated in this round. The funds will be used for development of prototype robot assistant. The company is being actively tracked by PitchBook. Earlier this year they were planning to raise $100,000 of product crowdfunding via Kickstarter in but decided to postpone until 2017.</t>
        </is>
      </c>
      <c r="AW327" s="57" t="inlineStr">
        <is>
          <t>Alliance Capital, Lightning Capital</t>
        </is>
      </c>
      <c r="AX327" s="58" t="n">
        <v>2.0</v>
      </c>
      <c r="AY327" s="59" t="inlineStr">
        <is>
          <t/>
        </is>
      </c>
      <c r="AZ327" s="60" t="inlineStr">
        <is>
          <t/>
        </is>
      </c>
      <c r="BA327" s="61" t="inlineStr">
        <is>
          <t/>
        </is>
      </c>
      <c r="BB327" s="62" t="inlineStr">
        <is>
          <t>Alliance Capital (acap.com.cn)</t>
        </is>
      </c>
      <c r="BC327" s="63" t="inlineStr">
        <is>
          <t/>
        </is>
      </c>
      <c r="BD327" s="64" t="inlineStr">
        <is>
          <t/>
        </is>
      </c>
      <c r="BE327" s="65" t="inlineStr">
        <is>
          <t/>
        </is>
      </c>
      <c r="BF327" s="66" t="inlineStr">
        <is>
          <t>Kickstarter (Lead Manager or Arranger)</t>
        </is>
      </c>
      <c r="BG327" s="67" t="n">
        <v>42121.0</v>
      </c>
      <c r="BH327" s="68" t="n">
        <v>0.69</v>
      </c>
      <c r="BI327" s="69" t="inlineStr">
        <is>
          <t>Actual</t>
        </is>
      </c>
      <c r="BJ327" s="70" t="inlineStr">
        <is>
          <t/>
        </is>
      </c>
      <c r="BK327" s="71" t="inlineStr">
        <is>
          <t/>
        </is>
      </c>
      <c r="BL327" s="72" t="inlineStr">
        <is>
          <t>Angel (individual)</t>
        </is>
      </c>
      <c r="BM327" s="73" t="inlineStr">
        <is>
          <t>Angel</t>
        </is>
      </c>
      <c r="BN327" s="74" t="inlineStr">
        <is>
          <t/>
        </is>
      </c>
      <c r="BO327" s="75" t="inlineStr">
        <is>
          <t>Individual</t>
        </is>
      </c>
      <c r="BP327" s="76" t="inlineStr">
        <is>
          <t/>
        </is>
      </c>
      <c r="BQ327" s="77" t="inlineStr">
        <is>
          <t/>
        </is>
      </c>
      <c r="BR327" s="78" t="inlineStr">
        <is>
          <t/>
        </is>
      </c>
      <c r="BS327" s="79" t="inlineStr">
        <is>
          <t>Completed</t>
        </is>
      </c>
      <c r="BT327" s="80" t="n">
        <v>42591.0</v>
      </c>
      <c r="BU327" s="81" t="n">
        <v>8.93</v>
      </c>
      <c r="BV327" s="82" t="inlineStr">
        <is>
          <t>Actual</t>
        </is>
      </c>
      <c r="BW327" s="83" t="inlineStr">
        <is>
          <t/>
        </is>
      </c>
      <c r="BX327" s="84" t="inlineStr">
        <is>
          <t/>
        </is>
      </c>
      <c r="BY327" s="85" t="inlineStr">
        <is>
          <t>Early Stage VC</t>
        </is>
      </c>
      <c r="BZ327" s="86" t="inlineStr">
        <is>
          <t>Series A</t>
        </is>
      </c>
      <c r="CA327" s="87" t="inlineStr">
        <is>
          <t/>
        </is>
      </c>
      <c r="CB327" s="88" t="inlineStr">
        <is>
          <t>Venture Capital</t>
        </is>
      </c>
      <c r="CC327" s="89" t="inlineStr">
        <is>
          <t/>
        </is>
      </c>
      <c r="CD327" s="90" t="inlineStr">
        <is>
          <t/>
        </is>
      </c>
      <c r="CE327" s="91" t="inlineStr">
        <is>
          <t/>
        </is>
      </c>
      <c r="CF327" s="92" t="inlineStr">
        <is>
          <t>Completed</t>
        </is>
      </c>
      <c r="CG327" s="93" t="inlineStr">
        <is>
          <t>7,28%</t>
        </is>
      </c>
      <c r="CH327" s="94" t="inlineStr">
        <is>
          <t>99</t>
        </is>
      </c>
      <c r="CI327" s="95" t="inlineStr">
        <is>
          <t>1,48%</t>
        </is>
      </c>
      <c r="CJ327" s="96" t="inlineStr">
        <is>
          <t>25,47%</t>
        </is>
      </c>
      <c r="CK327" s="97" t="inlineStr">
        <is>
          <t>0,06%</t>
        </is>
      </c>
      <c r="CL327" s="98" t="inlineStr">
        <is>
          <t>80</t>
        </is>
      </c>
      <c r="CM327" s="99" t="inlineStr">
        <is>
          <t>14,51%</t>
        </is>
      </c>
      <c r="CN327" s="100" t="inlineStr">
        <is>
          <t>100</t>
        </is>
      </c>
      <c r="CO327" s="101" t="inlineStr">
        <is>
          <t>0,12%</t>
        </is>
      </c>
      <c r="CP327" s="102" t="inlineStr">
        <is>
          <t>79</t>
        </is>
      </c>
      <c r="CQ327" s="103" t="inlineStr">
        <is>
          <t>0,00%</t>
        </is>
      </c>
      <c r="CR327" s="104" t="inlineStr">
        <is>
          <t>13</t>
        </is>
      </c>
      <c r="CS327" s="105" t="inlineStr">
        <is>
          <t>28,66%</t>
        </is>
      </c>
      <c r="CT327" s="106" t="inlineStr">
        <is>
          <t>100</t>
        </is>
      </c>
      <c r="CU327" s="107" t="inlineStr">
        <is>
          <t>0,35%</t>
        </is>
      </c>
      <c r="CV327" s="108" t="inlineStr">
        <is>
          <t>87</t>
        </is>
      </c>
      <c r="CW327" s="109" t="inlineStr">
        <is>
          <t>6,88x</t>
        </is>
      </c>
      <c r="CX327" s="110" t="inlineStr">
        <is>
          <t>83</t>
        </is>
      </c>
      <c r="CY327" s="111" t="inlineStr">
        <is>
          <t>1,72x</t>
        </is>
      </c>
      <c r="CZ327" s="112" t="inlineStr">
        <is>
          <t>33,31%</t>
        </is>
      </c>
      <c r="DA327" s="113" t="inlineStr">
        <is>
          <t>2,60x</t>
        </is>
      </c>
      <c r="DB327" s="114" t="inlineStr">
        <is>
          <t>71</t>
        </is>
      </c>
      <c r="DC327" s="115" t="inlineStr">
        <is>
          <t>11,16x</t>
        </is>
      </c>
      <c r="DD327" s="116" t="inlineStr">
        <is>
          <t>85</t>
        </is>
      </c>
      <c r="DE327" s="117" t="inlineStr">
        <is>
          <t>3,79x</t>
        </is>
      </c>
      <c r="DF327" s="118" t="inlineStr">
        <is>
          <t>73</t>
        </is>
      </c>
      <c r="DG327" s="119" t="inlineStr">
        <is>
          <t>1,42x</t>
        </is>
      </c>
      <c r="DH327" s="120" t="inlineStr">
        <is>
          <t>57</t>
        </is>
      </c>
      <c r="DI327" s="121" t="inlineStr">
        <is>
          <t>18,94x</t>
        </is>
      </c>
      <c r="DJ327" s="122" t="inlineStr">
        <is>
          <t>87</t>
        </is>
      </c>
      <c r="DK327" s="123" t="inlineStr">
        <is>
          <t>3,38x</t>
        </is>
      </c>
      <c r="DL327" s="124" t="inlineStr">
        <is>
          <t>72</t>
        </is>
      </c>
      <c r="DM327" s="125" t="inlineStr">
        <is>
          <t>2.301</t>
        </is>
      </c>
      <c r="DN327" s="126" t="inlineStr">
        <is>
          <t>81</t>
        </is>
      </c>
      <c r="DO327" s="127" t="inlineStr">
        <is>
          <t>3,65%</t>
        </is>
      </c>
      <c r="DP327" s="128" t="inlineStr">
        <is>
          <t>12.439</t>
        </is>
      </c>
      <c r="DQ327" s="129" t="inlineStr">
        <is>
          <t>4.035</t>
        </is>
      </c>
      <c r="DR327" s="130" t="inlineStr">
        <is>
          <t>48,01%</t>
        </is>
      </c>
      <c r="DS327" s="131" t="inlineStr">
        <is>
          <t>51</t>
        </is>
      </c>
      <c r="DT327" s="132" t="inlineStr">
        <is>
          <t>-2</t>
        </is>
      </c>
      <c r="DU327" s="133" t="inlineStr">
        <is>
          <t>-3,77%</t>
        </is>
      </c>
      <c r="DV327" s="134" t="inlineStr">
        <is>
          <t>1.154</t>
        </is>
      </c>
      <c r="DW327" s="135" t="inlineStr">
        <is>
          <t>5</t>
        </is>
      </c>
      <c r="DX327" s="136" t="inlineStr">
        <is>
          <t>0,44%</t>
        </is>
      </c>
      <c r="DY327" s="137" t="inlineStr">
        <is>
          <t>PitchBook Research</t>
        </is>
      </c>
      <c r="DZ327" s="785">
        <f>HYPERLINK("https://my.pitchbook.com?c=149092-39", "View company online")</f>
      </c>
    </row>
    <row r="328">
      <c r="A328" s="139" t="inlineStr">
        <is>
          <t>99299-17</t>
        </is>
      </c>
      <c r="B328" s="140" t="inlineStr">
        <is>
          <t>OMEICOS Therapeutics</t>
        </is>
      </c>
      <c r="C328" s="141" t="inlineStr">
        <is>
          <t/>
        </is>
      </c>
      <c r="D328" s="142" t="inlineStr">
        <is>
          <t/>
        </is>
      </c>
      <c r="E328" s="143" t="inlineStr">
        <is>
          <t>99299-17</t>
        </is>
      </c>
      <c r="F328" s="144" t="inlineStr">
        <is>
          <t>Developer of cardiovascular therapy designed for the treatment and prevention of atrial fibrillation. The company's first-in-class small molecule therapy for treating atrial fibrillation is a stable synthetic small molecule analog of the natural omega-3 fatty acid metabolite 17,18-EEQ, which has a structure optimized to provide high efficacy, safety and oral bio-availability, enabling healthcare practitioners to find a safe treatment for cardiovascular diseases.</t>
        </is>
      </c>
      <c r="G328" s="145" t="inlineStr">
        <is>
          <t>Healthcare</t>
        </is>
      </c>
      <c r="H328" s="146" t="inlineStr">
        <is>
          <t>Pharmaceuticals and Biotechnology</t>
        </is>
      </c>
      <c r="I328" s="147" t="inlineStr">
        <is>
          <t>Biotechnology</t>
        </is>
      </c>
      <c r="J328" s="148" t="inlineStr">
        <is>
          <t>Biotechnology*; Drug Discovery</t>
        </is>
      </c>
      <c r="K328" s="149" t="inlineStr">
        <is>
          <t>Life Sciences</t>
        </is>
      </c>
      <c r="L328" s="150" t="inlineStr">
        <is>
          <t>Venture Capital-Backed</t>
        </is>
      </c>
      <c r="M328" s="151" t="n">
        <v>14.5</v>
      </c>
      <c r="N328" s="152" t="inlineStr">
        <is>
          <t>Clinical Trials - Phase 1</t>
        </is>
      </c>
      <c r="O328" s="153" t="inlineStr">
        <is>
          <t>Privately Held (backing)</t>
        </is>
      </c>
      <c r="P328" s="154" t="inlineStr">
        <is>
          <t>Venture Capital</t>
        </is>
      </c>
      <c r="Q328" s="155" t="inlineStr">
        <is>
          <t>www.omeicos.com</t>
        </is>
      </c>
      <c r="R328" s="156" t="inlineStr">
        <is>
          <t/>
        </is>
      </c>
      <c r="S328" s="157" t="inlineStr">
        <is>
          <t/>
        </is>
      </c>
      <c r="T328" s="158" t="inlineStr">
        <is>
          <t/>
        </is>
      </c>
      <c r="U328" s="159" t="n">
        <v>2013.0</v>
      </c>
      <c r="V328" s="160" t="inlineStr">
        <is>
          <t/>
        </is>
      </c>
      <c r="W328" s="161" t="inlineStr">
        <is>
          <t/>
        </is>
      </c>
      <c r="X328" s="162" t="inlineStr">
        <is>
          <t/>
        </is>
      </c>
      <c r="Y328" s="163" t="inlineStr">
        <is>
          <t/>
        </is>
      </c>
      <c r="Z328" s="164" t="inlineStr">
        <is>
          <t/>
        </is>
      </c>
      <c r="AA328" s="165" t="inlineStr">
        <is>
          <t/>
        </is>
      </c>
      <c r="AB328" s="166" t="inlineStr">
        <is>
          <t/>
        </is>
      </c>
      <c r="AC328" s="167" t="inlineStr">
        <is>
          <t/>
        </is>
      </c>
      <c r="AD328" s="168" t="inlineStr">
        <is>
          <t/>
        </is>
      </c>
      <c r="AE328" s="169" t="inlineStr">
        <is>
          <t>60994-99P</t>
        </is>
      </c>
      <c r="AF328" s="170" t="inlineStr">
        <is>
          <t>Ulrich Dauer</t>
        </is>
      </c>
      <c r="AG328" s="171" t="inlineStr">
        <is>
          <t>Chief Executive Officer &amp; Managing Director</t>
        </is>
      </c>
      <c r="AH328" s="172" t="inlineStr">
        <is>
          <t>u.dauer@omeicos.com</t>
        </is>
      </c>
      <c r="AI328" s="173" t="inlineStr">
        <is>
          <t>+49 (0) 30 9489 4810</t>
        </is>
      </c>
      <c r="AJ328" s="174" t="inlineStr">
        <is>
          <t>Berlin, Germany</t>
        </is>
      </c>
      <c r="AK328" s="175" t="inlineStr">
        <is>
          <t>Robert-Rössle-Straße 10</t>
        </is>
      </c>
      <c r="AL328" s="176" t="inlineStr">
        <is>
          <t/>
        </is>
      </c>
      <c r="AM328" s="177" t="inlineStr">
        <is>
          <t>Berlin</t>
        </is>
      </c>
      <c r="AN328" s="178" t="inlineStr">
        <is>
          <t/>
        </is>
      </c>
      <c r="AO328" s="179" t="inlineStr">
        <is>
          <t>13125</t>
        </is>
      </c>
      <c r="AP328" s="180" t="inlineStr">
        <is>
          <t>Germany</t>
        </is>
      </c>
      <c r="AQ328" s="181" t="inlineStr">
        <is>
          <t>+49 (0)30 9489 4810</t>
        </is>
      </c>
      <c r="AR328" s="182" t="inlineStr">
        <is>
          <t>+49 (0)30 9489 4811</t>
        </is>
      </c>
      <c r="AS328" s="183" t="inlineStr">
        <is>
          <t>info@omeicos.com</t>
        </is>
      </c>
      <c r="AT328" s="184" t="inlineStr">
        <is>
          <t>Europe</t>
        </is>
      </c>
      <c r="AU328" s="185" t="inlineStr">
        <is>
          <t>Western Europe</t>
        </is>
      </c>
      <c r="AV328" s="186" t="inlineStr">
        <is>
          <t>The company raised EUR 8.3 million of Series B venture funding in a deal led by Vesalius Biocapital Partners and SMS Group on March 1, 2017. SICAR, High-Tech Gründerfonds, KfW Bankengruppe, IBB Beteiligungsgesellschaft, The Falck Revocable Trust, Ascenion and other undisclosed investors. The funding will be used to support the Phase 1 clinical trial with lead compound OMT-28 for the treatment of atrial fibrillation.</t>
        </is>
      </c>
      <c r="AW328" s="187" t="inlineStr">
        <is>
          <t>Ascenion, Bundesministerium für Bildung und Forschung, German Ministry of Education and Research, High-Tech Gründerfonds, IBB Beteiligungsgesellschaft, KfW Bankengruppe, SICAR, SMS Group, The Falck Revocable Trust, Ut Southwestern Medical Center, Vesalius Biocapital Partners</t>
        </is>
      </c>
      <c r="AX328" s="188" t="n">
        <v>11.0</v>
      </c>
      <c r="AY328" s="189" t="inlineStr">
        <is>
          <t/>
        </is>
      </c>
      <c r="AZ328" s="190" t="inlineStr">
        <is>
          <t/>
        </is>
      </c>
      <c r="BA328" s="191" t="inlineStr">
        <is>
          <t/>
        </is>
      </c>
      <c r="BB328" s="192" t="inlineStr">
        <is>
          <t>Ascenion (www.ascenion.de), Bundesministerium für Bildung und Forschung (www.bmbf.de), High-Tech Gründerfonds (www.high-tech-gruenderfonds.de), IBB Beteiligungsgesellschaft (www.ibb-bet.de), KfW Bankengruppe (www.kfw.de), SICAR (www.alfi.lu), SMS Group (www.sms-group.com), Ut Southwestern Medical Center (utswanesthesia.org), Vesalius Biocapital Partners (www.vesaliusbiocapital.com)</t>
        </is>
      </c>
      <c r="BC328" s="193" t="inlineStr">
        <is>
          <t/>
        </is>
      </c>
      <c r="BD328" s="194" t="inlineStr">
        <is>
          <t/>
        </is>
      </c>
      <c r="BE328" s="195" t="inlineStr">
        <is>
          <t/>
        </is>
      </c>
      <c r="BF328" s="196" t="inlineStr">
        <is>
          <t/>
        </is>
      </c>
      <c r="BG328" s="197" t="n">
        <v>42109.0</v>
      </c>
      <c r="BH328" s="198" t="n">
        <v>6.2</v>
      </c>
      <c r="BI328" s="199" t="inlineStr">
        <is>
          <t>Actual</t>
        </is>
      </c>
      <c r="BJ328" s="200" t="inlineStr">
        <is>
          <t/>
        </is>
      </c>
      <c r="BK328" s="201" t="inlineStr">
        <is>
          <t/>
        </is>
      </c>
      <c r="BL328" s="202" t="inlineStr">
        <is>
          <t>Early Stage VC</t>
        </is>
      </c>
      <c r="BM328" s="203" t="inlineStr">
        <is>
          <t>Series A</t>
        </is>
      </c>
      <c r="BN328" s="204" t="inlineStr">
        <is>
          <t/>
        </is>
      </c>
      <c r="BO328" s="205" t="inlineStr">
        <is>
          <t>Venture Capital</t>
        </is>
      </c>
      <c r="BP328" s="206" t="inlineStr">
        <is>
          <t/>
        </is>
      </c>
      <c r="BQ328" s="207" t="inlineStr">
        <is>
          <t/>
        </is>
      </c>
      <c r="BR328" s="208" t="inlineStr">
        <is>
          <t/>
        </is>
      </c>
      <c r="BS328" s="209" t="inlineStr">
        <is>
          <t>Completed</t>
        </is>
      </c>
      <c r="BT328" s="210" t="n">
        <v>42795.0</v>
      </c>
      <c r="BU328" s="211" t="n">
        <v>8.3</v>
      </c>
      <c r="BV328" s="212" t="inlineStr">
        <is>
          <t>Actual</t>
        </is>
      </c>
      <c r="BW328" s="213" t="inlineStr">
        <is>
          <t/>
        </is>
      </c>
      <c r="BX328" s="214" t="inlineStr">
        <is>
          <t/>
        </is>
      </c>
      <c r="BY328" s="215" t="inlineStr">
        <is>
          <t>Early Stage VC</t>
        </is>
      </c>
      <c r="BZ328" s="216" t="inlineStr">
        <is>
          <t>Series B</t>
        </is>
      </c>
      <c r="CA328" s="217" t="inlineStr">
        <is>
          <t/>
        </is>
      </c>
      <c r="CB328" s="218" t="inlineStr">
        <is>
          <t>Venture Capital</t>
        </is>
      </c>
      <c r="CC328" s="219" t="inlineStr">
        <is>
          <t/>
        </is>
      </c>
      <c r="CD328" s="220" t="inlineStr">
        <is>
          <t/>
        </is>
      </c>
      <c r="CE328" s="221" t="inlineStr">
        <is>
          <t/>
        </is>
      </c>
      <c r="CF328" s="222" t="inlineStr">
        <is>
          <t>Completed</t>
        </is>
      </c>
      <c r="CG328" s="223" t="inlineStr">
        <is>
          <t>0,00%</t>
        </is>
      </c>
      <c r="CH328" s="224" t="inlineStr">
        <is>
          <t>23</t>
        </is>
      </c>
      <c r="CI328" s="225" t="inlineStr">
        <is>
          <t>0,00%</t>
        </is>
      </c>
      <c r="CJ328" s="226" t="inlineStr">
        <is>
          <t>0,00%</t>
        </is>
      </c>
      <c r="CK328" s="227" t="inlineStr">
        <is>
          <t>0,00%</t>
        </is>
      </c>
      <c r="CL328" s="228" t="inlineStr">
        <is>
          <t>18</t>
        </is>
      </c>
      <c r="CM328" s="229" t="inlineStr">
        <is>
          <t>0,00%</t>
        </is>
      </c>
      <c r="CN328" s="230" t="inlineStr">
        <is>
          <t>19</t>
        </is>
      </c>
      <c r="CO328" s="231" t="inlineStr">
        <is>
          <t/>
        </is>
      </c>
      <c r="CP328" s="232" t="inlineStr">
        <is>
          <t/>
        </is>
      </c>
      <c r="CQ328" s="233" t="inlineStr">
        <is>
          <t>0,00%</t>
        </is>
      </c>
      <c r="CR328" s="234" t="inlineStr">
        <is>
          <t>13</t>
        </is>
      </c>
      <c r="CS328" s="235" t="inlineStr">
        <is>
          <t/>
        </is>
      </c>
      <c r="CT328" s="236" t="inlineStr">
        <is>
          <t/>
        </is>
      </c>
      <c r="CU328" s="237" t="inlineStr">
        <is>
          <t>0,00%</t>
        </is>
      </c>
      <c r="CV328" s="238" t="inlineStr">
        <is>
          <t>20</t>
        </is>
      </c>
      <c r="CW328" s="239" t="inlineStr">
        <is>
          <t>0,59x</t>
        </is>
      </c>
      <c r="CX328" s="240" t="inlineStr">
        <is>
          <t>37</t>
        </is>
      </c>
      <c r="CY328" s="241" t="inlineStr">
        <is>
          <t>0,03x</t>
        </is>
      </c>
      <c r="CZ328" s="242" t="inlineStr">
        <is>
          <t>5,24%</t>
        </is>
      </c>
      <c r="DA328" s="243" t="inlineStr">
        <is>
          <t>1,17x</t>
        </is>
      </c>
      <c r="DB328" s="244" t="inlineStr">
        <is>
          <t>55</t>
        </is>
      </c>
      <c r="DC328" s="245" t="inlineStr">
        <is>
          <t>0,01x</t>
        </is>
      </c>
      <c r="DD328" s="246" t="inlineStr">
        <is>
          <t>2</t>
        </is>
      </c>
      <c r="DE328" s="247" t="inlineStr">
        <is>
          <t/>
        </is>
      </c>
      <c r="DF328" s="248" t="inlineStr">
        <is>
          <t/>
        </is>
      </c>
      <c r="DG328" s="249" t="inlineStr">
        <is>
          <t>1,17x</t>
        </is>
      </c>
      <c r="DH328" s="250" t="inlineStr">
        <is>
          <t>53</t>
        </is>
      </c>
      <c r="DI328" s="251" t="inlineStr">
        <is>
          <t/>
        </is>
      </c>
      <c r="DJ328" s="252" t="inlineStr">
        <is>
          <t/>
        </is>
      </c>
      <c r="DK328" s="253" t="inlineStr">
        <is>
          <t>0,01x</t>
        </is>
      </c>
      <c r="DL328" s="254" t="inlineStr">
        <is>
          <t>2</t>
        </is>
      </c>
      <c r="DM328" s="255" t="inlineStr">
        <is>
          <t/>
        </is>
      </c>
      <c r="DN328" s="256" t="inlineStr">
        <is>
          <t/>
        </is>
      </c>
      <c r="DO328" s="257" t="inlineStr">
        <is>
          <t/>
        </is>
      </c>
      <c r="DP328" s="258" t="inlineStr">
        <is>
          <t/>
        </is>
      </c>
      <c r="DQ328" s="259" t="inlineStr">
        <is>
          <t/>
        </is>
      </c>
      <c r="DR328" s="260" t="inlineStr">
        <is>
          <t/>
        </is>
      </c>
      <c r="DS328" s="261" t="inlineStr">
        <is>
          <t>41</t>
        </is>
      </c>
      <c r="DT328" s="262" t="inlineStr">
        <is>
          <t>0</t>
        </is>
      </c>
      <c r="DU328" s="263" t="inlineStr">
        <is>
          <t>0,00%</t>
        </is>
      </c>
      <c r="DV328" s="264" t="inlineStr">
        <is>
          <t>5</t>
        </is>
      </c>
      <c r="DW328" s="265" t="inlineStr">
        <is>
          <t>0</t>
        </is>
      </c>
      <c r="DX328" s="266" t="inlineStr">
        <is>
          <t>0,00%</t>
        </is>
      </c>
      <c r="DY328" s="267" t="inlineStr">
        <is>
          <t>PitchBook Research</t>
        </is>
      </c>
      <c r="DZ328" s="786">
        <f>HYPERLINK("https://my.pitchbook.com?c=99299-17", "View company online")</f>
      </c>
    </row>
    <row r="329">
      <c r="A329" s="9" t="inlineStr">
        <is>
          <t>102212-74</t>
        </is>
      </c>
      <c r="B329" s="10" t="inlineStr">
        <is>
          <t>Once Dating</t>
        </is>
      </c>
      <c r="C329" s="11" t="inlineStr">
        <is>
          <t/>
        </is>
      </c>
      <c r="D329" s="12" t="inlineStr">
        <is>
          <t>Once</t>
        </is>
      </c>
      <c r="E329" s="13" t="inlineStr">
        <is>
          <t>102212-74</t>
        </is>
      </c>
      <c r="F329" s="14" t="inlineStr">
        <is>
          <t>Developer of a dating application. The company operates an online platform that makes private dating connections, allowing users to choose one match per day and view additional information about their matches' activity.</t>
        </is>
      </c>
      <c r="G329" s="15" t="inlineStr">
        <is>
          <t>Information Technology</t>
        </is>
      </c>
      <c r="H329" s="16" t="inlineStr">
        <is>
          <t>Software</t>
        </is>
      </c>
      <c r="I329" s="17" t="inlineStr">
        <is>
          <t>Social/Platform Software</t>
        </is>
      </c>
      <c r="J329" s="18" t="inlineStr">
        <is>
          <t>Social/Platform Software*; Application Software</t>
        </is>
      </c>
      <c r="K329" s="19" t="inlineStr">
        <is>
          <t/>
        </is>
      </c>
      <c r="L329" s="20" t="inlineStr">
        <is>
          <t>Venture Capital-Backed</t>
        </is>
      </c>
      <c r="M329" s="21" t="n">
        <v>8.18</v>
      </c>
      <c r="N329" s="22" t="inlineStr">
        <is>
          <t>Generating Revenue</t>
        </is>
      </c>
      <c r="O329" s="23" t="inlineStr">
        <is>
          <t>Privately Held (backing)</t>
        </is>
      </c>
      <c r="P329" s="24" t="inlineStr">
        <is>
          <t>Venture Capital</t>
        </is>
      </c>
      <c r="Q329" s="25" t="inlineStr">
        <is>
          <t>www.getonce.com</t>
        </is>
      </c>
      <c r="R329" s="26" t="n">
        <v>17.0</v>
      </c>
      <c r="S329" s="27" t="inlineStr">
        <is>
          <t/>
        </is>
      </c>
      <c r="T329" s="28" t="inlineStr">
        <is>
          <t/>
        </is>
      </c>
      <c r="U329" s="29" t="n">
        <v>2014.0</v>
      </c>
      <c r="V329" s="30" t="inlineStr">
        <is>
          <t/>
        </is>
      </c>
      <c r="W329" s="31" t="inlineStr">
        <is>
          <t/>
        </is>
      </c>
      <c r="X329" s="32" t="inlineStr">
        <is>
          <t/>
        </is>
      </c>
      <c r="Y329" s="33" t="inlineStr">
        <is>
          <t/>
        </is>
      </c>
      <c r="Z329" s="34" t="inlineStr">
        <is>
          <t/>
        </is>
      </c>
      <c r="AA329" s="35" t="inlineStr">
        <is>
          <t/>
        </is>
      </c>
      <c r="AB329" s="36" t="inlineStr">
        <is>
          <t/>
        </is>
      </c>
      <c r="AC329" s="37" t="inlineStr">
        <is>
          <t/>
        </is>
      </c>
      <c r="AD329" s="38" t="inlineStr">
        <is>
          <t/>
        </is>
      </c>
      <c r="AE329" s="39" t="inlineStr">
        <is>
          <t>96575-32P</t>
        </is>
      </c>
      <c r="AF329" s="40" t="inlineStr">
        <is>
          <t>Jean Meyer</t>
        </is>
      </c>
      <c r="AG329" s="41" t="inlineStr">
        <is>
          <t>Co-Founder &amp; Chief Executive Officer</t>
        </is>
      </c>
      <c r="AH329" s="42" t="inlineStr">
        <is>
          <t>jean@getonce.com</t>
        </is>
      </c>
      <c r="AI329" s="43" t="inlineStr">
        <is>
          <t/>
        </is>
      </c>
      <c r="AJ329" s="44" t="inlineStr">
        <is>
          <t>Feusisberg, Switzerland</t>
        </is>
      </c>
      <c r="AK329" s="45" t="inlineStr">
        <is>
          <t>Dorfstrasse 23</t>
        </is>
      </c>
      <c r="AL329" s="46" t="inlineStr">
        <is>
          <t/>
        </is>
      </c>
      <c r="AM329" s="47" t="inlineStr">
        <is>
          <t>Feusisberg</t>
        </is>
      </c>
      <c r="AN329" s="48" t="inlineStr">
        <is>
          <t/>
        </is>
      </c>
      <c r="AO329" s="49" t="inlineStr">
        <is>
          <t>8835</t>
        </is>
      </c>
      <c r="AP329" s="50" t="inlineStr">
        <is>
          <t>Switzerland</t>
        </is>
      </c>
      <c r="AQ329" s="51" t="inlineStr">
        <is>
          <t/>
        </is>
      </c>
      <c r="AR329" s="52" t="inlineStr">
        <is>
          <t/>
        </is>
      </c>
      <c r="AS329" s="53" t="inlineStr">
        <is>
          <t>contact@getonce.com</t>
        </is>
      </c>
      <c r="AT329" s="54" t="inlineStr">
        <is>
          <t>Europe</t>
        </is>
      </c>
      <c r="AU329" s="55" t="inlineStr">
        <is>
          <t>Western Europe</t>
        </is>
      </c>
      <c r="AV329" s="56" t="inlineStr">
        <is>
          <t>The company raised EUR 5 million of seed funding from Partech Ventures and other undisclosed private investors on June 16, 2016. The funding will be used to expand and update the application, and develop its reach in its key Western Europe markets of France, Germany and the UK and explore new markets.</t>
        </is>
      </c>
      <c r="AW329" s="57" t="inlineStr">
        <is>
          <t>Partech Ventures</t>
        </is>
      </c>
      <c r="AX329" s="58" t="n">
        <v>1.0</v>
      </c>
      <c r="AY329" s="59" t="inlineStr">
        <is>
          <t/>
        </is>
      </c>
      <c r="AZ329" s="60" t="inlineStr">
        <is>
          <t/>
        </is>
      </c>
      <c r="BA329" s="61" t="inlineStr">
        <is>
          <t/>
        </is>
      </c>
      <c r="BB329" s="62" t="inlineStr">
        <is>
          <t>Partech Ventures (www.partechventures.com)</t>
        </is>
      </c>
      <c r="BC329" s="63" t="inlineStr">
        <is>
          <t/>
        </is>
      </c>
      <c r="BD329" s="64" t="inlineStr">
        <is>
          <t/>
        </is>
      </c>
      <c r="BE329" s="65" t="inlineStr">
        <is>
          <t/>
        </is>
      </c>
      <c r="BF329" s="66" t="inlineStr">
        <is>
          <t/>
        </is>
      </c>
      <c r="BG329" s="67" t="n">
        <v>42194.0</v>
      </c>
      <c r="BH329" s="68" t="n">
        <v>3.18</v>
      </c>
      <c r="BI329" s="69" t="inlineStr">
        <is>
          <t>Actual</t>
        </is>
      </c>
      <c r="BJ329" s="70" t="inlineStr">
        <is>
          <t/>
        </is>
      </c>
      <c r="BK329" s="71" t="inlineStr">
        <is>
          <t/>
        </is>
      </c>
      <c r="BL329" s="72" t="inlineStr">
        <is>
          <t>Seed Round</t>
        </is>
      </c>
      <c r="BM329" s="73" t="inlineStr">
        <is>
          <t>Seed</t>
        </is>
      </c>
      <c r="BN329" s="74" t="inlineStr">
        <is>
          <t/>
        </is>
      </c>
      <c r="BO329" s="75" t="inlineStr">
        <is>
          <t>Venture Capital</t>
        </is>
      </c>
      <c r="BP329" s="76" t="inlineStr">
        <is>
          <t/>
        </is>
      </c>
      <c r="BQ329" s="77" t="inlineStr">
        <is>
          <t/>
        </is>
      </c>
      <c r="BR329" s="78" t="inlineStr">
        <is>
          <t/>
        </is>
      </c>
      <c r="BS329" s="79" t="inlineStr">
        <is>
          <t>Completed</t>
        </is>
      </c>
      <c r="BT329" s="80" t="n">
        <v>42537.0</v>
      </c>
      <c r="BU329" s="81" t="n">
        <v>5.0</v>
      </c>
      <c r="BV329" s="82" t="inlineStr">
        <is>
          <t>Actual</t>
        </is>
      </c>
      <c r="BW329" s="83" t="inlineStr">
        <is>
          <t/>
        </is>
      </c>
      <c r="BX329" s="84" t="inlineStr">
        <is>
          <t/>
        </is>
      </c>
      <c r="BY329" s="85" t="inlineStr">
        <is>
          <t>Seed Round</t>
        </is>
      </c>
      <c r="BZ329" s="86" t="inlineStr">
        <is>
          <t>Seed</t>
        </is>
      </c>
      <c r="CA329" s="87" t="inlineStr">
        <is>
          <t/>
        </is>
      </c>
      <c r="CB329" s="88" t="inlineStr">
        <is>
          <t>Venture Capital</t>
        </is>
      </c>
      <c r="CC329" s="89" t="inlineStr">
        <is>
          <t/>
        </is>
      </c>
      <c r="CD329" s="90" t="inlineStr">
        <is>
          <t/>
        </is>
      </c>
      <c r="CE329" s="91" t="inlineStr">
        <is>
          <t/>
        </is>
      </c>
      <c r="CF329" s="92" t="inlineStr">
        <is>
          <t>Completed</t>
        </is>
      </c>
      <c r="CG329" s="93" t="inlineStr">
        <is>
          <t>-0,08%</t>
        </is>
      </c>
      <c r="CH329" s="94" t="inlineStr">
        <is>
          <t>15</t>
        </is>
      </c>
      <c r="CI329" s="95" t="inlineStr">
        <is>
          <t>-0,05%</t>
        </is>
      </c>
      <c r="CJ329" s="96" t="inlineStr">
        <is>
          <t>-139,26%</t>
        </is>
      </c>
      <c r="CK329" s="97" t="inlineStr">
        <is>
          <t>-3,69%</t>
        </is>
      </c>
      <c r="CL329" s="98" t="inlineStr">
        <is>
          <t>2</t>
        </is>
      </c>
      <c r="CM329" s="99" t="inlineStr">
        <is>
          <t>3,52%</t>
        </is>
      </c>
      <c r="CN329" s="100" t="inlineStr">
        <is>
          <t>100</t>
        </is>
      </c>
      <c r="CO329" s="101" t="inlineStr">
        <is>
          <t>-3,69%</t>
        </is>
      </c>
      <c r="CP329" s="102" t="inlineStr">
        <is>
          <t>10</t>
        </is>
      </c>
      <c r="CQ329" s="103" t="inlineStr">
        <is>
          <t/>
        </is>
      </c>
      <c r="CR329" s="104" t="inlineStr">
        <is>
          <t/>
        </is>
      </c>
      <c r="CS329" s="105" t="inlineStr">
        <is>
          <t>7,04%</t>
        </is>
      </c>
      <c r="CT329" s="106" t="inlineStr">
        <is>
          <t>100</t>
        </is>
      </c>
      <c r="CU329" s="107" t="inlineStr">
        <is>
          <t>0,01%</t>
        </is>
      </c>
      <c r="CV329" s="108" t="inlineStr">
        <is>
          <t>56</t>
        </is>
      </c>
      <c r="CW329" s="109" t="inlineStr">
        <is>
          <t>63,20x</t>
        </is>
      </c>
      <c r="CX329" s="110" t="inlineStr">
        <is>
          <t>96</t>
        </is>
      </c>
      <c r="CY329" s="111" t="inlineStr">
        <is>
          <t>1,06x</t>
        </is>
      </c>
      <c r="CZ329" s="112" t="inlineStr">
        <is>
          <t>1,71%</t>
        </is>
      </c>
      <c r="DA329" s="113" t="inlineStr">
        <is>
          <t>80,38x</t>
        </is>
      </c>
      <c r="DB329" s="114" t="inlineStr">
        <is>
          <t>97</t>
        </is>
      </c>
      <c r="DC329" s="115" t="inlineStr">
        <is>
          <t>46,03x</t>
        </is>
      </c>
      <c r="DD329" s="116" t="inlineStr">
        <is>
          <t>94</t>
        </is>
      </c>
      <c r="DE329" s="117" t="inlineStr">
        <is>
          <t>80,38x</t>
        </is>
      </c>
      <c r="DF329" s="118" t="inlineStr">
        <is>
          <t>95</t>
        </is>
      </c>
      <c r="DG329" s="119" t="inlineStr">
        <is>
          <t/>
        </is>
      </c>
      <c r="DH329" s="120" t="inlineStr">
        <is>
          <t/>
        </is>
      </c>
      <c r="DI329" s="121" t="inlineStr">
        <is>
          <t>59,71x</t>
        </is>
      </c>
      <c r="DJ329" s="122" t="inlineStr">
        <is>
          <t>93</t>
        </is>
      </c>
      <c r="DK329" s="123" t="inlineStr">
        <is>
          <t>32,36x</t>
        </is>
      </c>
      <c r="DL329" s="124" t="inlineStr">
        <is>
          <t>94</t>
        </is>
      </c>
      <c r="DM329" s="125" t="inlineStr">
        <is>
          <t>49.886</t>
        </is>
      </c>
      <c r="DN329" s="126" t="inlineStr">
        <is>
          <t>-1.364</t>
        </is>
      </c>
      <c r="DO329" s="127" t="inlineStr">
        <is>
          <t>-2,66%</t>
        </is>
      </c>
      <c r="DP329" s="128" t="inlineStr">
        <is>
          <t>46.905</t>
        </is>
      </c>
      <c r="DQ329" s="129" t="inlineStr">
        <is>
          <t>2.076</t>
        </is>
      </c>
      <c r="DR329" s="130" t="inlineStr">
        <is>
          <t>4,63%</t>
        </is>
      </c>
      <c r="DS329" s="131" t="inlineStr">
        <is>
          <t/>
        </is>
      </c>
      <c r="DT329" s="132" t="inlineStr">
        <is>
          <t/>
        </is>
      </c>
      <c r="DU329" s="133" t="inlineStr">
        <is>
          <t/>
        </is>
      </c>
      <c r="DV329" s="134" t="inlineStr">
        <is>
          <t>11.097</t>
        </is>
      </c>
      <c r="DW329" s="135" t="inlineStr">
        <is>
          <t>0</t>
        </is>
      </c>
      <c r="DX329" s="136" t="inlineStr">
        <is>
          <t>0,00%</t>
        </is>
      </c>
      <c r="DY329" s="137" t="inlineStr">
        <is>
          <t>PitchBook Research</t>
        </is>
      </c>
      <c r="DZ329" s="785">
        <f>HYPERLINK("https://my.pitchbook.com?c=102212-74", "View company online")</f>
      </c>
    </row>
    <row r="330">
      <c r="A330" s="139" t="inlineStr">
        <is>
          <t>60761-53</t>
        </is>
      </c>
      <c r="B330" s="140" t="inlineStr">
        <is>
          <t>OncoDNA</t>
        </is>
      </c>
      <c r="C330" s="141" t="inlineStr">
        <is>
          <t/>
        </is>
      </c>
      <c r="D330" s="142" t="inlineStr">
        <is>
          <t/>
        </is>
      </c>
      <c r="E330" s="143" t="inlineStr">
        <is>
          <t>60761-53</t>
        </is>
      </c>
      <c r="F330" s="144" t="inlineStr">
        <is>
          <t>Developer of medical diagnostics and patient-care technology. The company offers medical innovations based on targeted sequencing of tumor genomes and assists in monitoring the evolution of patient tumors. Its product, OncoTRACE, is an individualized platform using a liquid biopsy for the monitoring of a patient's cancer via sensitive biomarkers.</t>
        </is>
      </c>
      <c r="G330" s="145" t="inlineStr">
        <is>
          <t>Healthcare</t>
        </is>
      </c>
      <c r="H330" s="146" t="inlineStr">
        <is>
          <t>Pharmaceuticals and Biotechnology</t>
        </is>
      </c>
      <c r="I330" s="147" t="inlineStr">
        <is>
          <t>Drug Discovery</t>
        </is>
      </c>
      <c r="J330" s="148" t="inlineStr">
        <is>
          <t>Drug Discovery*; Other Pharmaceuticals and Biotechnology</t>
        </is>
      </c>
      <c r="K330" s="149" t="inlineStr">
        <is>
          <t>Life Sciences, Oncology</t>
        </is>
      </c>
      <c r="L330" s="150" t="inlineStr">
        <is>
          <t>Venture Capital-Backed</t>
        </is>
      </c>
      <c r="M330" s="151" t="n">
        <v>9.7</v>
      </c>
      <c r="N330" s="152" t="inlineStr">
        <is>
          <t>Generating Revenue</t>
        </is>
      </c>
      <c r="O330" s="153" t="inlineStr">
        <is>
          <t>Privately Held (backing)</t>
        </is>
      </c>
      <c r="P330" s="154" t="inlineStr">
        <is>
          <t>Venture Capital</t>
        </is>
      </c>
      <c r="Q330" s="155" t="inlineStr">
        <is>
          <t>www.oncodna.com</t>
        </is>
      </c>
      <c r="R330" s="156" t="n">
        <v>35.0</v>
      </c>
      <c r="S330" s="157" t="inlineStr">
        <is>
          <t/>
        </is>
      </c>
      <c r="T330" s="158" t="inlineStr">
        <is>
          <t/>
        </is>
      </c>
      <c r="U330" s="159" t="n">
        <v>2012.0</v>
      </c>
      <c r="V330" s="160" t="inlineStr">
        <is>
          <t/>
        </is>
      </c>
      <c r="W330" s="161" t="inlineStr">
        <is>
          <t/>
        </is>
      </c>
      <c r="X330" s="162" t="inlineStr">
        <is>
          <t/>
        </is>
      </c>
      <c r="Y330" s="163" t="n">
        <v>4.00305</v>
      </c>
      <c r="Z330" s="164" t="inlineStr">
        <is>
          <t/>
        </is>
      </c>
      <c r="AA330" s="165" t="inlineStr">
        <is>
          <t/>
        </is>
      </c>
      <c r="AB330" s="166" t="inlineStr">
        <is>
          <t/>
        </is>
      </c>
      <c r="AC330" s="167" t="inlineStr">
        <is>
          <t/>
        </is>
      </c>
      <c r="AD330" s="168" t="inlineStr">
        <is>
          <t>FY 2016</t>
        </is>
      </c>
      <c r="AE330" s="169" t="inlineStr">
        <is>
          <t>58125-79P</t>
        </is>
      </c>
      <c r="AF330" s="170" t="inlineStr">
        <is>
          <t>Guillaume de Viron</t>
        </is>
      </c>
      <c r="AG330" s="171" t="inlineStr">
        <is>
          <t>Chief Financial Officer</t>
        </is>
      </c>
      <c r="AH330" s="172" t="inlineStr">
        <is>
          <t>g.viron@univercells.com</t>
        </is>
      </c>
      <c r="AI330" s="173" t="inlineStr">
        <is>
          <t>+32 (0)2 318 83 48</t>
        </is>
      </c>
      <c r="AJ330" s="174" t="inlineStr">
        <is>
          <t>Gosselies, Belgium</t>
        </is>
      </c>
      <c r="AK330" s="175" t="inlineStr">
        <is>
          <t>25, Avenue Georges Lemaître</t>
        </is>
      </c>
      <c r="AL330" s="176" t="inlineStr">
        <is>
          <t/>
        </is>
      </c>
      <c r="AM330" s="177" t="inlineStr">
        <is>
          <t>Gosselies</t>
        </is>
      </c>
      <c r="AN330" s="178" t="inlineStr">
        <is>
          <t/>
        </is>
      </c>
      <c r="AO330" s="179" t="inlineStr">
        <is>
          <t>6041</t>
        </is>
      </c>
      <c r="AP330" s="180" t="inlineStr">
        <is>
          <t>Belgium</t>
        </is>
      </c>
      <c r="AQ330" s="181" t="inlineStr">
        <is>
          <t>+32 (0)7 134 78 99</t>
        </is>
      </c>
      <c r="AR330" s="182" t="inlineStr">
        <is>
          <t/>
        </is>
      </c>
      <c r="AS330" s="183" t="inlineStr">
        <is>
          <t>infos@oncodna.com</t>
        </is>
      </c>
      <c r="AT330" s="184" t="inlineStr">
        <is>
          <t>Europe</t>
        </is>
      </c>
      <c r="AU330" s="185" t="inlineStr">
        <is>
          <t>Western Europe</t>
        </is>
      </c>
      <c r="AV330" s="186" t="inlineStr">
        <is>
          <t>The company raised EUR 7.7 million of venture funding in a deal led by Ackermans &amp; van Haaren on September 1, 2016. IPG/bio.be, Invest4OncoDNA, Sambrinvest, Vinsovier, Sofinim, The SRIW Group and Banque CPH also participated in the round. The company plans to use the funding to further fuel it's rapid market expansion globally, increase the size of its patient database and to also pursue the development of its IT platforms with the launch of OncoKDM, a SaaS platform linked to OncoSHARE.</t>
        </is>
      </c>
      <c r="AW330" s="187" t="inlineStr">
        <is>
          <t>Ackermans &amp; van Haaren, Banque CPH, Bio.be, François Blondel, Invest4OncoDNA, Jean Stephenne, SAMBRINVEST, Société Régionale d'Investissement de Wallonie, Sofinim, Vinsovier</t>
        </is>
      </c>
      <c r="AX330" s="188" t="n">
        <v>10.0</v>
      </c>
      <c r="AY330" s="189" t="inlineStr">
        <is>
          <t/>
        </is>
      </c>
      <c r="AZ330" s="190" t="inlineStr">
        <is>
          <t/>
        </is>
      </c>
      <c r="BA330" s="191" t="inlineStr">
        <is>
          <t/>
        </is>
      </c>
      <c r="BB330" s="192" t="inlineStr">
        <is>
          <t>Ackermans &amp; van Haaren (en.avh.be), Banque CPH (www.cph.be), Bio.be (www.bio-be.be), SAMBRINVEST (www.sambrinvest.be), Société Régionale d'Investissement de Wallonie (www.sriw.be)</t>
        </is>
      </c>
      <c r="BC330" s="193" t="inlineStr">
        <is>
          <t/>
        </is>
      </c>
      <c r="BD330" s="194" t="inlineStr">
        <is>
          <t/>
        </is>
      </c>
      <c r="BE330" s="195" t="inlineStr">
        <is>
          <t/>
        </is>
      </c>
      <c r="BF330" s="196" t="inlineStr">
        <is>
          <t/>
        </is>
      </c>
      <c r="BG330" s="197" t="n">
        <v>41244.0</v>
      </c>
      <c r="BH330" s="198" t="n">
        <v>2.0</v>
      </c>
      <c r="BI330" s="199" t="inlineStr">
        <is>
          <t>Actual</t>
        </is>
      </c>
      <c r="BJ330" s="200" t="inlineStr">
        <is>
          <t/>
        </is>
      </c>
      <c r="BK330" s="201" t="inlineStr">
        <is>
          <t/>
        </is>
      </c>
      <c r="BL330" s="202" t="inlineStr">
        <is>
          <t>Early Stage VC</t>
        </is>
      </c>
      <c r="BM330" s="203" t="inlineStr">
        <is>
          <t/>
        </is>
      </c>
      <c r="BN330" s="204" t="inlineStr">
        <is>
          <t/>
        </is>
      </c>
      <c r="BO330" s="205" t="inlineStr">
        <is>
          <t>Venture Capital</t>
        </is>
      </c>
      <c r="BP330" s="206" t="inlineStr">
        <is>
          <t/>
        </is>
      </c>
      <c r="BQ330" s="207" t="inlineStr">
        <is>
          <t/>
        </is>
      </c>
      <c r="BR330" s="208" t="inlineStr">
        <is>
          <t/>
        </is>
      </c>
      <c r="BS330" s="209" t="inlineStr">
        <is>
          <t>Completed</t>
        </is>
      </c>
      <c r="BT330" s="210" t="n">
        <v>42614.0</v>
      </c>
      <c r="BU330" s="211" t="n">
        <v>7.7</v>
      </c>
      <c r="BV330" s="212" t="inlineStr">
        <is>
          <t>Actual</t>
        </is>
      </c>
      <c r="BW330" s="213" t="inlineStr">
        <is>
          <t/>
        </is>
      </c>
      <c r="BX330" s="214" t="inlineStr">
        <is>
          <t/>
        </is>
      </c>
      <c r="BY330" s="215" t="inlineStr">
        <is>
          <t>Early Stage VC</t>
        </is>
      </c>
      <c r="BZ330" s="216" t="inlineStr">
        <is>
          <t/>
        </is>
      </c>
      <c r="CA330" s="217" t="inlineStr">
        <is>
          <t/>
        </is>
      </c>
      <c r="CB330" s="218" t="inlineStr">
        <is>
          <t>Venture Capital</t>
        </is>
      </c>
      <c r="CC330" s="219" t="inlineStr">
        <is>
          <t/>
        </is>
      </c>
      <c r="CD330" s="220" t="inlineStr">
        <is>
          <t/>
        </is>
      </c>
      <c r="CE330" s="221" t="inlineStr">
        <is>
          <t/>
        </is>
      </c>
      <c r="CF330" s="222" t="inlineStr">
        <is>
          <t>Completed</t>
        </is>
      </c>
      <c r="CG330" s="223" t="inlineStr">
        <is>
          <t>-0,10%</t>
        </is>
      </c>
      <c r="CH330" s="224" t="inlineStr">
        <is>
          <t>14</t>
        </is>
      </c>
      <c r="CI330" s="225" t="inlineStr">
        <is>
          <t>-0,09%</t>
        </is>
      </c>
      <c r="CJ330" s="226" t="inlineStr">
        <is>
          <t>-924,35%</t>
        </is>
      </c>
      <c r="CK330" s="227" t="inlineStr">
        <is>
          <t>-0,30%</t>
        </is>
      </c>
      <c r="CL330" s="228" t="inlineStr">
        <is>
          <t>14</t>
        </is>
      </c>
      <c r="CM330" s="229" t="inlineStr">
        <is>
          <t>0,10%</t>
        </is>
      </c>
      <c r="CN330" s="230" t="inlineStr">
        <is>
          <t>60</t>
        </is>
      </c>
      <c r="CO330" s="231" t="inlineStr">
        <is>
          <t>0,28%</t>
        </is>
      </c>
      <c r="CP330" s="232" t="inlineStr">
        <is>
          <t>80</t>
        </is>
      </c>
      <c r="CQ330" s="233" t="inlineStr">
        <is>
          <t>-0,89%</t>
        </is>
      </c>
      <c r="CR330" s="234" t="inlineStr">
        <is>
          <t>4</t>
        </is>
      </c>
      <c r="CS330" s="235" t="inlineStr">
        <is>
          <t>0,00%</t>
        </is>
      </c>
      <c r="CT330" s="236" t="inlineStr">
        <is>
          <t>18</t>
        </is>
      </c>
      <c r="CU330" s="237" t="inlineStr">
        <is>
          <t>0,19%</t>
        </is>
      </c>
      <c r="CV330" s="238" t="inlineStr">
        <is>
          <t>77</t>
        </is>
      </c>
      <c r="CW330" s="239" t="inlineStr">
        <is>
          <t>17,81x</t>
        </is>
      </c>
      <c r="CX330" s="240" t="inlineStr">
        <is>
          <t>91</t>
        </is>
      </c>
      <c r="CY330" s="241" t="inlineStr">
        <is>
          <t>0,34x</t>
        </is>
      </c>
      <c r="CZ330" s="242" t="inlineStr">
        <is>
          <t>1,96%</t>
        </is>
      </c>
      <c r="DA330" s="243" t="inlineStr">
        <is>
          <t>3,12x</t>
        </is>
      </c>
      <c r="DB330" s="244" t="inlineStr">
        <is>
          <t>74</t>
        </is>
      </c>
      <c r="DC330" s="245" t="inlineStr">
        <is>
          <t>32,51x</t>
        </is>
      </c>
      <c r="DD330" s="246" t="inlineStr">
        <is>
          <t>93</t>
        </is>
      </c>
      <c r="DE330" s="247" t="inlineStr">
        <is>
          <t>1,43x</t>
        </is>
      </c>
      <c r="DF330" s="248" t="inlineStr">
        <is>
          <t>57</t>
        </is>
      </c>
      <c r="DG330" s="249" t="inlineStr">
        <is>
          <t>4,81x</t>
        </is>
      </c>
      <c r="DH330" s="250" t="inlineStr">
        <is>
          <t>78</t>
        </is>
      </c>
      <c r="DI330" s="251" t="inlineStr">
        <is>
          <t>63,31x</t>
        </is>
      </c>
      <c r="DJ330" s="252" t="inlineStr">
        <is>
          <t>94</t>
        </is>
      </c>
      <c r="DK330" s="253" t="inlineStr">
        <is>
          <t>1,71x</t>
        </is>
      </c>
      <c r="DL330" s="254" t="inlineStr">
        <is>
          <t>60</t>
        </is>
      </c>
      <c r="DM330" s="255" t="inlineStr">
        <is>
          <t>907</t>
        </is>
      </c>
      <c r="DN330" s="256" t="inlineStr">
        <is>
          <t>-89</t>
        </is>
      </c>
      <c r="DO330" s="257" t="inlineStr">
        <is>
          <t>-8,94%</t>
        </is>
      </c>
      <c r="DP330" s="258" t="inlineStr">
        <is>
          <t>50.581</t>
        </is>
      </c>
      <c r="DQ330" s="259" t="inlineStr">
        <is>
          <t>-15</t>
        </is>
      </c>
      <c r="DR330" s="260" t="inlineStr">
        <is>
          <t>-0,03%</t>
        </is>
      </c>
      <c r="DS330" s="261" t="inlineStr">
        <is>
          <t>174</t>
        </is>
      </c>
      <c r="DT330" s="262" t="inlineStr">
        <is>
          <t>-4</t>
        </is>
      </c>
      <c r="DU330" s="263" t="inlineStr">
        <is>
          <t>-2,25%</t>
        </is>
      </c>
      <c r="DV330" s="264" t="inlineStr">
        <is>
          <t>587</t>
        </is>
      </c>
      <c r="DW330" s="265" t="inlineStr">
        <is>
          <t>0</t>
        </is>
      </c>
      <c r="DX330" s="266" t="inlineStr">
        <is>
          <t>0,00%</t>
        </is>
      </c>
      <c r="DY330" s="267" t="inlineStr">
        <is>
          <t>PitchBook Research</t>
        </is>
      </c>
      <c r="DZ330" s="786">
        <f>HYPERLINK("https://my.pitchbook.com?c=60761-53", "View company online")</f>
      </c>
    </row>
    <row r="331">
      <c r="A331" s="9" t="inlineStr">
        <is>
          <t>59914-99</t>
        </is>
      </c>
      <c r="B331" s="10" t="inlineStr">
        <is>
          <t>Onfido</t>
        </is>
      </c>
      <c r="C331" s="11" t="inlineStr">
        <is>
          <t/>
        </is>
      </c>
      <c r="D331" s="12" t="inlineStr">
        <is>
          <t/>
        </is>
      </c>
      <c r="E331" s="13" t="inlineStr">
        <is>
          <t>59914-99</t>
        </is>
      </c>
      <c r="F331" s="14" t="inlineStr">
        <is>
          <t>Provider of an identity verification and background check platform designed to helps companies ensure their customers are who they claim to be. The company's identity verification and background check platform utilizes machine learning to automate the background checking process and is a data-driven platform that allows background checks for identity, documents, national criminal checking, county criminal checks, sex offender and terrorist checks, enabling businesses to verify identities and carry out adverse history searches at scale.</t>
        </is>
      </c>
      <c r="G331" s="15" t="inlineStr">
        <is>
          <t>Business Products and Services (B2B)</t>
        </is>
      </c>
      <c r="H331" s="16" t="inlineStr">
        <is>
          <t>Commercial Services</t>
        </is>
      </c>
      <c r="I331" s="17" t="inlineStr">
        <is>
          <t>Security Services (B2B)</t>
        </is>
      </c>
      <c r="J331" s="18" t="inlineStr">
        <is>
          <t>Security Services (B2B)*; Application Software; Business/Productivity Software</t>
        </is>
      </c>
      <c r="K331" s="19" t="inlineStr">
        <is>
          <t>Big Data, SaaS</t>
        </is>
      </c>
      <c r="L331" s="20" t="inlineStr">
        <is>
          <t>Venture Capital-Backed</t>
        </is>
      </c>
      <c r="M331" s="21" t="n">
        <v>27.06</v>
      </c>
      <c r="N331" s="22" t="inlineStr">
        <is>
          <t>Generating Revenue</t>
        </is>
      </c>
      <c r="O331" s="23" t="inlineStr">
        <is>
          <t>Privately Held (backing)</t>
        </is>
      </c>
      <c r="P331" s="24" t="inlineStr">
        <is>
          <t>Venture Capital</t>
        </is>
      </c>
      <c r="Q331" s="25" t="inlineStr">
        <is>
          <t>www.onfido.com</t>
        </is>
      </c>
      <c r="R331" s="26" t="n">
        <v>100.0</v>
      </c>
      <c r="S331" s="27" t="inlineStr">
        <is>
          <t/>
        </is>
      </c>
      <c r="T331" s="28" t="inlineStr">
        <is>
          <t/>
        </is>
      </c>
      <c r="U331" s="29" t="n">
        <v>2012.0</v>
      </c>
      <c r="V331" s="30" t="inlineStr">
        <is>
          <t/>
        </is>
      </c>
      <c r="W331" s="31" t="inlineStr">
        <is>
          <t/>
        </is>
      </c>
      <c r="X331" s="32" t="inlineStr">
        <is>
          <t/>
        </is>
      </c>
      <c r="Y331" s="33" t="inlineStr">
        <is>
          <t/>
        </is>
      </c>
      <c r="Z331" s="34" t="inlineStr">
        <is>
          <t/>
        </is>
      </c>
      <c r="AA331" s="35" t="inlineStr">
        <is>
          <t/>
        </is>
      </c>
      <c r="AB331" s="36" t="inlineStr">
        <is>
          <t/>
        </is>
      </c>
      <c r="AC331" s="37" t="inlineStr">
        <is>
          <t/>
        </is>
      </c>
      <c r="AD331" s="38" t="inlineStr">
        <is>
          <t>FY 2013</t>
        </is>
      </c>
      <c r="AE331" s="39" t="inlineStr">
        <is>
          <t>56466-46P</t>
        </is>
      </c>
      <c r="AF331" s="40" t="inlineStr">
        <is>
          <t>Eamon Jubbawy</t>
        </is>
      </c>
      <c r="AG331" s="41" t="inlineStr">
        <is>
          <t>Co-Founder, Board Member &amp; Chief Operating Officer</t>
        </is>
      </c>
      <c r="AH331" s="42" t="inlineStr">
        <is>
          <t>eamon@onfido.co.uk</t>
        </is>
      </c>
      <c r="AI331" s="43" t="inlineStr">
        <is>
          <t>+44 (0)20 8133 3628</t>
        </is>
      </c>
      <c r="AJ331" s="44" t="inlineStr">
        <is>
          <t>London, United Kingdom</t>
        </is>
      </c>
      <c r="AK331" s="45" t="inlineStr">
        <is>
          <t>40 Long Acre, Covent Garden</t>
        </is>
      </c>
      <c r="AL331" s="46" t="inlineStr">
        <is>
          <t/>
        </is>
      </c>
      <c r="AM331" s="47" t="inlineStr">
        <is>
          <t>London</t>
        </is>
      </c>
      <c r="AN331" s="48" t="inlineStr">
        <is>
          <t>England</t>
        </is>
      </c>
      <c r="AO331" s="49" t="inlineStr">
        <is>
          <t>WC2E 9LG</t>
        </is>
      </c>
      <c r="AP331" s="50" t="inlineStr">
        <is>
          <t>United Kingdom</t>
        </is>
      </c>
      <c r="AQ331" s="51" t="inlineStr">
        <is>
          <t>+44 (0)20 8133 3628</t>
        </is>
      </c>
      <c r="AR331" s="52" t="inlineStr">
        <is>
          <t/>
        </is>
      </c>
      <c r="AS331" s="53" t="inlineStr">
        <is>
          <t>info@onfido.com</t>
        </is>
      </c>
      <c r="AT331" s="54" t="inlineStr">
        <is>
          <t>Europe</t>
        </is>
      </c>
      <c r="AU331" s="55" t="inlineStr">
        <is>
          <t>Western Europe</t>
        </is>
      </c>
      <c r="AV331" s="56" t="inlineStr">
        <is>
          <t>The company raised an undisclosed amount of Series A venture funding from Salesforce Ventures, Talis Capital and Charlie Songhurst on May 19, 2017. Hank Vigil and other undisclosed angel investors also participated. The funding will be used to scale the company's machine learning-enabled trust services for financial services firms. The company till date has raised over $30 million.</t>
        </is>
      </c>
      <c r="AW331" s="57" t="inlineStr">
        <is>
          <t>Akash Gupta, B&amp;Y Venture Partners, Brent Hoberman, Brightbridge Ventures, Charles Songhurst, CrunchFund, Daniel Cobley, Dominic Myers, Frédéric Mazzella, Greg Marsh, Hank Vigil, Hays Technology Ventures, IdInvest Partners, John Horan, Manoj Badale, Mark Clayton Hand, Matteo Berlucchi, Michael Arrington, Nicolas Brusson, Oxford Accelerator, Oxford University Innovation, Plug and Play Tech Center, Saïd Business School, Salesforce Ventures, Simon Heath, Spencer Hyman, Startup Funding Club, Steve Bailey, Talis Capital, Tony Kaye, University of Oxford Endowment, Wellington Partners</t>
        </is>
      </c>
      <c r="AX331" s="58" t="n">
        <v>32.0</v>
      </c>
      <c r="AY331" s="59" t="inlineStr">
        <is>
          <t/>
        </is>
      </c>
      <c r="AZ331" s="60" t="inlineStr">
        <is>
          <t/>
        </is>
      </c>
      <c r="BA331" s="61" t="inlineStr">
        <is>
          <t/>
        </is>
      </c>
      <c r="BB331" s="62" t="inlineStr">
        <is>
          <t>B&amp;Y Venture Partners (www.byvp.com), Brightbridge Ventures (www.brightbridgeventures.com), IdInvest Partners (www.idinvest.com), Michael Arrington (uncrunched.com), Oxford Accelerator (www.oxfordaccelerator.com), Oxford University Innovation (www.innovation.ox.ac.uk), Plug and Play Tech Center (www.plugandplaytechcenter.com), Saïd Business School (www.sbs.ox.ac.uk), Startup Funding Club (www.startupfundingclub.com), Talis Capital (www.taliscapital.com), University of Oxford Endowment (www.ox.ac.uk), Wellington Partners (www.wellington-partners.com)</t>
        </is>
      </c>
      <c r="BC331" s="63" t="inlineStr">
        <is>
          <t/>
        </is>
      </c>
      <c r="BD331" s="64" t="inlineStr">
        <is>
          <t/>
        </is>
      </c>
      <c r="BE331" s="65" t="inlineStr">
        <is>
          <t>Orrick Herrington &amp; Sutcliffe (Legal Advisor), Future Fifty (Consulting)</t>
        </is>
      </c>
      <c r="BF331" s="66" t="inlineStr">
        <is>
          <t>Orrick Herrington &amp; Sutcliffe (Legal Advisor)</t>
        </is>
      </c>
      <c r="BG331" s="67" t="n">
        <v>41091.0</v>
      </c>
      <c r="BH331" s="68" t="inlineStr">
        <is>
          <t/>
        </is>
      </c>
      <c r="BI331" s="69" t="inlineStr">
        <is>
          <t/>
        </is>
      </c>
      <c r="BJ331" s="70" t="inlineStr">
        <is>
          <t/>
        </is>
      </c>
      <c r="BK331" s="71" t="inlineStr">
        <is>
          <t/>
        </is>
      </c>
      <c r="BL331" s="72" t="inlineStr">
        <is>
          <t>Accelerator/Incubator</t>
        </is>
      </c>
      <c r="BM331" s="73" t="inlineStr">
        <is>
          <t/>
        </is>
      </c>
      <c r="BN331" s="74" t="inlineStr">
        <is>
          <t/>
        </is>
      </c>
      <c r="BO331" s="75" t="inlineStr">
        <is>
          <t>Other</t>
        </is>
      </c>
      <c r="BP331" s="76" t="inlineStr">
        <is>
          <t/>
        </is>
      </c>
      <c r="BQ331" s="77" t="inlineStr">
        <is>
          <t/>
        </is>
      </c>
      <c r="BR331" s="78" t="inlineStr">
        <is>
          <t/>
        </is>
      </c>
      <c r="BS331" s="79" t="inlineStr">
        <is>
          <t>Completed</t>
        </is>
      </c>
      <c r="BT331" s="80" t="n">
        <v>42874.0</v>
      </c>
      <c r="BU331" s="81" t="inlineStr">
        <is>
          <t/>
        </is>
      </c>
      <c r="BV331" s="82" t="inlineStr">
        <is>
          <t/>
        </is>
      </c>
      <c r="BW331" s="83" t="inlineStr">
        <is>
          <t/>
        </is>
      </c>
      <c r="BX331" s="84" t="inlineStr">
        <is>
          <t/>
        </is>
      </c>
      <c r="BY331" s="85" t="inlineStr">
        <is>
          <t>Early Stage VC</t>
        </is>
      </c>
      <c r="BZ331" s="86" t="inlineStr">
        <is>
          <t>Series C</t>
        </is>
      </c>
      <c r="CA331" s="87" t="inlineStr">
        <is>
          <t/>
        </is>
      </c>
      <c r="CB331" s="88" t="inlineStr">
        <is>
          <t>Venture Capital</t>
        </is>
      </c>
      <c r="CC331" s="89" t="inlineStr">
        <is>
          <t/>
        </is>
      </c>
      <c r="CD331" s="90" t="inlineStr">
        <is>
          <t/>
        </is>
      </c>
      <c r="CE331" s="91" t="inlineStr">
        <is>
          <t/>
        </is>
      </c>
      <c r="CF331" s="92" t="inlineStr">
        <is>
          <t>Completed</t>
        </is>
      </c>
      <c r="CG331" s="93" t="inlineStr">
        <is>
          <t>-0,34%</t>
        </is>
      </c>
      <c r="CH331" s="94" t="inlineStr">
        <is>
          <t>10</t>
        </is>
      </c>
      <c r="CI331" s="95" t="inlineStr">
        <is>
          <t>-0,10%</t>
        </is>
      </c>
      <c r="CJ331" s="96" t="inlineStr">
        <is>
          <t>-40,14%</t>
        </is>
      </c>
      <c r="CK331" s="97" t="inlineStr">
        <is>
          <t>-1,01%</t>
        </is>
      </c>
      <c r="CL331" s="98" t="inlineStr">
        <is>
          <t>9</t>
        </is>
      </c>
      <c r="CM331" s="99" t="inlineStr">
        <is>
          <t>0,34%</t>
        </is>
      </c>
      <c r="CN331" s="100" t="inlineStr">
        <is>
          <t>83</t>
        </is>
      </c>
      <c r="CO331" s="101" t="inlineStr">
        <is>
          <t>-2,22%</t>
        </is>
      </c>
      <c r="CP331" s="102" t="inlineStr">
        <is>
          <t>15</t>
        </is>
      </c>
      <c r="CQ331" s="103" t="inlineStr">
        <is>
          <t>0,20%</t>
        </is>
      </c>
      <c r="CR331" s="104" t="inlineStr">
        <is>
          <t>84</t>
        </is>
      </c>
      <c r="CS331" s="105" t="inlineStr">
        <is>
          <t>0,50%</t>
        </is>
      </c>
      <c r="CT331" s="106" t="inlineStr">
        <is>
          <t>87</t>
        </is>
      </c>
      <c r="CU331" s="107" t="inlineStr">
        <is>
          <t>0,17%</t>
        </is>
      </c>
      <c r="CV331" s="108" t="inlineStr">
        <is>
          <t>75</t>
        </is>
      </c>
      <c r="CW331" s="109" t="inlineStr">
        <is>
          <t>21,93x</t>
        </is>
      </c>
      <c r="CX331" s="110" t="inlineStr">
        <is>
          <t>92</t>
        </is>
      </c>
      <c r="CY331" s="111" t="inlineStr">
        <is>
          <t>0,09x</t>
        </is>
      </c>
      <c r="CZ331" s="112" t="inlineStr">
        <is>
          <t>0,41%</t>
        </is>
      </c>
      <c r="DA331" s="113" t="inlineStr">
        <is>
          <t>37,39x</t>
        </is>
      </c>
      <c r="DB331" s="114" t="inlineStr">
        <is>
          <t>95</t>
        </is>
      </c>
      <c r="DC331" s="115" t="inlineStr">
        <is>
          <t>6,47x</t>
        </is>
      </c>
      <c r="DD331" s="116" t="inlineStr">
        <is>
          <t>79</t>
        </is>
      </c>
      <c r="DE331" s="117" t="inlineStr">
        <is>
          <t>71,16x</t>
        </is>
      </c>
      <c r="DF331" s="118" t="inlineStr">
        <is>
          <t>95</t>
        </is>
      </c>
      <c r="DG331" s="119" t="inlineStr">
        <is>
          <t>3,61x</t>
        </is>
      </c>
      <c r="DH331" s="120" t="inlineStr">
        <is>
          <t>74</t>
        </is>
      </c>
      <c r="DI331" s="121" t="inlineStr">
        <is>
          <t>1,15x</t>
        </is>
      </c>
      <c r="DJ331" s="122" t="inlineStr">
        <is>
          <t>53</t>
        </is>
      </c>
      <c r="DK331" s="123" t="inlineStr">
        <is>
          <t>11,79x</t>
        </is>
      </c>
      <c r="DL331" s="124" t="inlineStr">
        <is>
          <t>88</t>
        </is>
      </c>
      <c r="DM331" s="125" t="inlineStr">
        <is>
          <t>44.093</t>
        </is>
      </c>
      <c r="DN331" s="126" t="inlineStr">
        <is>
          <t>-987</t>
        </is>
      </c>
      <c r="DO331" s="127" t="inlineStr">
        <is>
          <t>-2,19%</t>
        </is>
      </c>
      <c r="DP331" s="128" t="inlineStr">
        <is>
          <t>919</t>
        </is>
      </c>
      <c r="DQ331" s="129" t="inlineStr">
        <is>
          <t>6</t>
        </is>
      </c>
      <c r="DR331" s="130" t="inlineStr">
        <is>
          <t>0,66%</t>
        </is>
      </c>
      <c r="DS331" s="131" t="inlineStr">
        <is>
          <t>130</t>
        </is>
      </c>
      <c r="DT331" s="132" t="inlineStr">
        <is>
          <t>-2</t>
        </is>
      </c>
      <c r="DU331" s="133" t="inlineStr">
        <is>
          <t>-1,52%</t>
        </is>
      </c>
      <c r="DV331" s="134" t="inlineStr">
        <is>
          <t>4.035</t>
        </is>
      </c>
      <c r="DW331" s="135" t="inlineStr">
        <is>
          <t>14</t>
        </is>
      </c>
      <c r="DX331" s="136" t="inlineStr">
        <is>
          <t>0,35%</t>
        </is>
      </c>
      <c r="DY331" s="137" t="inlineStr">
        <is>
          <t>PitchBook Research</t>
        </is>
      </c>
      <c r="DZ331" s="785">
        <f>HYPERLINK("https://my.pitchbook.com?c=59914-99", "View company online")</f>
      </c>
    </row>
    <row r="332">
      <c r="A332" s="139" t="inlineStr">
        <is>
          <t>167652-10</t>
        </is>
      </c>
      <c r="B332" s="140" t="inlineStr">
        <is>
          <t>OnTruck</t>
        </is>
      </c>
      <c r="C332" s="141" t="inlineStr">
        <is>
          <t/>
        </is>
      </c>
      <c r="D332" s="142" t="inlineStr">
        <is>
          <t/>
        </is>
      </c>
      <c r="E332" s="143" t="inlineStr">
        <is>
          <t>167652-10</t>
        </is>
      </c>
      <c r="F332" s="144" t="inlineStr">
        <is>
          <t>Developer of an on-demand freight delivery platform designed to connect businesses with road freight companies. The company's platform fully automates the process of matching a shipment to the right truck, for the best price, in just 19 seconds as well as offers instant pricing, precise pick-up slots and a real-time tracking service of the status of each shipment, enabling businesses to find he right carrier and manage deliveries in a smart and friction-less way.</t>
        </is>
      </c>
      <c r="G332" s="145" t="inlineStr">
        <is>
          <t>Information Technology</t>
        </is>
      </c>
      <c r="H332" s="146" t="inlineStr">
        <is>
          <t>Software</t>
        </is>
      </c>
      <c r="I332" s="147" t="inlineStr">
        <is>
          <t>Business/Productivity Software</t>
        </is>
      </c>
      <c r="J332" s="148" t="inlineStr">
        <is>
          <t>Business/Productivity Software*; Application Software; Logistics</t>
        </is>
      </c>
      <c r="K332" s="149" t="inlineStr">
        <is>
          <t>Mobile</t>
        </is>
      </c>
      <c r="L332" s="150" t="inlineStr">
        <is>
          <t>Venture Capital-Backed</t>
        </is>
      </c>
      <c r="M332" s="151" t="n">
        <v>13.0</v>
      </c>
      <c r="N332" s="152" t="inlineStr">
        <is>
          <t>Generating Revenue</t>
        </is>
      </c>
      <c r="O332" s="153" t="inlineStr">
        <is>
          <t>Privately Held (backing)</t>
        </is>
      </c>
      <c r="P332" s="154" t="inlineStr">
        <is>
          <t>Venture Capital</t>
        </is>
      </c>
      <c r="Q332" s="155" t="inlineStr">
        <is>
          <t>www.ontruck.com</t>
        </is>
      </c>
      <c r="R332" s="156" t="inlineStr">
        <is>
          <t/>
        </is>
      </c>
      <c r="S332" s="157" t="inlineStr">
        <is>
          <t/>
        </is>
      </c>
      <c r="T332" s="158" t="inlineStr">
        <is>
          <t/>
        </is>
      </c>
      <c r="U332" s="159" t="n">
        <v>2016.0</v>
      </c>
      <c r="V332" s="160" t="inlineStr">
        <is>
          <t/>
        </is>
      </c>
      <c r="W332" s="161" t="inlineStr">
        <is>
          <t/>
        </is>
      </c>
      <c r="X332" s="162" t="inlineStr">
        <is>
          <t/>
        </is>
      </c>
      <c r="Y332" s="163" t="inlineStr">
        <is>
          <t/>
        </is>
      </c>
      <c r="Z332" s="164" t="inlineStr">
        <is>
          <t/>
        </is>
      </c>
      <c r="AA332" s="165" t="inlineStr">
        <is>
          <t/>
        </is>
      </c>
      <c r="AB332" s="166" t="inlineStr">
        <is>
          <t/>
        </is>
      </c>
      <c r="AC332" s="167" t="inlineStr">
        <is>
          <t/>
        </is>
      </c>
      <c r="AD332" s="168" t="inlineStr">
        <is>
          <t/>
        </is>
      </c>
      <c r="AE332" s="169" t="inlineStr">
        <is>
          <t>148654-81P</t>
        </is>
      </c>
      <c r="AF332" s="170" t="inlineStr">
        <is>
          <t>Iñigo Juantegui</t>
        </is>
      </c>
      <c r="AG332" s="171" t="inlineStr">
        <is>
          <t>Co-Founder &amp; Managing Director</t>
        </is>
      </c>
      <c r="AH332" s="172" t="inlineStr">
        <is>
          <t/>
        </is>
      </c>
      <c r="AI332" s="173" t="inlineStr">
        <is>
          <t>+34 91 123 5562</t>
        </is>
      </c>
      <c r="AJ332" s="174" t="inlineStr">
        <is>
          <t>Madrid, Spain</t>
        </is>
      </c>
      <c r="AK332" s="175" t="inlineStr">
        <is>
          <t>Calle Príncipe de Vergara 128</t>
        </is>
      </c>
      <c r="AL332" s="176" t="inlineStr">
        <is>
          <t>Entreplanta</t>
        </is>
      </c>
      <c r="AM332" s="177" t="inlineStr">
        <is>
          <t>Madrid</t>
        </is>
      </c>
      <c r="AN332" s="178" t="inlineStr">
        <is>
          <t/>
        </is>
      </c>
      <c r="AO332" s="179" t="inlineStr">
        <is>
          <t>28002</t>
        </is>
      </c>
      <c r="AP332" s="180" t="inlineStr">
        <is>
          <t>Spain</t>
        </is>
      </c>
      <c r="AQ332" s="181" t="inlineStr">
        <is>
          <t>+34 91 123 5562</t>
        </is>
      </c>
      <c r="AR332" s="182" t="inlineStr">
        <is>
          <t/>
        </is>
      </c>
      <c r="AS332" s="183" t="inlineStr">
        <is>
          <t>cargas@ontruck.com</t>
        </is>
      </c>
      <c r="AT332" s="184" t="inlineStr">
        <is>
          <t>Europe</t>
        </is>
      </c>
      <c r="AU332" s="185" t="inlineStr">
        <is>
          <t>Southern Europe</t>
        </is>
      </c>
      <c r="AV332" s="186" t="inlineStr">
        <is>
          <t>The company raised EUR 11 million of Series A venture funding from lead investors Atomico Uk Partners and IdInvest Partners on May 1, 2017. Ecomobility Ventures, Point Nine Capital, La Famiglia, 42CAP, Total Energy Ventures and Samaipata Ventures also participated in the round. The funds will be used to expand into Europe beyond Madrid and Barcelona. Previously, the company raised EUR 2 million of seed funding from Point Nine Capital, LocalGlobe and Samaipata Ventures on October 26, 2016.</t>
        </is>
      </c>
      <c r="AW332" s="187" t="inlineStr">
        <is>
          <t>42CAP, Atomico, Ecomobility Ventures, IdInvest Partners, La Famiglia, LocalGlobe, Point Nine Capital, Samaipata Ventures, Total Energy Ventures</t>
        </is>
      </c>
      <c r="AX332" s="188" t="n">
        <v>9.0</v>
      </c>
      <c r="AY332" s="189" t="inlineStr">
        <is>
          <t/>
        </is>
      </c>
      <c r="AZ332" s="190" t="inlineStr">
        <is>
          <t/>
        </is>
      </c>
      <c r="BA332" s="191" t="inlineStr">
        <is>
          <t/>
        </is>
      </c>
      <c r="BB332" s="192" t="inlineStr">
        <is>
          <t>42CAP (www.42cap.com), Atomico (www.atomico.com), Ecomobility Ventures (www.ecomobility-ventures.com), IdInvest Partners (www.idinvest.com), La Famiglia (lafamiglia.vc), LocalGlobe (www.localglobe.vc), Point Nine Capital (www.pointninecap.com), Samaipata Ventures (www.samaipataventures.com)</t>
        </is>
      </c>
      <c r="BC332" s="193" t="inlineStr">
        <is>
          <t/>
        </is>
      </c>
      <c r="BD332" s="194" t="inlineStr">
        <is>
          <t/>
        </is>
      </c>
      <c r="BE332" s="195" t="inlineStr">
        <is>
          <t/>
        </is>
      </c>
      <c r="BF332" s="196" t="inlineStr">
        <is>
          <t/>
        </is>
      </c>
      <c r="BG332" s="197" t="n">
        <v>42669.0</v>
      </c>
      <c r="BH332" s="198" t="n">
        <v>2.0</v>
      </c>
      <c r="BI332" s="199" t="inlineStr">
        <is>
          <t>Actual</t>
        </is>
      </c>
      <c r="BJ332" s="200" t="inlineStr">
        <is>
          <t/>
        </is>
      </c>
      <c r="BK332" s="201" t="inlineStr">
        <is>
          <t/>
        </is>
      </c>
      <c r="BL332" s="202" t="inlineStr">
        <is>
          <t>Seed Round</t>
        </is>
      </c>
      <c r="BM332" s="203" t="inlineStr">
        <is>
          <t>Seed</t>
        </is>
      </c>
      <c r="BN332" s="204" t="inlineStr">
        <is>
          <t/>
        </is>
      </c>
      <c r="BO332" s="205" t="inlineStr">
        <is>
          <t>Venture Capital</t>
        </is>
      </c>
      <c r="BP332" s="206" t="inlineStr">
        <is>
          <t/>
        </is>
      </c>
      <c r="BQ332" s="207" t="inlineStr">
        <is>
          <t/>
        </is>
      </c>
      <c r="BR332" s="208" t="inlineStr">
        <is>
          <t/>
        </is>
      </c>
      <c r="BS332" s="209" t="inlineStr">
        <is>
          <t>Completed</t>
        </is>
      </c>
      <c r="BT332" s="210" t="n">
        <v>42856.0</v>
      </c>
      <c r="BU332" s="211" t="n">
        <v>11.0</v>
      </c>
      <c r="BV332" s="212" t="inlineStr">
        <is>
          <t>Actual</t>
        </is>
      </c>
      <c r="BW332" s="213" t="inlineStr">
        <is>
          <t/>
        </is>
      </c>
      <c r="BX332" s="214" t="inlineStr">
        <is>
          <t/>
        </is>
      </c>
      <c r="BY332" s="215" t="inlineStr">
        <is>
          <t>Early Stage VC</t>
        </is>
      </c>
      <c r="BZ332" s="216" t="inlineStr">
        <is>
          <t>Series A</t>
        </is>
      </c>
      <c r="CA332" s="217" t="inlineStr">
        <is>
          <t/>
        </is>
      </c>
      <c r="CB332" s="218" t="inlineStr">
        <is>
          <t>Venture Capital</t>
        </is>
      </c>
      <c r="CC332" s="219" t="inlineStr">
        <is>
          <t/>
        </is>
      </c>
      <c r="CD332" s="220" t="inlineStr">
        <is>
          <t/>
        </is>
      </c>
      <c r="CE332" s="221" t="inlineStr">
        <is>
          <t/>
        </is>
      </c>
      <c r="CF332" s="222" t="inlineStr">
        <is>
          <t>Completed</t>
        </is>
      </c>
      <c r="CG332" s="223" t="inlineStr">
        <is>
          <t>-0,25%</t>
        </is>
      </c>
      <c r="CH332" s="224" t="inlineStr">
        <is>
          <t>11</t>
        </is>
      </c>
      <c r="CI332" s="225" t="inlineStr">
        <is>
          <t>-0,08%</t>
        </is>
      </c>
      <c r="CJ332" s="226" t="inlineStr">
        <is>
          <t>-45,93%</t>
        </is>
      </c>
      <c r="CK332" s="227" t="inlineStr">
        <is>
          <t>-3,22%</t>
        </is>
      </c>
      <c r="CL332" s="228" t="inlineStr">
        <is>
          <t>3</t>
        </is>
      </c>
      <c r="CM332" s="229" t="inlineStr">
        <is>
          <t>2,72%</t>
        </is>
      </c>
      <c r="CN332" s="230" t="inlineStr">
        <is>
          <t>99</t>
        </is>
      </c>
      <c r="CO332" s="231" t="inlineStr">
        <is>
          <t>-6,44%</t>
        </is>
      </c>
      <c r="CP332" s="232" t="inlineStr">
        <is>
          <t>5</t>
        </is>
      </c>
      <c r="CQ332" s="233" t="inlineStr">
        <is>
          <t>0,00%</t>
        </is>
      </c>
      <c r="CR332" s="234" t="inlineStr">
        <is>
          <t>13</t>
        </is>
      </c>
      <c r="CS332" s="235" t="inlineStr">
        <is>
          <t>3,48%</t>
        </is>
      </c>
      <c r="CT332" s="236" t="inlineStr">
        <is>
          <t>99</t>
        </is>
      </c>
      <c r="CU332" s="237" t="inlineStr">
        <is>
          <t>1,97%</t>
        </is>
      </c>
      <c r="CV332" s="238" t="inlineStr">
        <is>
          <t>99</t>
        </is>
      </c>
      <c r="CW332" s="239" t="inlineStr">
        <is>
          <t>3,36x</t>
        </is>
      </c>
      <c r="CX332" s="240" t="inlineStr">
        <is>
          <t>73</t>
        </is>
      </c>
      <c r="CY332" s="241" t="inlineStr">
        <is>
          <t>0,03x</t>
        </is>
      </c>
      <c r="CZ332" s="242" t="inlineStr">
        <is>
          <t>0,88%</t>
        </is>
      </c>
      <c r="DA332" s="243" t="inlineStr">
        <is>
          <t>4,67x</t>
        </is>
      </c>
      <c r="DB332" s="244" t="inlineStr">
        <is>
          <t>79</t>
        </is>
      </c>
      <c r="DC332" s="245" t="inlineStr">
        <is>
          <t>2,05x</t>
        </is>
      </c>
      <c r="DD332" s="246" t="inlineStr">
        <is>
          <t>62</t>
        </is>
      </c>
      <c r="DE332" s="247" t="inlineStr">
        <is>
          <t>6,86x</t>
        </is>
      </c>
      <c r="DF332" s="248" t="inlineStr">
        <is>
          <t>80</t>
        </is>
      </c>
      <c r="DG332" s="249" t="inlineStr">
        <is>
          <t>2,47x</t>
        </is>
      </c>
      <c r="DH332" s="250" t="inlineStr">
        <is>
          <t>68</t>
        </is>
      </c>
      <c r="DI332" s="251" t="inlineStr">
        <is>
          <t>2,93x</t>
        </is>
      </c>
      <c r="DJ332" s="252" t="inlineStr">
        <is>
          <t>68</t>
        </is>
      </c>
      <c r="DK332" s="253" t="inlineStr">
        <is>
          <t>1,17x</t>
        </is>
      </c>
      <c r="DL332" s="254" t="inlineStr">
        <is>
          <t>53</t>
        </is>
      </c>
      <c r="DM332" s="255" t="inlineStr">
        <is>
          <t>4.574</t>
        </is>
      </c>
      <c r="DN332" s="256" t="inlineStr">
        <is>
          <t>-1.062</t>
        </is>
      </c>
      <c r="DO332" s="257" t="inlineStr">
        <is>
          <t>-18,84%</t>
        </is>
      </c>
      <c r="DP332" s="258" t="inlineStr">
        <is>
          <t>2.341</t>
        </is>
      </c>
      <c r="DQ332" s="259" t="inlineStr">
        <is>
          <t>14</t>
        </is>
      </c>
      <c r="DR332" s="260" t="inlineStr">
        <is>
          <t>0,60%</t>
        </is>
      </c>
      <c r="DS332" s="261" t="inlineStr">
        <is>
          <t>90</t>
        </is>
      </c>
      <c r="DT332" s="262" t="inlineStr">
        <is>
          <t>-2</t>
        </is>
      </c>
      <c r="DU332" s="263" t="inlineStr">
        <is>
          <t>-2,17%</t>
        </is>
      </c>
      <c r="DV332" s="264" t="inlineStr">
        <is>
          <t>397</t>
        </is>
      </c>
      <c r="DW332" s="265" t="inlineStr">
        <is>
          <t>12</t>
        </is>
      </c>
      <c r="DX332" s="266" t="inlineStr">
        <is>
          <t>3,12%</t>
        </is>
      </c>
      <c r="DY332" s="267" t="inlineStr">
        <is>
          <t>PitchBook Research</t>
        </is>
      </c>
      <c r="DZ332" s="786">
        <f>HYPERLINK("https://my.pitchbook.com?c=167652-10", "View company online")</f>
      </c>
    </row>
    <row r="333">
      <c r="A333" s="9" t="inlineStr">
        <is>
          <t>108859-51</t>
        </is>
      </c>
      <c r="B333" s="10" t="inlineStr">
        <is>
          <t>OptioPay</t>
        </is>
      </c>
      <c r="C333" s="11" t="inlineStr">
        <is>
          <t/>
        </is>
      </c>
      <c r="D333" s="12" t="inlineStr">
        <is>
          <t/>
        </is>
      </c>
      <c r="E333" s="13" t="inlineStr">
        <is>
          <t>108859-51</t>
        </is>
      </c>
      <c r="F333" s="14" t="inlineStr">
        <is>
          <t>Provider of a platform for marketing payouts. The company provides a platform for marketing payouts and offers services from payroll expenses to customer refunds for management of business payments.</t>
        </is>
      </c>
      <c r="G333" s="15" t="inlineStr">
        <is>
          <t>Business Products and Services (B2B)</t>
        </is>
      </c>
      <c r="H333" s="16" t="inlineStr">
        <is>
          <t>Commercial Services</t>
        </is>
      </c>
      <c r="I333" s="17" t="inlineStr">
        <is>
          <t>Other Commercial Services</t>
        </is>
      </c>
      <c r="J333" s="18" t="inlineStr">
        <is>
          <t>Other Commercial Services*; Social/Platform Software</t>
        </is>
      </c>
      <c r="K333" s="19" t="inlineStr">
        <is>
          <t/>
        </is>
      </c>
      <c r="L333" s="20" t="inlineStr">
        <is>
          <t>Venture Capital-Backed</t>
        </is>
      </c>
      <c r="M333" s="21" t="n">
        <v>7.0</v>
      </c>
      <c r="N333" s="22" t="inlineStr">
        <is>
          <t>Startup</t>
        </is>
      </c>
      <c r="O333" s="23" t="inlineStr">
        <is>
          <t>Privately Held (backing)</t>
        </is>
      </c>
      <c r="P333" s="24" t="inlineStr">
        <is>
          <t>Venture Capital</t>
        </is>
      </c>
      <c r="Q333" s="25" t="inlineStr">
        <is>
          <t>www.optiopay.com</t>
        </is>
      </c>
      <c r="R333" s="26" t="n">
        <v>39.0</v>
      </c>
      <c r="S333" s="27" t="inlineStr">
        <is>
          <t/>
        </is>
      </c>
      <c r="T333" s="28" t="inlineStr">
        <is>
          <t/>
        </is>
      </c>
      <c r="U333" s="29" t="n">
        <v>2014.0</v>
      </c>
      <c r="V333" s="30" t="inlineStr">
        <is>
          <t/>
        </is>
      </c>
      <c r="W333" s="31" t="inlineStr">
        <is>
          <t/>
        </is>
      </c>
      <c r="X333" s="32" t="inlineStr">
        <is>
          <t/>
        </is>
      </c>
      <c r="Y333" s="33" t="inlineStr">
        <is>
          <t/>
        </is>
      </c>
      <c r="Z333" s="34" t="inlineStr">
        <is>
          <t/>
        </is>
      </c>
      <c r="AA333" s="35" t="inlineStr">
        <is>
          <t/>
        </is>
      </c>
      <c r="AB333" s="36" t="inlineStr">
        <is>
          <t/>
        </is>
      </c>
      <c r="AC333" s="37" t="inlineStr">
        <is>
          <t/>
        </is>
      </c>
      <c r="AD333" s="38" t="inlineStr">
        <is>
          <t/>
        </is>
      </c>
      <c r="AE333" s="39" t="inlineStr">
        <is>
          <t>117957-70P</t>
        </is>
      </c>
      <c r="AF333" s="40" t="inlineStr">
        <is>
          <t>Marcus Borner</t>
        </is>
      </c>
      <c r="AG333" s="41" t="inlineStr">
        <is>
          <t>Co-Founder &amp; Chief Executive Officer</t>
        </is>
      </c>
      <c r="AH333" s="42" t="inlineStr">
        <is>
          <t>marcus@optiopay.com</t>
        </is>
      </c>
      <c r="AI333" s="43" t="inlineStr">
        <is>
          <t/>
        </is>
      </c>
      <c r="AJ333" s="44" t="inlineStr">
        <is>
          <t>Berlin, Germany</t>
        </is>
      </c>
      <c r="AK333" s="45" t="inlineStr">
        <is>
          <t>Muhlenstr. 78-80</t>
        </is>
      </c>
      <c r="AL333" s="46" t="inlineStr">
        <is>
          <t/>
        </is>
      </c>
      <c r="AM333" s="47" t="inlineStr">
        <is>
          <t>Berlin</t>
        </is>
      </c>
      <c r="AN333" s="48" t="inlineStr">
        <is>
          <t/>
        </is>
      </c>
      <c r="AO333" s="49" t="inlineStr">
        <is>
          <t>10243</t>
        </is>
      </c>
      <c r="AP333" s="50" t="inlineStr">
        <is>
          <t>Germany</t>
        </is>
      </c>
      <c r="AQ333" s="51" t="inlineStr">
        <is>
          <t/>
        </is>
      </c>
      <c r="AR333" s="52" t="inlineStr">
        <is>
          <t/>
        </is>
      </c>
      <c r="AS333" s="53" t="inlineStr">
        <is>
          <t>info@optiopay.com</t>
        </is>
      </c>
      <c r="AT333" s="54" t="inlineStr">
        <is>
          <t>Europe</t>
        </is>
      </c>
      <c r="AU333" s="55" t="inlineStr">
        <is>
          <t>Western Europe</t>
        </is>
      </c>
      <c r="AV333" s="56" t="inlineStr">
        <is>
          <t>The company raised EUR 7 million of seed funding from DVH Ventures, Nord LB, main incubator, Berlin Ventures and Auden on June 8, 2016. The company intends to use the funds to continue to expand operations. Rheingau Founders and Michael Grabner Media also participated.</t>
        </is>
      </c>
      <c r="AW333" s="57" t="inlineStr">
        <is>
          <t>Auden, Berlin Ventures, Dieter von Holtzbrinck Ventures, Main Incubator, Michael Grabner Media, NJF Capital, Norddeutsche Landesbank, Rheingau Founders</t>
        </is>
      </c>
      <c r="AX333" s="58" t="n">
        <v>8.0</v>
      </c>
      <c r="AY333" s="59" t="inlineStr">
        <is>
          <t/>
        </is>
      </c>
      <c r="AZ333" s="60" t="inlineStr">
        <is>
          <t/>
        </is>
      </c>
      <c r="BA333" s="61" t="inlineStr">
        <is>
          <t/>
        </is>
      </c>
      <c r="BB333" s="62" t="inlineStr">
        <is>
          <t>Auden (www.auden.com), Berlin Ventures (www.berlinventures.com), Dieter von Holtzbrinck Ventures (www.dvhventures.de), Main Incubator (www.main-incubator.com), Michael Grabner Media (www.michaelgrabner.com), NJF Capital (www.njfcapital.com), Norddeutsche Landesbank (www.nordlb.com), Rheingau Founders (www.rheingau-founders.com)</t>
        </is>
      </c>
      <c r="BC333" s="63" t="inlineStr">
        <is>
          <t/>
        </is>
      </c>
      <c r="BD333" s="64" t="inlineStr">
        <is>
          <t/>
        </is>
      </c>
      <c r="BE333" s="65" t="inlineStr">
        <is>
          <t/>
        </is>
      </c>
      <c r="BF333" s="66" t="inlineStr">
        <is>
          <t/>
        </is>
      </c>
      <c r="BG333" s="67" t="n">
        <v>42043.0</v>
      </c>
      <c r="BH333" s="68" t="inlineStr">
        <is>
          <t/>
        </is>
      </c>
      <c r="BI333" s="69" t="inlineStr">
        <is>
          <t/>
        </is>
      </c>
      <c r="BJ333" s="70" t="inlineStr">
        <is>
          <t/>
        </is>
      </c>
      <c r="BK333" s="71" t="inlineStr">
        <is>
          <t/>
        </is>
      </c>
      <c r="BL333" s="72" t="inlineStr">
        <is>
          <t>Early Stage VC</t>
        </is>
      </c>
      <c r="BM333" s="73" t="inlineStr">
        <is>
          <t/>
        </is>
      </c>
      <c r="BN333" s="74" t="inlineStr">
        <is>
          <t/>
        </is>
      </c>
      <c r="BO333" s="75" t="inlineStr">
        <is>
          <t>Venture Capital</t>
        </is>
      </c>
      <c r="BP333" s="76" t="inlineStr">
        <is>
          <t/>
        </is>
      </c>
      <c r="BQ333" s="77" t="inlineStr">
        <is>
          <t/>
        </is>
      </c>
      <c r="BR333" s="78" t="inlineStr">
        <is>
          <t/>
        </is>
      </c>
      <c r="BS333" s="79" t="inlineStr">
        <is>
          <t>Completed</t>
        </is>
      </c>
      <c r="BT333" s="80" t="n">
        <v>42529.0</v>
      </c>
      <c r="BU333" s="81" t="n">
        <v>7.0</v>
      </c>
      <c r="BV333" s="82" t="inlineStr">
        <is>
          <t>Actual</t>
        </is>
      </c>
      <c r="BW333" s="83" t="inlineStr">
        <is>
          <t/>
        </is>
      </c>
      <c r="BX333" s="84" t="inlineStr">
        <is>
          <t/>
        </is>
      </c>
      <c r="BY333" s="85" t="inlineStr">
        <is>
          <t>Seed Round</t>
        </is>
      </c>
      <c r="BZ333" s="86" t="inlineStr">
        <is>
          <t>Seed</t>
        </is>
      </c>
      <c r="CA333" s="87" t="inlineStr">
        <is>
          <t/>
        </is>
      </c>
      <c r="CB333" s="88" t="inlineStr">
        <is>
          <t>Venture Capital</t>
        </is>
      </c>
      <c r="CC333" s="89" t="inlineStr">
        <is>
          <t/>
        </is>
      </c>
      <c r="CD333" s="90" t="inlineStr">
        <is>
          <t/>
        </is>
      </c>
      <c r="CE333" s="91" t="inlineStr">
        <is>
          <t/>
        </is>
      </c>
      <c r="CF333" s="92" t="inlineStr">
        <is>
          <t>Completed</t>
        </is>
      </c>
      <c r="CG333" s="93" t="inlineStr">
        <is>
          <t>0,90%</t>
        </is>
      </c>
      <c r="CH333" s="94" t="inlineStr">
        <is>
          <t>88</t>
        </is>
      </c>
      <c r="CI333" s="95" t="inlineStr">
        <is>
          <t>0,00%</t>
        </is>
      </c>
      <c r="CJ333" s="96" t="inlineStr">
        <is>
          <t>-0,20%</t>
        </is>
      </c>
      <c r="CK333" s="97" t="inlineStr">
        <is>
          <t>1,19%</t>
        </is>
      </c>
      <c r="CL333" s="98" t="inlineStr">
        <is>
          <t>88</t>
        </is>
      </c>
      <c r="CM333" s="99" t="inlineStr">
        <is>
          <t>0,60%</t>
        </is>
      </c>
      <c r="CN333" s="100" t="inlineStr">
        <is>
          <t>92</t>
        </is>
      </c>
      <c r="CO333" s="101" t="inlineStr">
        <is>
          <t>2,61%</t>
        </is>
      </c>
      <c r="CP333" s="102" t="inlineStr">
        <is>
          <t>91</t>
        </is>
      </c>
      <c r="CQ333" s="103" t="inlineStr">
        <is>
          <t>-0,23%</t>
        </is>
      </c>
      <c r="CR333" s="104" t="inlineStr">
        <is>
          <t>10</t>
        </is>
      </c>
      <c r="CS333" s="105" t="inlineStr">
        <is>
          <t>0,73%</t>
        </is>
      </c>
      <c r="CT333" s="106" t="inlineStr">
        <is>
          <t>92</t>
        </is>
      </c>
      <c r="CU333" s="107" t="inlineStr">
        <is>
          <t>0,47%</t>
        </is>
      </c>
      <c r="CV333" s="108" t="inlineStr">
        <is>
          <t>91</t>
        </is>
      </c>
      <c r="CW333" s="109" t="inlineStr">
        <is>
          <t>3,07x</t>
        </is>
      </c>
      <c r="CX333" s="110" t="inlineStr">
        <is>
          <t>72</t>
        </is>
      </c>
      <c r="CY333" s="111" t="inlineStr">
        <is>
          <t>0,06x</t>
        </is>
      </c>
      <c r="CZ333" s="112" t="inlineStr">
        <is>
          <t>1,84%</t>
        </is>
      </c>
      <c r="DA333" s="113" t="inlineStr">
        <is>
          <t>5,23x</t>
        </is>
      </c>
      <c r="DB333" s="114" t="inlineStr">
        <is>
          <t>81</t>
        </is>
      </c>
      <c r="DC333" s="115" t="inlineStr">
        <is>
          <t>0,90x</t>
        </is>
      </c>
      <c r="DD333" s="116" t="inlineStr">
        <is>
          <t>46</t>
        </is>
      </c>
      <c r="DE333" s="117" t="inlineStr">
        <is>
          <t>6,13x</t>
        </is>
      </c>
      <c r="DF333" s="118" t="inlineStr">
        <is>
          <t>79</t>
        </is>
      </c>
      <c r="DG333" s="119" t="inlineStr">
        <is>
          <t>4,33x</t>
        </is>
      </c>
      <c r="DH333" s="120" t="inlineStr">
        <is>
          <t>77</t>
        </is>
      </c>
      <c r="DI333" s="121" t="inlineStr">
        <is>
          <t>0,38x</t>
        </is>
      </c>
      <c r="DJ333" s="122" t="inlineStr">
        <is>
          <t>34</t>
        </is>
      </c>
      <c r="DK333" s="123" t="inlineStr">
        <is>
          <t>1,43x</t>
        </is>
      </c>
      <c r="DL333" s="124" t="inlineStr">
        <is>
          <t>57</t>
        </is>
      </c>
      <c r="DM333" s="125" t="inlineStr">
        <is>
          <t>3.777</t>
        </is>
      </c>
      <c r="DN333" s="126" t="inlineStr">
        <is>
          <t>-27</t>
        </is>
      </c>
      <c r="DO333" s="127" t="inlineStr">
        <is>
          <t>-0,71%</t>
        </is>
      </c>
      <c r="DP333" s="128" t="inlineStr">
        <is>
          <t>301</t>
        </is>
      </c>
      <c r="DQ333" s="129" t="inlineStr">
        <is>
          <t>2</t>
        </is>
      </c>
      <c r="DR333" s="130" t="inlineStr">
        <is>
          <t>0,67%</t>
        </is>
      </c>
      <c r="DS333" s="131" t="inlineStr">
        <is>
          <t>155</t>
        </is>
      </c>
      <c r="DT333" s="132" t="inlineStr">
        <is>
          <t>1</t>
        </is>
      </c>
      <c r="DU333" s="133" t="inlineStr">
        <is>
          <t>0,65%</t>
        </is>
      </c>
      <c r="DV333" s="134" t="inlineStr">
        <is>
          <t>487</t>
        </is>
      </c>
      <c r="DW333" s="135" t="inlineStr">
        <is>
          <t>2</t>
        </is>
      </c>
      <c r="DX333" s="136" t="inlineStr">
        <is>
          <t>0,41%</t>
        </is>
      </c>
      <c r="DY333" s="137" t="inlineStr">
        <is>
          <t>PitchBook Research</t>
        </is>
      </c>
      <c r="DZ333" s="785">
        <f>HYPERLINK("https://my.pitchbook.com?c=108859-51", "View company online")</f>
      </c>
    </row>
    <row r="334">
      <c r="A334" s="139" t="inlineStr">
        <is>
          <t>93998-26</t>
        </is>
      </c>
      <c r="B334" s="140" t="inlineStr">
        <is>
          <t>Orbital Systems</t>
        </is>
      </c>
      <c r="C334" s="141" t="inlineStr">
        <is>
          <t/>
        </is>
      </c>
      <c r="D334" s="142" t="inlineStr">
        <is>
          <t/>
        </is>
      </c>
      <c r="E334" s="143" t="inlineStr">
        <is>
          <t>93998-26</t>
        </is>
      </c>
      <c r="F334" s="144" t="inlineStr">
        <is>
          <t>Developer of a water re-purification technology designed to reduce the quantity of water and vitality used when taking a shower. The company's water-saving shower ensures bacteria and other 'bad' elements found in water coming off the user's body is removed in each cycle and that if the water is deemed too contaminated, it's discarded altogether, enabling users to recycle and reuse their shower water and save water and energy up to 90% more compared to conventional showers</t>
        </is>
      </c>
      <c r="G334" s="145" t="inlineStr">
        <is>
          <t>Business Products and Services (B2B)</t>
        </is>
      </c>
      <c r="H334" s="146" t="inlineStr">
        <is>
          <t>Commercial Services</t>
        </is>
      </c>
      <c r="I334" s="147" t="inlineStr">
        <is>
          <t>Environmental Services (B2B)</t>
        </is>
      </c>
      <c r="J334" s="148" t="inlineStr">
        <is>
          <t>Environmental Services (B2B)*; Other Consumer Durables</t>
        </is>
      </c>
      <c r="K334" s="149" t="inlineStr">
        <is>
          <t>CleanTech</t>
        </is>
      </c>
      <c r="L334" s="150" t="inlineStr">
        <is>
          <t>Venture Capital-Backed</t>
        </is>
      </c>
      <c r="M334" s="151" t="n">
        <v>22.16</v>
      </c>
      <c r="N334" s="152" t="inlineStr">
        <is>
          <t>Generating Revenue</t>
        </is>
      </c>
      <c r="O334" s="153" t="inlineStr">
        <is>
          <t>Privately Held (backing)</t>
        </is>
      </c>
      <c r="P334" s="154" t="inlineStr">
        <is>
          <t>Venture Capital</t>
        </is>
      </c>
      <c r="Q334" s="155" t="inlineStr">
        <is>
          <t>www.orbital-systems.com</t>
        </is>
      </c>
      <c r="R334" s="156" t="n">
        <v>18.0</v>
      </c>
      <c r="S334" s="157" t="inlineStr">
        <is>
          <t/>
        </is>
      </c>
      <c r="T334" s="158" t="inlineStr">
        <is>
          <t/>
        </is>
      </c>
      <c r="U334" s="159" t="n">
        <v>2012.0</v>
      </c>
      <c r="V334" s="160" t="inlineStr">
        <is>
          <t/>
        </is>
      </c>
      <c r="W334" s="161" t="inlineStr">
        <is>
          <t/>
        </is>
      </c>
      <c r="X334" s="162" t="inlineStr">
        <is>
          <t/>
        </is>
      </c>
      <c r="Y334" s="163" t="n">
        <v>0.11025</v>
      </c>
      <c r="Z334" s="164" t="inlineStr">
        <is>
          <t/>
        </is>
      </c>
      <c r="AA334" s="165" t="n">
        <v>-1.93852</v>
      </c>
      <c r="AB334" s="166" t="inlineStr">
        <is>
          <t/>
        </is>
      </c>
      <c r="AC334" s="167" t="n">
        <v>-1.74559</v>
      </c>
      <c r="AD334" s="168" t="inlineStr">
        <is>
          <t>FY 2015</t>
        </is>
      </c>
      <c r="AE334" s="169" t="inlineStr">
        <is>
          <t>104934-79P</t>
        </is>
      </c>
      <c r="AF334" s="170" t="inlineStr">
        <is>
          <t>Mehrdad Mahdjoubi</t>
        </is>
      </c>
      <c r="AG334" s="171" t="inlineStr">
        <is>
          <t>Founder, Chief Executive Officer &amp; President</t>
        </is>
      </c>
      <c r="AH334" s="172" t="inlineStr">
        <is>
          <t>mehrdad@orbital-systems.com</t>
        </is>
      </c>
      <c r="AI334" s="173" t="inlineStr">
        <is>
          <t>+46 (0)4 0 619 55 55</t>
        </is>
      </c>
      <c r="AJ334" s="174" t="inlineStr">
        <is>
          <t>Malmö, Sweden</t>
        </is>
      </c>
      <c r="AK334" s="175" t="inlineStr">
        <is>
          <t>Stora Varvsgatan 6</t>
        </is>
      </c>
      <c r="AL334" s="176" t="inlineStr">
        <is>
          <t/>
        </is>
      </c>
      <c r="AM334" s="177" t="inlineStr">
        <is>
          <t>Malmö</t>
        </is>
      </c>
      <c r="AN334" s="178" t="inlineStr">
        <is>
          <t/>
        </is>
      </c>
      <c r="AO334" s="179" t="inlineStr">
        <is>
          <t>211 19</t>
        </is>
      </c>
      <c r="AP334" s="180" t="inlineStr">
        <is>
          <t>Sweden</t>
        </is>
      </c>
      <c r="AQ334" s="181" t="inlineStr">
        <is>
          <t>+46 (0)4 0 619 55 55</t>
        </is>
      </c>
      <c r="AR334" s="182" t="inlineStr">
        <is>
          <t/>
        </is>
      </c>
      <c r="AS334" s="183" t="inlineStr">
        <is>
          <t>se@orbital-systems.com</t>
        </is>
      </c>
      <c r="AT334" s="184" t="inlineStr">
        <is>
          <t>Europe</t>
        </is>
      </c>
      <c r="AU334" s="185" t="inlineStr">
        <is>
          <t>Northern Europe</t>
        </is>
      </c>
      <c r="AV334" s="186" t="inlineStr">
        <is>
          <t>The company raised GBP 15 million of Series B venture funding from Niklas Zennström, Karl-Johan Persson and the Jochnick family on April 12, 2017. Stena Ventures and Nils Idoff also participated in the round. With the round, the company has raised a total of GBP 25 million in funding to date. Previously, the company received SEK 20.6 million of grant funding from The Swedish Energy Agency on November 4, 2016.</t>
        </is>
      </c>
      <c r="AW334" s="187" t="inlineStr">
        <is>
          <t>David Epstein, Dendera Venture, Jochnick family, Karl-Johan Persson, Mårten Öbrink, Niklas Zennström, Nils Idoff, Peter Carlsson, Peter Enberg, Rosengård Invest, Stena Ventures, Swedish Energy Agency</t>
        </is>
      </c>
      <c r="AX334" s="188" t="n">
        <v>12.0</v>
      </c>
      <c r="AY334" s="189" t="inlineStr">
        <is>
          <t/>
        </is>
      </c>
      <c r="AZ334" s="190" t="inlineStr">
        <is>
          <t/>
        </is>
      </c>
      <c r="BA334" s="191" t="inlineStr">
        <is>
          <t/>
        </is>
      </c>
      <c r="BB334" s="192" t="inlineStr">
        <is>
          <t>Dendera Venture (www.dendera.se), Rosengård Invest (www.rosengardinvest.se)</t>
        </is>
      </c>
      <c r="BC334" s="193" t="inlineStr">
        <is>
          <t/>
        </is>
      </c>
      <c r="BD334" s="194" t="inlineStr">
        <is>
          <t/>
        </is>
      </c>
      <c r="BE334" s="195" t="inlineStr">
        <is>
          <t/>
        </is>
      </c>
      <c r="BF334" s="196" t="inlineStr">
        <is>
          <t/>
        </is>
      </c>
      <c r="BG334" s="197" t="inlineStr">
        <is>
          <t/>
        </is>
      </c>
      <c r="BH334" s="198" t="inlineStr">
        <is>
          <t/>
        </is>
      </c>
      <c r="BI334" s="199" t="inlineStr">
        <is>
          <t/>
        </is>
      </c>
      <c r="BJ334" s="200" t="inlineStr">
        <is>
          <t/>
        </is>
      </c>
      <c r="BK334" s="201" t="inlineStr">
        <is>
          <t/>
        </is>
      </c>
      <c r="BL334" s="202" t="inlineStr">
        <is>
          <t>Angel (individual)</t>
        </is>
      </c>
      <c r="BM334" s="203" t="inlineStr">
        <is>
          <t>Angel</t>
        </is>
      </c>
      <c r="BN334" s="204" t="inlineStr">
        <is>
          <t/>
        </is>
      </c>
      <c r="BO334" s="205" t="inlineStr">
        <is>
          <t>Individual</t>
        </is>
      </c>
      <c r="BP334" s="206" t="inlineStr">
        <is>
          <t/>
        </is>
      </c>
      <c r="BQ334" s="207" t="inlineStr">
        <is>
          <t/>
        </is>
      </c>
      <c r="BR334" s="208" t="inlineStr">
        <is>
          <t/>
        </is>
      </c>
      <c r="BS334" s="209" t="inlineStr">
        <is>
          <t>Completed</t>
        </is>
      </c>
      <c r="BT334" s="210" t="n">
        <v>42837.0</v>
      </c>
      <c r="BU334" s="211" t="n">
        <v>17.69</v>
      </c>
      <c r="BV334" s="212" t="inlineStr">
        <is>
          <t>Actual</t>
        </is>
      </c>
      <c r="BW334" s="213" t="inlineStr">
        <is>
          <t/>
        </is>
      </c>
      <c r="BX334" s="214" t="inlineStr">
        <is>
          <t/>
        </is>
      </c>
      <c r="BY334" s="215" t="inlineStr">
        <is>
          <t>Later Stage VC</t>
        </is>
      </c>
      <c r="BZ334" s="216" t="inlineStr">
        <is>
          <t>Series B</t>
        </is>
      </c>
      <c r="CA334" s="217" t="inlineStr">
        <is>
          <t/>
        </is>
      </c>
      <c r="CB334" s="218" t="inlineStr">
        <is>
          <t>Venture Capital</t>
        </is>
      </c>
      <c r="CC334" s="219" t="inlineStr">
        <is>
          <t/>
        </is>
      </c>
      <c r="CD334" s="220" t="inlineStr">
        <is>
          <t/>
        </is>
      </c>
      <c r="CE334" s="221" t="inlineStr">
        <is>
          <t/>
        </is>
      </c>
      <c r="CF334" s="222" t="inlineStr">
        <is>
          <t>Completed</t>
        </is>
      </c>
      <c r="CG334" s="223" t="inlineStr">
        <is>
          <t>-1,68%</t>
        </is>
      </c>
      <c r="CH334" s="224" t="inlineStr">
        <is>
          <t>3</t>
        </is>
      </c>
      <c r="CI334" s="225" t="inlineStr">
        <is>
          <t>0,00%</t>
        </is>
      </c>
      <c r="CJ334" s="226" t="inlineStr">
        <is>
          <t>-0,19%</t>
        </is>
      </c>
      <c r="CK334" s="227" t="inlineStr">
        <is>
          <t>-3,75%</t>
        </is>
      </c>
      <c r="CL334" s="228" t="inlineStr">
        <is>
          <t>2</t>
        </is>
      </c>
      <c r="CM334" s="229" t="inlineStr">
        <is>
          <t>0,39%</t>
        </is>
      </c>
      <c r="CN334" s="230" t="inlineStr">
        <is>
          <t>86</t>
        </is>
      </c>
      <c r="CO334" s="231" t="inlineStr">
        <is>
          <t>-7,50%</t>
        </is>
      </c>
      <c r="CP334" s="232" t="inlineStr">
        <is>
          <t>3</t>
        </is>
      </c>
      <c r="CQ334" s="233" t="inlineStr">
        <is>
          <t>0,00%</t>
        </is>
      </c>
      <c r="CR334" s="234" t="inlineStr">
        <is>
          <t>13</t>
        </is>
      </c>
      <c r="CS334" s="235" t="inlineStr">
        <is>
          <t>0,04%</t>
        </is>
      </c>
      <c r="CT334" s="236" t="inlineStr">
        <is>
          <t>47</t>
        </is>
      </c>
      <c r="CU334" s="237" t="inlineStr">
        <is>
          <t>0,75%</t>
        </is>
      </c>
      <c r="CV334" s="238" t="inlineStr">
        <is>
          <t>95</t>
        </is>
      </c>
      <c r="CW334" s="239" t="inlineStr">
        <is>
          <t>2,42x</t>
        </is>
      </c>
      <c r="CX334" s="240" t="inlineStr">
        <is>
          <t>68</t>
        </is>
      </c>
      <c r="CY334" s="241" t="inlineStr">
        <is>
          <t>0,06x</t>
        </is>
      </c>
      <c r="CZ334" s="242" t="inlineStr">
        <is>
          <t>2,64%</t>
        </is>
      </c>
      <c r="DA334" s="243" t="inlineStr">
        <is>
          <t>2,01x</t>
        </is>
      </c>
      <c r="DB334" s="244" t="inlineStr">
        <is>
          <t>66</t>
        </is>
      </c>
      <c r="DC334" s="245" t="inlineStr">
        <is>
          <t>2,82x</t>
        </is>
      </c>
      <c r="DD334" s="246" t="inlineStr">
        <is>
          <t>67</t>
        </is>
      </c>
      <c r="DE334" s="247" t="inlineStr">
        <is>
          <t>2,47x</t>
        </is>
      </c>
      <c r="DF334" s="248" t="inlineStr">
        <is>
          <t>67</t>
        </is>
      </c>
      <c r="DG334" s="249" t="inlineStr">
        <is>
          <t>1,56x</t>
        </is>
      </c>
      <c r="DH334" s="250" t="inlineStr">
        <is>
          <t>59</t>
        </is>
      </c>
      <c r="DI334" s="251" t="inlineStr">
        <is>
          <t>3,67x</t>
        </is>
      </c>
      <c r="DJ334" s="252" t="inlineStr">
        <is>
          <t>71</t>
        </is>
      </c>
      <c r="DK334" s="253" t="inlineStr">
        <is>
          <t>1,97x</t>
        </is>
      </c>
      <c r="DL334" s="254" t="inlineStr">
        <is>
          <t>63</t>
        </is>
      </c>
      <c r="DM334" s="255" t="inlineStr">
        <is>
          <t>1.597</t>
        </is>
      </c>
      <c r="DN334" s="256" t="inlineStr">
        <is>
          <t>-243</t>
        </is>
      </c>
      <c r="DO334" s="257" t="inlineStr">
        <is>
          <t>-13,21%</t>
        </is>
      </c>
      <c r="DP334" s="258" t="inlineStr">
        <is>
          <t>2.930</t>
        </is>
      </c>
      <c r="DQ334" s="259" t="inlineStr">
        <is>
          <t>0</t>
        </is>
      </c>
      <c r="DR334" s="260" t="inlineStr">
        <is>
          <t>0,00%</t>
        </is>
      </c>
      <c r="DS334" s="261" t="inlineStr">
        <is>
          <t>54</t>
        </is>
      </c>
      <c r="DT334" s="262" t="inlineStr">
        <is>
          <t>3</t>
        </is>
      </c>
      <c r="DU334" s="263" t="inlineStr">
        <is>
          <t>5,88%</t>
        </is>
      </c>
      <c r="DV334" s="264" t="inlineStr">
        <is>
          <t>675</t>
        </is>
      </c>
      <c r="DW334" s="265" t="inlineStr">
        <is>
          <t>2</t>
        </is>
      </c>
      <c r="DX334" s="266" t="inlineStr">
        <is>
          <t>0,30%</t>
        </is>
      </c>
      <c r="DY334" s="267" t="inlineStr">
        <is>
          <t>PitchBook Research</t>
        </is>
      </c>
      <c r="DZ334" s="786">
        <f>HYPERLINK("https://my.pitchbook.com?c=93998-26", "View company online")</f>
      </c>
    </row>
    <row r="335">
      <c r="A335" s="9" t="inlineStr">
        <is>
          <t>158081-41</t>
        </is>
      </c>
      <c r="B335" s="10" t="inlineStr">
        <is>
          <t>Orchard Therapeutics</t>
        </is>
      </c>
      <c r="C335" s="11" t="inlineStr">
        <is>
          <t>Newincco 1387</t>
        </is>
      </c>
      <c r="D335" s="12" t="inlineStr">
        <is>
          <t/>
        </is>
      </c>
      <c r="E335" s="13" t="inlineStr">
        <is>
          <t>158081-41</t>
        </is>
      </c>
      <c r="F335" s="14" t="inlineStr">
        <is>
          <t>Developer of ex vivo gene therapies for rare diseases. The company develops transformative gene therapies for children with life-threatening orphan diseases.</t>
        </is>
      </c>
      <c r="G335" s="15" t="inlineStr">
        <is>
          <t>Healthcare</t>
        </is>
      </c>
      <c r="H335" s="16" t="inlineStr">
        <is>
          <t>Pharmaceuticals and Biotechnology</t>
        </is>
      </c>
      <c r="I335" s="17" t="inlineStr">
        <is>
          <t>Drug Discovery</t>
        </is>
      </c>
      <c r="J335" s="18" t="inlineStr">
        <is>
          <t>Drug Discovery*; Other Pharmaceuticals and Biotechnology</t>
        </is>
      </c>
      <c r="K335" s="19" t="inlineStr">
        <is>
          <t/>
        </is>
      </c>
      <c r="L335" s="20" t="inlineStr">
        <is>
          <t>Venture Capital-Backed</t>
        </is>
      </c>
      <c r="M335" s="21" t="n">
        <v>26.96</v>
      </c>
      <c r="N335" s="22" t="inlineStr">
        <is>
          <t>Startup</t>
        </is>
      </c>
      <c r="O335" s="23" t="inlineStr">
        <is>
          <t>Privately Held (backing)</t>
        </is>
      </c>
      <c r="P335" s="24" t="inlineStr">
        <is>
          <t>Venture Capital</t>
        </is>
      </c>
      <c r="Q335" s="25" t="inlineStr">
        <is>
          <t>www.orchard-tx.com</t>
        </is>
      </c>
      <c r="R335" s="26" t="n">
        <v>6.0</v>
      </c>
      <c r="S335" s="27" t="inlineStr">
        <is>
          <t/>
        </is>
      </c>
      <c r="T335" s="28" t="inlineStr">
        <is>
          <t/>
        </is>
      </c>
      <c r="U335" s="29" t="n">
        <v>2015.0</v>
      </c>
      <c r="V335" s="30" t="inlineStr">
        <is>
          <t/>
        </is>
      </c>
      <c r="W335" s="31" t="inlineStr">
        <is>
          <t/>
        </is>
      </c>
      <c r="X335" s="32" t="inlineStr">
        <is>
          <t/>
        </is>
      </c>
      <c r="Y335" s="33" t="inlineStr">
        <is>
          <t/>
        </is>
      </c>
      <c r="Z335" s="34" t="inlineStr">
        <is>
          <t/>
        </is>
      </c>
      <c r="AA335" s="35" t="inlineStr">
        <is>
          <t/>
        </is>
      </c>
      <c r="AB335" s="36" t="inlineStr">
        <is>
          <t/>
        </is>
      </c>
      <c r="AC335" s="37" t="inlineStr">
        <is>
          <t/>
        </is>
      </c>
      <c r="AD335" s="38" t="inlineStr">
        <is>
          <t/>
        </is>
      </c>
      <c r="AE335" s="39" t="inlineStr">
        <is>
          <t>134190-46P</t>
        </is>
      </c>
      <c r="AF335" s="40" t="inlineStr">
        <is>
          <t>Andrea Spezzi</t>
        </is>
      </c>
      <c r="AG335" s="41" t="inlineStr">
        <is>
          <t>Chief Medical Officer &amp; Head, Research &amp; Development</t>
        </is>
      </c>
      <c r="AH335" s="42" t="inlineStr">
        <is>
          <t>andrea@orchard-tx.com</t>
        </is>
      </c>
      <c r="AI335" s="43" t="inlineStr">
        <is>
          <t>+44 (0)20 3823 2149</t>
        </is>
      </c>
      <c r="AJ335" s="44" t="inlineStr">
        <is>
          <t>London, United Kingdom</t>
        </is>
      </c>
      <c r="AK335" s="45" t="inlineStr">
        <is>
          <t>5 Cheapside</t>
        </is>
      </c>
      <c r="AL335" s="46" t="inlineStr">
        <is>
          <t/>
        </is>
      </c>
      <c r="AM335" s="47" t="inlineStr">
        <is>
          <t>London</t>
        </is>
      </c>
      <c r="AN335" s="48" t="inlineStr">
        <is>
          <t>England</t>
        </is>
      </c>
      <c r="AO335" s="49" t="inlineStr">
        <is>
          <t>EC2V 6AA</t>
        </is>
      </c>
      <c r="AP335" s="50" t="inlineStr">
        <is>
          <t>United Kingdom</t>
        </is>
      </c>
      <c r="AQ335" s="51" t="inlineStr">
        <is>
          <t>+44 (0)20 3823 2149</t>
        </is>
      </c>
      <c r="AR335" s="52" t="inlineStr">
        <is>
          <t/>
        </is>
      </c>
      <c r="AS335" s="53" t="inlineStr">
        <is>
          <t>info@orchard-tx.com</t>
        </is>
      </c>
      <c r="AT335" s="54" t="inlineStr">
        <is>
          <t>Europe</t>
        </is>
      </c>
      <c r="AU335" s="55" t="inlineStr">
        <is>
          <t>Western Europe</t>
        </is>
      </c>
      <c r="AV335" s="56" t="inlineStr">
        <is>
          <t>The company received $20 million of grant funding from California Institute foe Regenerative Medicine on November 23, 2016. The funding will enable Orchard to learn whether its lentiviral approach can offer patients an alternative to GlaxoSmithKline's Strimvelis. Previously, the company raised GBP 21 million of Series A venture funding from lead investor F-Prime Capital on May 3, 2016. UCL Business and UCL Technology Fund also participated.</t>
        </is>
      </c>
      <c r="AW335" s="57" t="inlineStr">
        <is>
          <t>Albion Capital, California Institute for Regenerative Medicine, F-Prime Capital Partners, UCL Business, University College London</t>
        </is>
      </c>
      <c r="AX335" s="58" t="n">
        <v>5.0</v>
      </c>
      <c r="AY335" s="59" t="inlineStr">
        <is>
          <t/>
        </is>
      </c>
      <c r="AZ335" s="60" t="inlineStr">
        <is>
          <t/>
        </is>
      </c>
      <c r="BA335" s="61" t="inlineStr">
        <is>
          <t/>
        </is>
      </c>
      <c r="BB335" s="62" t="inlineStr">
        <is>
          <t>California Institute for Regenerative Medicine (www.cirm.ca.gov), F-Prime Capital Partners (www.fprimecapital.com), UCL Business (www.uclb.com), University College London (www.ucl.ac.uk)</t>
        </is>
      </c>
      <c r="BC335" s="63" t="inlineStr">
        <is>
          <t/>
        </is>
      </c>
      <c r="BD335" s="64" t="inlineStr">
        <is>
          <t/>
        </is>
      </c>
      <c r="BE335" s="65" t="inlineStr">
        <is>
          <t/>
        </is>
      </c>
      <c r="BF335" s="66" t="inlineStr">
        <is>
          <t/>
        </is>
      </c>
      <c r="BG335" s="67" t="n">
        <v>42493.0</v>
      </c>
      <c r="BH335" s="68" t="n">
        <v>26.96</v>
      </c>
      <c r="BI335" s="69" t="inlineStr">
        <is>
          <t>Actual</t>
        </is>
      </c>
      <c r="BJ335" s="70" t="inlineStr">
        <is>
          <t/>
        </is>
      </c>
      <c r="BK335" s="71" t="inlineStr">
        <is>
          <t/>
        </is>
      </c>
      <c r="BL335" s="72" t="inlineStr">
        <is>
          <t>Early Stage VC</t>
        </is>
      </c>
      <c r="BM335" s="73" t="inlineStr">
        <is>
          <t>Series A</t>
        </is>
      </c>
      <c r="BN335" s="74" t="inlineStr">
        <is>
          <t/>
        </is>
      </c>
      <c r="BO335" s="75" t="inlineStr">
        <is>
          <t>Venture Capital</t>
        </is>
      </c>
      <c r="BP335" s="76" t="inlineStr">
        <is>
          <t/>
        </is>
      </c>
      <c r="BQ335" s="77" t="inlineStr">
        <is>
          <t/>
        </is>
      </c>
      <c r="BR335" s="78" t="inlineStr">
        <is>
          <t/>
        </is>
      </c>
      <c r="BS335" s="79" t="inlineStr">
        <is>
          <t>Completed</t>
        </is>
      </c>
      <c r="BT335" s="80" t="n">
        <v>42697.0</v>
      </c>
      <c r="BU335" s="81" t="n">
        <v>18.51</v>
      </c>
      <c r="BV335" s="82" t="inlineStr">
        <is>
          <t>Actual</t>
        </is>
      </c>
      <c r="BW335" s="83" t="inlineStr">
        <is>
          <t/>
        </is>
      </c>
      <c r="BX335" s="84" t="inlineStr">
        <is>
          <t/>
        </is>
      </c>
      <c r="BY335" s="85" t="inlineStr">
        <is>
          <t>Grant</t>
        </is>
      </c>
      <c r="BZ335" s="86" t="inlineStr">
        <is>
          <t/>
        </is>
      </c>
      <c r="CA335" s="87" t="inlineStr">
        <is>
          <t/>
        </is>
      </c>
      <c r="CB335" s="88" t="inlineStr">
        <is>
          <t>Other</t>
        </is>
      </c>
      <c r="CC335" s="89" t="inlineStr">
        <is>
          <t/>
        </is>
      </c>
      <c r="CD335" s="90" t="inlineStr">
        <is>
          <t/>
        </is>
      </c>
      <c r="CE335" s="91" t="inlineStr">
        <is>
          <t/>
        </is>
      </c>
      <c r="CF335" s="92" t="inlineStr">
        <is>
          <t>Completed</t>
        </is>
      </c>
      <c r="CG335" s="93" t="inlineStr">
        <is>
          <t>2,83%</t>
        </is>
      </c>
      <c r="CH335" s="94" t="inlineStr">
        <is>
          <t>95</t>
        </is>
      </c>
      <c r="CI335" s="95" t="inlineStr">
        <is>
          <t>0,00%</t>
        </is>
      </c>
      <c r="CJ335" s="96" t="inlineStr">
        <is>
          <t>0,00%</t>
        </is>
      </c>
      <c r="CK335" s="97" t="inlineStr">
        <is>
          <t>2,83%</t>
        </is>
      </c>
      <c r="CL335" s="98" t="inlineStr">
        <is>
          <t>93</t>
        </is>
      </c>
      <c r="CM335" s="99" t="inlineStr">
        <is>
          <t/>
        </is>
      </c>
      <c r="CN335" s="100" t="inlineStr">
        <is>
          <t/>
        </is>
      </c>
      <c r="CO335" s="101" t="inlineStr">
        <is>
          <t>2,83%</t>
        </is>
      </c>
      <c r="CP335" s="102" t="inlineStr">
        <is>
          <t>92</t>
        </is>
      </c>
      <c r="CQ335" s="103" t="inlineStr">
        <is>
          <t/>
        </is>
      </c>
      <c r="CR335" s="104" t="inlineStr">
        <is>
          <t/>
        </is>
      </c>
      <c r="CS335" s="105" t="inlineStr">
        <is>
          <t/>
        </is>
      </c>
      <c r="CT335" s="106" t="inlineStr">
        <is>
          <t/>
        </is>
      </c>
      <c r="CU335" s="107" t="inlineStr">
        <is>
          <t/>
        </is>
      </c>
      <c r="CV335" s="108" t="inlineStr">
        <is>
          <t/>
        </is>
      </c>
      <c r="CW335" s="109" t="inlineStr">
        <is>
          <t>2,11x</t>
        </is>
      </c>
      <c r="CX335" s="110" t="inlineStr">
        <is>
          <t>65</t>
        </is>
      </c>
      <c r="CY335" s="111" t="inlineStr">
        <is>
          <t>0,00x</t>
        </is>
      </c>
      <c r="CZ335" s="112" t="inlineStr">
        <is>
          <t>0,00%</t>
        </is>
      </c>
      <c r="DA335" s="113" t="inlineStr">
        <is>
          <t>2,11x</t>
        </is>
      </c>
      <c r="DB335" s="114" t="inlineStr">
        <is>
          <t>67</t>
        </is>
      </c>
      <c r="DC335" s="115" t="inlineStr">
        <is>
          <t/>
        </is>
      </c>
      <c r="DD335" s="116" t="inlineStr">
        <is>
          <t/>
        </is>
      </c>
      <c r="DE335" s="117" t="inlineStr">
        <is>
          <t>2,11x</t>
        </is>
      </c>
      <c r="DF335" s="118" t="inlineStr">
        <is>
          <t>64</t>
        </is>
      </c>
      <c r="DG335" s="119" t="inlineStr">
        <is>
          <t/>
        </is>
      </c>
      <c r="DH335" s="120" t="inlineStr">
        <is>
          <t/>
        </is>
      </c>
      <c r="DI335" s="121" t="inlineStr">
        <is>
          <t/>
        </is>
      </c>
      <c r="DJ335" s="122" t="inlineStr">
        <is>
          <t/>
        </is>
      </c>
      <c r="DK335" s="123" t="inlineStr">
        <is>
          <t/>
        </is>
      </c>
      <c r="DL335" s="124" t="inlineStr">
        <is>
          <t/>
        </is>
      </c>
      <c r="DM335" s="125" t="inlineStr">
        <is>
          <t>1.236</t>
        </is>
      </c>
      <c r="DN335" s="126" t="inlineStr">
        <is>
          <t>189</t>
        </is>
      </c>
      <c r="DO335" s="127" t="inlineStr">
        <is>
          <t>18,05%</t>
        </is>
      </c>
      <c r="DP335" s="128" t="inlineStr">
        <is>
          <t/>
        </is>
      </c>
      <c r="DQ335" s="129" t="inlineStr">
        <is>
          <t/>
        </is>
      </c>
      <c r="DR335" s="130" t="inlineStr">
        <is>
          <t/>
        </is>
      </c>
      <c r="DS335" s="131" t="inlineStr">
        <is>
          <t/>
        </is>
      </c>
      <c r="DT335" s="132" t="inlineStr">
        <is>
          <t/>
        </is>
      </c>
      <c r="DU335" s="133" t="inlineStr">
        <is>
          <t/>
        </is>
      </c>
      <c r="DV335" s="134" t="inlineStr">
        <is>
          <t/>
        </is>
      </c>
      <c r="DW335" s="135" t="inlineStr">
        <is>
          <t/>
        </is>
      </c>
      <c r="DX335" s="136" t="inlineStr">
        <is>
          <t/>
        </is>
      </c>
      <c r="DY335" s="137" t="inlineStr">
        <is>
          <t>PitchBook Research</t>
        </is>
      </c>
      <c r="DZ335" s="785">
        <f>HYPERLINK("https://my.pitchbook.com?c=158081-41", "View company online")</f>
      </c>
    </row>
    <row r="336">
      <c r="A336" s="139" t="inlineStr">
        <is>
          <t>65896-03</t>
        </is>
      </c>
      <c r="B336" s="140" t="inlineStr">
        <is>
          <t>Origami Energy</t>
        </is>
      </c>
      <c r="C336" s="141" t="inlineStr">
        <is>
          <t/>
        </is>
      </c>
      <c r="D336" s="142" t="inlineStr">
        <is>
          <t/>
        </is>
      </c>
      <c r="E336" s="143" t="inlineStr">
        <is>
          <t>65896-03</t>
        </is>
      </c>
      <c r="F336" s="144" t="inlineStr">
        <is>
          <t>Provider of grid-scale energy management services. The company develops a digital platform that manages the flows of energy and capacity between physical sites with power generation, energy demand and electricity storage and also allows renewable energy generators, storage providers and energy users to trade with each other at a micro-grid level.</t>
        </is>
      </c>
      <c r="G336" s="145" t="inlineStr">
        <is>
          <t>Information Technology</t>
        </is>
      </c>
      <c r="H336" s="146" t="inlineStr">
        <is>
          <t>Software</t>
        </is>
      </c>
      <c r="I336" s="147" t="inlineStr">
        <is>
          <t>Social/Platform Software</t>
        </is>
      </c>
      <c r="J336" s="148" t="inlineStr">
        <is>
          <t>Social/Platform Software*; Other Commercial Services; Other Energy Services</t>
        </is>
      </c>
      <c r="K336" s="149" t="inlineStr">
        <is>
          <t>CleanTech</t>
        </is>
      </c>
      <c r="L336" s="150" t="inlineStr">
        <is>
          <t>Venture Capital-Backed</t>
        </is>
      </c>
      <c r="M336" s="151" t="n">
        <v>21.66</v>
      </c>
      <c r="N336" s="152" t="inlineStr">
        <is>
          <t>Product Development</t>
        </is>
      </c>
      <c r="O336" s="153" t="inlineStr">
        <is>
          <t>Privately Held (backing)</t>
        </is>
      </c>
      <c r="P336" s="154" t="inlineStr">
        <is>
          <t>Venture Capital</t>
        </is>
      </c>
      <c r="Q336" s="155" t="inlineStr">
        <is>
          <t>www.origamienergy.com</t>
        </is>
      </c>
      <c r="R336" s="156" t="n">
        <v>32.0</v>
      </c>
      <c r="S336" s="157" t="inlineStr">
        <is>
          <t/>
        </is>
      </c>
      <c r="T336" s="158" t="inlineStr">
        <is>
          <t/>
        </is>
      </c>
      <c r="U336" s="159" t="n">
        <v>2013.0</v>
      </c>
      <c r="V336" s="160" t="inlineStr">
        <is>
          <t/>
        </is>
      </c>
      <c r="W336" s="161" t="inlineStr">
        <is>
          <t/>
        </is>
      </c>
      <c r="X336" s="162" t="inlineStr">
        <is>
          <t/>
        </is>
      </c>
      <c r="Y336" s="163" t="inlineStr">
        <is>
          <t/>
        </is>
      </c>
      <c r="Z336" s="164" t="inlineStr">
        <is>
          <t/>
        </is>
      </c>
      <c r="AA336" s="165" t="inlineStr">
        <is>
          <t/>
        </is>
      </c>
      <c r="AB336" s="166" t="inlineStr">
        <is>
          <t/>
        </is>
      </c>
      <c r="AC336" s="167" t="inlineStr">
        <is>
          <t/>
        </is>
      </c>
      <c r="AD336" s="168" t="inlineStr">
        <is>
          <t/>
        </is>
      </c>
      <c r="AE336" s="169" t="inlineStr">
        <is>
          <t>75609-19P</t>
        </is>
      </c>
      <c r="AF336" s="170" t="inlineStr">
        <is>
          <t>Amanda King</t>
        </is>
      </c>
      <c r="AG336" s="171" t="inlineStr">
        <is>
          <t>Chief Financial Officer</t>
        </is>
      </c>
      <c r="AH336" s="172" t="inlineStr">
        <is>
          <t>amanda.king@origamienergy.com</t>
        </is>
      </c>
      <c r="AI336" s="173" t="inlineStr">
        <is>
          <t>+44 (0)33 0726 0050</t>
        </is>
      </c>
      <c r="AJ336" s="174" t="inlineStr">
        <is>
          <t>London, United Kingdom</t>
        </is>
      </c>
      <c r="AK336" s="175" t="inlineStr">
        <is>
          <t>Office 212, Metal Box Factory</t>
        </is>
      </c>
      <c r="AL336" s="176" t="inlineStr">
        <is>
          <t>Great Guildford Street</t>
        </is>
      </c>
      <c r="AM336" s="177" t="inlineStr">
        <is>
          <t>London</t>
        </is>
      </c>
      <c r="AN336" s="178" t="inlineStr">
        <is>
          <t>England</t>
        </is>
      </c>
      <c r="AO336" s="179" t="inlineStr">
        <is>
          <t>SE1 0HS</t>
        </is>
      </c>
      <c r="AP336" s="180" t="inlineStr">
        <is>
          <t>United Kingdom</t>
        </is>
      </c>
      <c r="AQ336" s="181" t="inlineStr">
        <is>
          <t>+44 (0)33 0726 0050</t>
        </is>
      </c>
      <c r="AR336" s="182" t="inlineStr">
        <is>
          <t>+44 (0)12 2378 1385</t>
        </is>
      </c>
      <c r="AS336" s="183" t="inlineStr">
        <is>
          <t>info@origamienergy.com</t>
        </is>
      </c>
      <c r="AT336" s="184" t="inlineStr">
        <is>
          <t>Europe</t>
        </is>
      </c>
      <c r="AU336" s="185" t="inlineStr">
        <is>
          <t>Western Europe</t>
        </is>
      </c>
      <c r="AV336" s="186" t="inlineStr">
        <is>
          <t>The company raised GBP 13.7 million of Series A venture funding in a deal led by Cambridge Innovation Capital and Octopus Investments on April 5, 2016. Fred. Olsen and other undisclosed individual investors also participated in the round. The company plans to use the funding to expand from pilot field trials to multi-site commercial deployments, focusing initially on industrial and commercial sites.</t>
        </is>
      </c>
      <c r="AW336" s="187" t="inlineStr">
        <is>
          <t>Cambridge Innovation Capital, Fred. Olsen, Octopus Ventures</t>
        </is>
      </c>
      <c r="AX336" s="188" t="n">
        <v>3.0</v>
      </c>
      <c r="AY336" s="189" t="inlineStr">
        <is>
          <t/>
        </is>
      </c>
      <c r="AZ336" s="190" t="inlineStr">
        <is>
          <t/>
        </is>
      </c>
      <c r="BA336" s="191" t="inlineStr">
        <is>
          <t/>
        </is>
      </c>
      <c r="BB336" s="192" t="inlineStr">
        <is>
          <t>Cambridge Innovation Capital (www.cicplc.co.uk), Fred. Olsen (www.fredolsen.co.uk), Octopus Ventures (www.octopusventures.com)</t>
        </is>
      </c>
      <c r="BC336" s="193" t="inlineStr">
        <is>
          <t/>
        </is>
      </c>
      <c r="BD336" s="194" t="inlineStr">
        <is>
          <t/>
        </is>
      </c>
      <c r="BE336" s="195" t="inlineStr">
        <is>
          <t/>
        </is>
      </c>
      <c r="BF336" s="196" t="inlineStr">
        <is>
          <t/>
        </is>
      </c>
      <c r="BG336" s="197" t="n">
        <v>41863.0</v>
      </c>
      <c r="BH336" s="198" t="n">
        <v>4.39</v>
      </c>
      <c r="BI336" s="199" t="inlineStr">
        <is>
          <t>Actual</t>
        </is>
      </c>
      <c r="BJ336" s="200" t="n">
        <v>9.4</v>
      </c>
      <c r="BK336" s="201" t="inlineStr">
        <is>
          <t>Actual</t>
        </is>
      </c>
      <c r="BL336" s="202" t="inlineStr">
        <is>
          <t>Seed Round</t>
        </is>
      </c>
      <c r="BM336" s="203" t="inlineStr">
        <is>
          <t>Seed</t>
        </is>
      </c>
      <c r="BN336" s="204" t="inlineStr">
        <is>
          <t/>
        </is>
      </c>
      <c r="BO336" s="205" t="inlineStr">
        <is>
          <t>Venture Capital</t>
        </is>
      </c>
      <c r="BP336" s="206" t="inlineStr">
        <is>
          <t/>
        </is>
      </c>
      <c r="BQ336" s="207" t="inlineStr">
        <is>
          <t/>
        </is>
      </c>
      <c r="BR336" s="208" t="inlineStr">
        <is>
          <t/>
        </is>
      </c>
      <c r="BS336" s="209" t="inlineStr">
        <is>
          <t>Completed</t>
        </is>
      </c>
      <c r="BT336" s="210" t="n">
        <v>42465.0</v>
      </c>
      <c r="BU336" s="211" t="n">
        <v>17.27</v>
      </c>
      <c r="BV336" s="212" t="inlineStr">
        <is>
          <t>Actual</t>
        </is>
      </c>
      <c r="BW336" s="213" t="inlineStr">
        <is>
          <t/>
        </is>
      </c>
      <c r="BX336" s="214" t="inlineStr">
        <is>
          <t/>
        </is>
      </c>
      <c r="BY336" s="215" t="inlineStr">
        <is>
          <t>Early Stage VC</t>
        </is>
      </c>
      <c r="BZ336" s="216" t="inlineStr">
        <is>
          <t>Series A</t>
        </is>
      </c>
      <c r="CA336" s="217" t="inlineStr">
        <is>
          <t/>
        </is>
      </c>
      <c r="CB336" s="218" t="inlineStr">
        <is>
          <t>Venture Capital</t>
        </is>
      </c>
      <c r="CC336" s="219" t="inlineStr">
        <is>
          <t/>
        </is>
      </c>
      <c r="CD336" s="220" t="inlineStr">
        <is>
          <t/>
        </is>
      </c>
      <c r="CE336" s="221" t="inlineStr">
        <is>
          <t/>
        </is>
      </c>
      <c r="CF336" s="222" t="inlineStr">
        <is>
          <t>Completed</t>
        </is>
      </c>
      <c r="CG336" s="223" t="inlineStr">
        <is>
          <t>0,57%</t>
        </is>
      </c>
      <c r="CH336" s="224" t="inlineStr">
        <is>
          <t>85</t>
        </is>
      </c>
      <c r="CI336" s="225" t="inlineStr">
        <is>
          <t>0,00%</t>
        </is>
      </c>
      <c r="CJ336" s="226" t="inlineStr">
        <is>
          <t>0,72%</t>
        </is>
      </c>
      <c r="CK336" s="227" t="inlineStr">
        <is>
          <t>0,02%</t>
        </is>
      </c>
      <c r="CL336" s="228" t="inlineStr">
        <is>
          <t>79</t>
        </is>
      </c>
      <c r="CM336" s="229" t="inlineStr">
        <is>
          <t>1,13%</t>
        </is>
      </c>
      <c r="CN336" s="230" t="inlineStr">
        <is>
          <t>97</t>
        </is>
      </c>
      <c r="CO336" s="231" t="inlineStr">
        <is>
          <t>0,04%</t>
        </is>
      </c>
      <c r="CP336" s="232" t="inlineStr">
        <is>
          <t>78</t>
        </is>
      </c>
      <c r="CQ336" s="233" t="inlineStr">
        <is>
          <t>0,00%</t>
        </is>
      </c>
      <c r="CR336" s="234" t="inlineStr">
        <is>
          <t>13</t>
        </is>
      </c>
      <c r="CS336" s="235" t="inlineStr">
        <is>
          <t>0,00%</t>
        </is>
      </c>
      <c r="CT336" s="236" t="inlineStr">
        <is>
          <t>18</t>
        </is>
      </c>
      <c r="CU336" s="237" t="inlineStr">
        <is>
          <t>2,25%</t>
        </is>
      </c>
      <c r="CV336" s="238" t="inlineStr">
        <is>
          <t>99</t>
        </is>
      </c>
      <c r="CW336" s="239" t="inlineStr">
        <is>
          <t>1,00x</t>
        </is>
      </c>
      <c r="CX336" s="240" t="inlineStr">
        <is>
          <t>49</t>
        </is>
      </c>
      <c r="CY336" s="241" t="inlineStr">
        <is>
          <t>0,01x</t>
        </is>
      </c>
      <c r="CZ336" s="242" t="inlineStr">
        <is>
          <t>1,03%</t>
        </is>
      </c>
      <c r="DA336" s="243" t="inlineStr">
        <is>
          <t>1,51x</t>
        </is>
      </c>
      <c r="DB336" s="244" t="inlineStr">
        <is>
          <t>61</t>
        </is>
      </c>
      <c r="DC336" s="245" t="inlineStr">
        <is>
          <t>0,50x</t>
        </is>
      </c>
      <c r="DD336" s="246" t="inlineStr">
        <is>
          <t>36</t>
        </is>
      </c>
      <c r="DE336" s="247" t="inlineStr">
        <is>
          <t>1,46x</t>
        </is>
      </c>
      <c r="DF336" s="248" t="inlineStr">
        <is>
          <t>58</t>
        </is>
      </c>
      <c r="DG336" s="249" t="inlineStr">
        <is>
          <t>1,56x</t>
        </is>
      </c>
      <c r="DH336" s="250" t="inlineStr">
        <is>
          <t>59</t>
        </is>
      </c>
      <c r="DI336" s="251" t="inlineStr">
        <is>
          <t>0,05x</t>
        </is>
      </c>
      <c r="DJ336" s="252" t="inlineStr">
        <is>
          <t>8</t>
        </is>
      </c>
      <c r="DK336" s="253" t="inlineStr">
        <is>
          <t>0,95x</t>
        </is>
      </c>
      <c r="DL336" s="254" t="inlineStr">
        <is>
          <t>49</t>
        </is>
      </c>
      <c r="DM336" s="255" t="inlineStr">
        <is>
          <t>911</t>
        </is>
      </c>
      <c r="DN336" s="256" t="inlineStr">
        <is>
          <t>-39</t>
        </is>
      </c>
      <c r="DO336" s="257" t="inlineStr">
        <is>
          <t>-4,11%</t>
        </is>
      </c>
      <c r="DP336" s="258" t="inlineStr">
        <is>
          <t>40</t>
        </is>
      </c>
      <c r="DQ336" s="259" t="inlineStr">
        <is>
          <t>0</t>
        </is>
      </c>
      <c r="DR336" s="260" t="inlineStr">
        <is>
          <t>0,00%</t>
        </is>
      </c>
      <c r="DS336" s="261" t="inlineStr">
        <is>
          <t>56</t>
        </is>
      </c>
      <c r="DT336" s="262" t="inlineStr">
        <is>
          <t>-1</t>
        </is>
      </c>
      <c r="DU336" s="263" t="inlineStr">
        <is>
          <t>-1,75%</t>
        </is>
      </c>
      <c r="DV336" s="264" t="inlineStr">
        <is>
          <t>325</t>
        </is>
      </c>
      <c r="DW336" s="265" t="inlineStr">
        <is>
          <t>4</t>
        </is>
      </c>
      <c r="DX336" s="266" t="inlineStr">
        <is>
          <t>1,25%</t>
        </is>
      </c>
      <c r="DY336" s="267" t="inlineStr">
        <is>
          <t>PitchBook Research</t>
        </is>
      </c>
      <c r="DZ336" s="786">
        <f>HYPERLINK("https://my.pitchbook.com?c=65896-03", "View company online")</f>
      </c>
    </row>
    <row r="337">
      <c r="A337" s="9" t="inlineStr">
        <is>
          <t>57817-09</t>
        </is>
      </c>
      <c r="B337" s="10" t="inlineStr">
        <is>
          <t>Osper</t>
        </is>
      </c>
      <c r="C337" s="11" t="inlineStr">
        <is>
          <t/>
        </is>
      </c>
      <c r="D337" s="12" t="inlineStr">
        <is>
          <t/>
        </is>
      </c>
      <c r="E337" s="13" t="inlineStr">
        <is>
          <t>57817-09</t>
        </is>
      </c>
      <c r="F337" s="14" t="inlineStr">
        <is>
          <t>Provider of banking services designed to help children learn the value of money. The company's banking services offers viewing the monthly expenditure of youths, each time they spend the application regularly tag their spending with categories, enabling child to think how the spending adds up over time and eventually helps them to save for future purposes.</t>
        </is>
      </c>
      <c r="G337" s="15" t="inlineStr">
        <is>
          <t>Information Technology</t>
        </is>
      </c>
      <c r="H337" s="16" t="inlineStr">
        <is>
          <t>Software</t>
        </is>
      </c>
      <c r="I337" s="17" t="inlineStr">
        <is>
          <t>Financial Software</t>
        </is>
      </c>
      <c r="J337" s="18" t="inlineStr">
        <is>
          <t>Financial Software*; Other Financial Services; Application Software</t>
        </is>
      </c>
      <c r="K337" s="19" t="inlineStr">
        <is>
          <t>FinTech</t>
        </is>
      </c>
      <c r="L337" s="20" t="inlineStr">
        <is>
          <t>Venture Capital-Backed</t>
        </is>
      </c>
      <c r="M337" s="21" t="n">
        <v>8.37</v>
      </c>
      <c r="N337" s="22" t="inlineStr">
        <is>
          <t>Generating Revenue</t>
        </is>
      </c>
      <c r="O337" s="23" t="inlineStr">
        <is>
          <t>Privately Held (backing)</t>
        </is>
      </c>
      <c r="P337" s="24" t="inlineStr">
        <is>
          <t>Venture Capital</t>
        </is>
      </c>
      <c r="Q337" s="25" t="inlineStr">
        <is>
          <t>www.osper.com</t>
        </is>
      </c>
      <c r="R337" s="26" t="n">
        <v>36.0</v>
      </c>
      <c r="S337" s="27" t="inlineStr">
        <is>
          <t/>
        </is>
      </c>
      <c r="T337" s="28" t="inlineStr">
        <is>
          <t/>
        </is>
      </c>
      <c r="U337" s="29" t="n">
        <v>2012.0</v>
      </c>
      <c r="V337" s="30" t="inlineStr">
        <is>
          <t/>
        </is>
      </c>
      <c r="W337" s="31" t="inlineStr">
        <is>
          <t/>
        </is>
      </c>
      <c r="X337" s="32" t="inlineStr">
        <is>
          <t/>
        </is>
      </c>
      <c r="Y337" s="33" t="inlineStr">
        <is>
          <t/>
        </is>
      </c>
      <c r="Z337" s="34" t="inlineStr">
        <is>
          <t/>
        </is>
      </c>
      <c r="AA337" s="35" t="inlineStr">
        <is>
          <t/>
        </is>
      </c>
      <c r="AB337" s="36" t="inlineStr">
        <is>
          <t/>
        </is>
      </c>
      <c r="AC337" s="37" t="inlineStr">
        <is>
          <t/>
        </is>
      </c>
      <c r="AD337" s="38" t="inlineStr">
        <is>
          <t>FY 2014</t>
        </is>
      </c>
      <c r="AE337" s="39" t="inlineStr">
        <is>
          <t>51338-80P</t>
        </is>
      </c>
      <c r="AF337" s="40" t="inlineStr">
        <is>
          <t>Alick Varma</t>
        </is>
      </c>
      <c r="AG337" s="41" t="inlineStr">
        <is>
          <t>Founder, Board Member and Chief Executive Officer</t>
        </is>
      </c>
      <c r="AH337" s="42" t="inlineStr">
        <is>
          <t>alick@osper.com</t>
        </is>
      </c>
      <c r="AI337" s="43" t="inlineStr">
        <is>
          <t>+44 (0)20 3322 9090</t>
        </is>
      </c>
      <c r="AJ337" s="44" t="inlineStr">
        <is>
          <t>London, United Kingdom</t>
        </is>
      </c>
      <c r="AK337" s="45" t="inlineStr">
        <is>
          <t>1st Floor, Interchange Atrium</t>
        </is>
      </c>
      <c r="AL337" s="46" t="inlineStr">
        <is>
          <t>The Stables Market, Chalk Farm Road, Camden</t>
        </is>
      </c>
      <c r="AM337" s="47" t="inlineStr">
        <is>
          <t>London</t>
        </is>
      </c>
      <c r="AN337" s="48" t="inlineStr">
        <is>
          <t>England</t>
        </is>
      </c>
      <c r="AO337" s="49" t="inlineStr">
        <is>
          <t>NW1 8AH</t>
        </is>
      </c>
      <c r="AP337" s="50" t="inlineStr">
        <is>
          <t>United Kingdom</t>
        </is>
      </c>
      <c r="AQ337" s="51" t="inlineStr">
        <is>
          <t>+44 (0)20 3322 9090</t>
        </is>
      </c>
      <c r="AR337" s="52" t="inlineStr">
        <is>
          <t/>
        </is>
      </c>
      <c r="AS337" s="53" t="inlineStr">
        <is>
          <t>hello@osper.com</t>
        </is>
      </c>
      <c r="AT337" s="54" t="inlineStr">
        <is>
          <t>Europe</t>
        </is>
      </c>
      <c r="AU337" s="55" t="inlineStr">
        <is>
          <t>Western Europe</t>
        </is>
      </c>
      <c r="AV337" s="56" t="inlineStr">
        <is>
          <t>The company raised GBP 5.91 million of Series A venture funding in a deal led by Index Ventures on June 30, 2014, putting the company's pre-money valuation at GBP 8.4 million. Horizons Ventures, Conversion Capital, HardGamma Venture, Darren Shapland, LocalGlobe, Ellen Levy and other undisclosed investors also participated in the round. The company intends to use this funding for UK expansion. Previously, the company joined Techstars as part of the 2013 Cohort, and received $120,000 in funding on September 27, 2003, putting the company's pre-money valuation at $1.88 million.</t>
        </is>
      </c>
      <c r="AW337" s="57" t="inlineStr">
        <is>
          <t>Conversion Capital, Darren Shapland, Ellen Levy, HardGamma Ventures, Horizons Ventures, Index Ventures (UK), Individual Investor, LocalGlobe, Right Side Capital Management, Techstars</t>
        </is>
      </c>
      <c r="AX337" s="58" t="n">
        <v>10.0</v>
      </c>
      <c r="AY337" s="59" t="inlineStr">
        <is>
          <t/>
        </is>
      </c>
      <c r="AZ337" s="60" t="inlineStr">
        <is>
          <t/>
        </is>
      </c>
      <c r="BA337" s="61" t="inlineStr">
        <is>
          <t/>
        </is>
      </c>
      <c r="BB337" s="62" t="inlineStr">
        <is>
          <t>Conversion Capital (www.conversioncapital.com), HardGamma Ventures (www.hardgamma.com), Horizons Ventures (www.horizonsventures.com), Index Ventures (UK) (www.indexventures.com), LocalGlobe (www.localglobe.vc), Right Side Capital Management (www.rightsidecapital.com), Techstars (www.techstars.com)</t>
        </is>
      </c>
      <c r="BC337" s="63" t="inlineStr">
        <is>
          <t/>
        </is>
      </c>
      <c r="BD337" s="64" t="inlineStr">
        <is>
          <t/>
        </is>
      </c>
      <c r="BE337" s="65" t="inlineStr">
        <is>
          <t>True Capital Partners (Advisor)</t>
        </is>
      </c>
      <c r="BF337" s="66" t="inlineStr">
        <is>
          <t/>
        </is>
      </c>
      <c r="BG337" s="67" t="n">
        <v>41426.0</v>
      </c>
      <c r="BH337" s="68" t="n">
        <v>0.94</v>
      </c>
      <c r="BI337" s="69" t="inlineStr">
        <is>
          <t>Actual</t>
        </is>
      </c>
      <c r="BJ337" s="70" t="n">
        <v>2.17</v>
      </c>
      <c r="BK337" s="71" t="inlineStr">
        <is>
          <t>Actual</t>
        </is>
      </c>
      <c r="BL337" s="72" t="inlineStr">
        <is>
          <t>Seed Round</t>
        </is>
      </c>
      <c r="BM337" s="73" t="inlineStr">
        <is>
          <t>Seed</t>
        </is>
      </c>
      <c r="BN337" s="74" t="inlineStr">
        <is>
          <t/>
        </is>
      </c>
      <c r="BO337" s="75" t="inlineStr">
        <is>
          <t>Venture Capital</t>
        </is>
      </c>
      <c r="BP337" s="76" t="inlineStr">
        <is>
          <t/>
        </is>
      </c>
      <c r="BQ337" s="77" t="inlineStr">
        <is>
          <t/>
        </is>
      </c>
      <c r="BR337" s="78" t="inlineStr">
        <is>
          <t/>
        </is>
      </c>
      <c r="BS337" s="79" t="inlineStr">
        <is>
          <t>Completed</t>
        </is>
      </c>
      <c r="BT337" s="80" t="n">
        <v>41820.0</v>
      </c>
      <c r="BU337" s="81" t="n">
        <v>7.35</v>
      </c>
      <c r="BV337" s="82" t="inlineStr">
        <is>
          <t>Actual</t>
        </is>
      </c>
      <c r="BW337" s="83" t="n">
        <v>16.54</v>
      </c>
      <c r="BX337" s="84" t="inlineStr">
        <is>
          <t>Actual</t>
        </is>
      </c>
      <c r="BY337" s="85" t="inlineStr">
        <is>
          <t>Early Stage VC</t>
        </is>
      </c>
      <c r="BZ337" s="86" t="inlineStr">
        <is>
          <t>Series A</t>
        </is>
      </c>
      <c r="CA337" s="87" t="inlineStr">
        <is>
          <t/>
        </is>
      </c>
      <c r="CB337" s="88" t="inlineStr">
        <is>
          <t>Venture Capital</t>
        </is>
      </c>
      <c r="CC337" s="89" t="inlineStr">
        <is>
          <t/>
        </is>
      </c>
      <c r="CD337" s="90" t="inlineStr">
        <is>
          <t/>
        </is>
      </c>
      <c r="CE337" s="91" t="inlineStr">
        <is>
          <t/>
        </is>
      </c>
      <c r="CF337" s="92" t="inlineStr">
        <is>
          <t>Completed</t>
        </is>
      </c>
      <c r="CG337" s="93" t="inlineStr">
        <is>
          <t>-1,46%</t>
        </is>
      </c>
      <c r="CH337" s="94" t="inlineStr">
        <is>
          <t>4</t>
        </is>
      </c>
      <c r="CI337" s="95" t="inlineStr">
        <is>
          <t>-0,01%</t>
        </is>
      </c>
      <c r="CJ337" s="96" t="inlineStr">
        <is>
          <t>-0,37%</t>
        </is>
      </c>
      <c r="CK337" s="97" t="inlineStr">
        <is>
          <t>-2,96%</t>
        </is>
      </c>
      <c r="CL337" s="98" t="inlineStr">
        <is>
          <t>3</t>
        </is>
      </c>
      <c r="CM337" s="99" t="inlineStr">
        <is>
          <t>0,05%</t>
        </is>
      </c>
      <c r="CN337" s="100" t="inlineStr">
        <is>
          <t>52</t>
        </is>
      </c>
      <c r="CO337" s="101" t="inlineStr">
        <is>
          <t>-5,92%</t>
        </is>
      </c>
      <c r="CP337" s="102" t="inlineStr">
        <is>
          <t>5</t>
        </is>
      </c>
      <c r="CQ337" s="103" t="inlineStr">
        <is>
          <t>0,00%</t>
        </is>
      </c>
      <c r="CR337" s="104" t="inlineStr">
        <is>
          <t>13</t>
        </is>
      </c>
      <c r="CS337" s="105" t="inlineStr">
        <is>
          <t>0,00%</t>
        </is>
      </c>
      <c r="CT337" s="106" t="inlineStr">
        <is>
          <t>18</t>
        </is>
      </c>
      <c r="CU337" s="107" t="inlineStr">
        <is>
          <t>0,10%</t>
        </is>
      </c>
      <c r="CV337" s="108" t="inlineStr">
        <is>
          <t>68</t>
        </is>
      </c>
      <c r="CW337" s="109" t="inlineStr">
        <is>
          <t>9,48x</t>
        </is>
      </c>
      <c r="CX337" s="110" t="inlineStr">
        <is>
          <t>86</t>
        </is>
      </c>
      <c r="CY337" s="111" t="inlineStr">
        <is>
          <t>0,17x</t>
        </is>
      </c>
      <c r="CZ337" s="112" t="inlineStr">
        <is>
          <t>1,88%</t>
        </is>
      </c>
      <c r="DA337" s="113" t="inlineStr">
        <is>
          <t>2,66x</t>
        </is>
      </c>
      <c r="DB337" s="114" t="inlineStr">
        <is>
          <t>71</t>
        </is>
      </c>
      <c r="DC337" s="115" t="inlineStr">
        <is>
          <t>16,30x</t>
        </is>
      </c>
      <c r="DD337" s="116" t="inlineStr">
        <is>
          <t>88</t>
        </is>
      </c>
      <c r="DE337" s="117" t="inlineStr">
        <is>
          <t>4,50x</t>
        </is>
      </c>
      <c r="DF337" s="118" t="inlineStr">
        <is>
          <t>75</t>
        </is>
      </c>
      <c r="DG337" s="119" t="inlineStr">
        <is>
          <t>0,83x</t>
        </is>
      </c>
      <c r="DH337" s="120" t="inlineStr">
        <is>
          <t>46</t>
        </is>
      </c>
      <c r="DI337" s="121" t="inlineStr">
        <is>
          <t>26,27x</t>
        </is>
      </c>
      <c r="DJ337" s="122" t="inlineStr">
        <is>
          <t>89</t>
        </is>
      </c>
      <c r="DK337" s="123" t="inlineStr">
        <is>
          <t>6,33x</t>
        </is>
      </c>
      <c r="DL337" s="124" t="inlineStr">
        <is>
          <t>81</t>
        </is>
      </c>
      <c r="DM337" s="125" t="inlineStr">
        <is>
          <t>2.750</t>
        </is>
      </c>
      <c r="DN337" s="126" t="inlineStr">
        <is>
          <t>44</t>
        </is>
      </c>
      <c r="DO337" s="127" t="inlineStr">
        <is>
          <t>1,63%</t>
        </is>
      </c>
      <c r="DP337" s="128" t="inlineStr">
        <is>
          <t>20.992</t>
        </is>
      </c>
      <c r="DQ337" s="129" t="inlineStr">
        <is>
          <t>9</t>
        </is>
      </c>
      <c r="DR337" s="130" t="inlineStr">
        <is>
          <t>0,04%</t>
        </is>
      </c>
      <c r="DS337" s="131" t="inlineStr">
        <is>
          <t>30</t>
        </is>
      </c>
      <c r="DT337" s="132" t="inlineStr">
        <is>
          <t>0</t>
        </is>
      </c>
      <c r="DU337" s="133" t="inlineStr">
        <is>
          <t>0,00%</t>
        </is>
      </c>
      <c r="DV337" s="134" t="inlineStr">
        <is>
          <t>2.170</t>
        </is>
      </c>
      <c r="DW337" s="135" t="inlineStr">
        <is>
          <t>0</t>
        </is>
      </c>
      <c r="DX337" s="136" t="inlineStr">
        <is>
          <t>0,00%</t>
        </is>
      </c>
      <c r="DY337" s="137" t="inlineStr">
        <is>
          <t>PitchBook Research</t>
        </is>
      </c>
      <c r="DZ337" s="785">
        <f>HYPERLINK("https://my.pitchbook.com?c=57817-09", "View company online")</f>
      </c>
    </row>
    <row r="338">
      <c r="A338" s="139" t="inlineStr">
        <is>
          <t>161211-07</t>
        </is>
      </c>
      <c r="B338" s="140" t="inlineStr">
        <is>
          <t>Ottonova</t>
        </is>
      </c>
      <c r="C338" s="141" t="inlineStr">
        <is>
          <t/>
        </is>
      </c>
      <c r="D338" s="142" t="inlineStr">
        <is>
          <t/>
        </is>
      </c>
      <c r="E338" s="143" t="inlineStr">
        <is>
          <t>161211-07</t>
        </is>
      </c>
      <c r="F338" s="144" t="inlineStr">
        <is>
          <t>Provider of an online health insurance platform designed to make the complex issue of health care simple and transparent. The company's online health insurance platform offers private health insurance products at reasonable rates and flexible plans, enabling customers to get insurance covered on all healthcare related issues.</t>
        </is>
      </c>
      <c r="G338" s="145" t="inlineStr">
        <is>
          <t>Financial Services</t>
        </is>
      </c>
      <c r="H338" s="146" t="inlineStr">
        <is>
          <t>Insurance</t>
        </is>
      </c>
      <c r="I338" s="147" t="inlineStr">
        <is>
          <t>Life and Health Insurance</t>
        </is>
      </c>
      <c r="J338" s="148" t="inlineStr">
        <is>
          <t>Life and Health Insurance*</t>
        </is>
      </c>
      <c r="K338" s="149" t="inlineStr">
        <is>
          <t/>
        </is>
      </c>
      <c r="L338" s="150" t="inlineStr">
        <is>
          <t>Venture Capital-Backed</t>
        </is>
      </c>
      <c r="M338" s="151" t="n">
        <v>50.0</v>
      </c>
      <c r="N338" s="152" t="inlineStr">
        <is>
          <t>Generating Revenue</t>
        </is>
      </c>
      <c r="O338" s="153" t="inlineStr">
        <is>
          <t>Privately Held (backing)</t>
        </is>
      </c>
      <c r="P338" s="154" t="inlineStr">
        <is>
          <t>Venture Capital</t>
        </is>
      </c>
      <c r="Q338" s="155" t="inlineStr">
        <is>
          <t>www.ottonova.de</t>
        </is>
      </c>
      <c r="R338" s="156" t="n">
        <v>50.0</v>
      </c>
      <c r="S338" s="157" t="inlineStr">
        <is>
          <t/>
        </is>
      </c>
      <c r="T338" s="158" t="inlineStr">
        <is>
          <t/>
        </is>
      </c>
      <c r="U338" s="159" t="n">
        <v>2015.0</v>
      </c>
      <c r="V338" s="160" t="inlineStr">
        <is>
          <t/>
        </is>
      </c>
      <c r="W338" s="161" t="inlineStr">
        <is>
          <t/>
        </is>
      </c>
      <c r="X338" s="162" t="inlineStr">
        <is>
          <t/>
        </is>
      </c>
      <c r="Y338" s="163" t="inlineStr">
        <is>
          <t/>
        </is>
      </c>
      <c r="Z338" s="164" t="inlineStr">
        <is>
          <t/>
        </is>
      </c>
      <c r="AA338" s="165" t="inlineStr">
        <is>
          <t/>
        </is>
      </c>
      <c r="AB338" s="166" t="inlineStr">
        <is>
          <t/>
        </is>
      </c>
      <c r="AC338" s="167" t="inlineStr">
        <is>
          <t/>
        </is>
      </c>
      <c r="AD338" s="168" t="inlineStr">
        <is>
          <t/>
        </is>
      </c>
      <c r="AE338" s="169" t="inlineStr">
        <is>
          <t>54991-90P</t>
        </is>
      </c>
      <c r="AF338" s="170" t="inlineStr">
        <is>
          <t>Roman Rittweger</t>
        </is>
      </c>
      <c r="AG338" s="171" t="inlineStr">
        <is>
          <t>Co-Founder, Chief Executive Officer &amp; Chairman</t>
        </is>
      </c>
      <c r="AH338" s="172" t="inlineStr">
        <is>
          <t>roman.rittweger@ottonova.de</t>
        </is>
      </c>
      <c r="AI338" s="173" t="inlineStr">
        <is>
          <t>+49 (0)89 3808 8029</t>
        </is>
      </c>
      <c r="AJ338" s="174" t="inlineStr">
        <is>
          <t>Munich, Germany</t>
        </is>
      </c>
      <c r="AK338" s="175" t="inlineStr">
        <is>
          <t>Ottostraße 4</t>
        </is>
      </c>
      <c r="AL338" s="176" t="inlineStr">
        <is>
          <t/>
        </is>
      </c>
      <c r="AM338" s="177" t="inlineStr">
        <is>
          <t>Munich</t>
        </is>
      </c>
      <c r="AN338" s="178" t="inlineStr">
        <is>
          <t/>
        </is>
      </c>
      <c r="AO338" s="179" t="inlineStr">
        <is>
          <t>80333</t>
        </is>
      </c>
      <c r="AP338" s="180" t="inlineStr">
        <is>
          <t>Germany</t>
        </is>
      </c>
      <c r="AQ338" s="181" t="inlineStr">
        <is>
          <t>+49 (0)89 3808 8029</t>
        </is>
      </c>
      <c r="AR338" s="182" t="inlineStr">
        <is>
          <t/>
        </is>
      </c>
      <c r="AS338" s="183" t="inlineStr">
        <is>
          <t>hallo@ottonova.de</t>
        </is>
      </c>
      <c r="AT338" s="184" t="inlineStr">
        <is>
          <t>Europe</t>
        </is>
      </c>
      <c r="AU338" s="185" t="inlineStr">
        <is>
          <t>Western Europe</t>
        </is>
      </c>
      <c r="AV338" s="186" t="inlineStr">
        <is>
          <t>The company raised EUR 10 million of Series C venture funding from Debeka Group, Holtzbrinck Ventures and Vorwerk Ventures on July 4, 2017, putting the pre-money valuation at EUR 90 million. Tengelmann Ventures, BtoV and STS Ventures also participated. The company, which has raised approximately EUR 40 million in funding, intends to use the capital to launch its product and continue to expand its offering with additional features. Earlier, the company raised EUR 15 million of venture funding in a deal led by Tengelmann Ventures, btov Partners and STS Ventures on March 16, 2017. Holtzbrinck Ventures and Vorwerk Ventures also participated in the round.</t>
        </is>
      </c>
      <c r="AW338" s="187" t="inlineStr">
        <is>
          <t>btov Partners, Debeka Group, Holtzbrinck Ventures, STS Ventures, Tengelmann Ventures, Vorwerk Ventures</t>
        </is>
      </c>
      <c r="AX338" s="188" t="n">
        <v>6.0</v>
      </c>
      <c r="AY338" s="189" t="inlineStr">
        <is>
          <t/>
        </is>
      </c>
      <c r="AZ338" s="190" t="inlineStr">
        <is>
          <t/>
        </is>
      </c>
      <c r="BA338" s="191" t="inlineStr">
        <is>
          <t/>
        </is>
      </c>
      <c r="BB338" s="192" t="inlineStr">
        <is>
          <t>btov Partners (www.btov.vc), Debeka Group (www.debeka.de), Holtzbrinck Ventures (www.holtzbrinck-ventures.com), STS Ventures (www.sts-ventures.de), Tengelmann Ventures (www.tev.de)</t>
        </is>
      </c>
      <c r="BC338" s="193" t="inlineStr">
        <is>
          <t/>
        </is>
      </c>
      <c r="BD338" s="194" t="inlineStr">
        <is>
          <t/>
        </is>
      </c>
      <c r="BE338" s="195" t="inlineStr">
        <is>
          <t/>
        </is>
      </c>
      <c r="BF338" s="196" t="inlineStr">
        <is>
          <t>Hengeler Mueller (Legal Advisor)</t>
        </is>
      </c>
      <c r="BG338" s="197" t="inlineStr">
        <is>
          <t/>
        </is>
      </c>
      <c r="BH338" s="198" t="n">
        <v>20.0</v>
      </c>
      <c r="BI338" s="199" t="inlineStr">
        <is>
          <t>Estimated</t>
        </is>
      </c>
      <c r="BJ338" s="200" t="inlineStr">
        <is>
          <t/>
        </is>
      </c>
      <c r="BK338" s="201" t="inlineStr">
        <is>
          <t/>
        </is>
      </c>
      <c r="BL338" s="202" t="inlineStr">
        <is>
          <t>Early Stage VC</t>
        </is>
      </c>
      <c r="BM338" s="203" t="inlineStr">
        <is>
          <t/>
        </is>
      </c>
      <c r="BN338" s="204" t="inlineStr">
        <is>
          <t/>
        </is>
      </c>
      <c r="BO338" s="205" t="inlineStr">
        <is>
          <t>Venture Capital</t>
        </is>
      </c>
      <c r="BP338" s="206" t="inlineStr">
        <is>
          <t/>
        </is>
      </c>
      <c r="BQ338" s="207" t="inlineStr">
        <is>
          <t/>
        </is>
      </c>
      <c r="BR338" s="208" t="inlineStr">
        <is>
          <t/>
        </is>
      </c>
      <c r="BS338" s="209" t="inlineStr">
        <is>
          <t>Completed</t>
        </is>
      </c>
      <c r="BT338" s="210" t="n">
        <v>42920.0</v>
      </c>
      <c r="BU338" s="211" t="n">
        <v>10.0</v>
      </c>
      <c r="BV338" s="212" t="inlineStr">
        <is>
          <t>Actual</t>
        </is>
      </c>
      <c r="BW338" s="213" t="n">
        <v>100.0</v>
      </c>
      <c r="BX338" s="214" t="inlineStr">
        <is>
          <t>Estimated</t>
        </is>
      </c>
      <c r="BY338" s="215" t="inlineStr">
        <is>
          <t>Later Stage VC</t>
        </is>
      </c>
      <c r="BZ338" s="216" t="inlineStr">
        <is>
          <t>Series C</t>
        </is>
      </c>
      <c r="CA338" s="217" t="inlineStr">
        <is>
          <t/>
        </is>
      </c>
      <c r="CB338" s="218" t="inlineStr">
        <is>
          <t>Venture Capital</t>
        </is>
      </c>
      <c r="CC338" s="219" t="inlineStr">
        <is>
          <t/>
        </is>
      </c>
      <c r="CD338" s="220" t="inlineStr">
        <is>
          <t/>
        </is>
      </c>
      <c r="CE338" s="221" t="inlineStr">
        <is>
          <t/>
        </is>
      </c>
      <c r="CF338" s="222" t="inlineStr">
        <is>
          <t>Completed</t>
        </is>
      </c>
      <c r="CG338" s="223" t="inlineStr">
        <is>
          <t>2,52%</t>
        </is>
      </c>
      <c r="CH338" s="224" t="inlineStr">
        <is>
          <t>95</t>
        </is>
      </c>
      <c r="CI338" s="225" t="inlineStr">
        <is>
          <t>-0,78%</t>
        </is>
      </c>
      <c r="CJ338" s="226" t="inlineStr">
        <is>
          <t>-23,57%</t>
        </is>
      </c>
      <c r="CK338" s="227" t="inlineStr">
        <is>
          <t>1,19%</t>
        </is>
      </c>
      <c r="CL338" s="228" t="inlineStr">
        <is>
          <t>88</t>
        </is>
      </c>
      <c r="CM338" s="229" t="inlineStr">
        <is>
          <t>3,85%</t>
        </is>
      </c>
      <c r="CN338" s="230" t="inlineStr">
        <is>
          <t>100</t>
        </is>
      </c>
      <c r="CO338" s="231" t="inlineStr">
        <is>
          <t>2,39%</t>
        </is>
      </c>
      <c r="CP338" s="232" t="inlineStr">
        <is>
          <t>90</t>
        </is>
      </c>
      <c r="CQ338" s="233" t="inlineStr">
        <is>
          <t>0,00%</t>
        </is>
      </c>
      <c r="CR338" s="234" t="inlineStr">
        <is>
          <t>13</t>
        </is>
      </c>
      <c r="CS338" s="235" t="inlineStr">
        <is>
          <t>6,73%</t>
        </is>
      </c>
      <c r="CT338" s="236" t="inlineStr">
        <is>
          <t>100</t>
        </is>
      </c>
      <c r="CU338" s="237" t="inlineStr">
        <is>
          <t>0,96%</t>
        </is>
      </c>
      <c r="CV338" s="238" t="inlineStr">
        <is>
          <t>97</t>
        </is>
      </c>
      <c r="CW338" s="239" t="inlineStr">
        <is>
          <t>4,11x</t>
        </is>
      </c>
      <c r="CX338" s="240" t="inlineStr">
        <is>
          <t>76</t>
        </is>
      </c>
      <c r="CY338" s="241" t="inlineStr">
        <is>
          <t>0,06x</t>
        </is>
      </c>
      <c r="CZ338" s="242" t="inlineStr">
        <is>
          <t>1,40%</t>
        </is>
      </c>
      <c r="DA338" s="243" t="inlineStr">
        <is>
          <t>6,77x</t>
        </is>
      </c>
      <c r="DB338" s="244" t="inlineStr">
        <is>
          <t>83</t>
        </is>
      </c>
      <c r="DC338" s="245" t="inlineStr">
        <is>
          <t>1,44x</t>
        </is>
      </c>
      <c r="DD338" s="246" t="inlineStr">
        <is>
          <t>55</t>
        </is>
      </c>
      <c r="DE338" s="247" t="inlineStr">
        <is>
          <t>11,46x</t>
        </is>
      </c>
      <c r="DF338" s="248" t="inlineStr">
        <is>
          <t>84</t>
        </is>
      </c>
      <c r="DG338" s="249" t="inlineStr">
        <is>
          <t>2,08x</t>
        </is>
      </c>
      <c r="DH338" s="250" t="inlineStr">
        <is>
          <t>65</t>
        </is>
      </c>
      <c r="DI338" s="251" t="inlineStr">
        <is>
          <t>1,07x</t>
        </is>
      </c>
      <c r="DJ338" s="252" t="inlineStr">
        <is>
          <t>52</t>
        </is>
      </c>
      <c r="DK338" s="253" t="inlineStr">
        <is>
          <t>1,81x</t>
        </is>
      </c>
      <c r="DL338" s="254" t="inlineStr">
        <is>
          <t>61</t>
        </is>
      </c>
      <c r="DM338" s="255" t="inlineStr">
        <is>
          <t>7.196</t>
        </is>
      </c>
      <c r="DN338" s="256" t="inlineStr">
        <is>
          <t>-439</t>
        </is>
      </c>
      <c r="DO338" s="257" t="inlineStr">
        <is>
          <t>-5,75%</t>
        </is>
      </c>
      <c r="DP338" s="258" t="inlineStr">
        <is>
          <t>835</t>
        </is>
      </c>
      <c r="DQ338" s="259" t="inlineStr">
        <is>
          <t>22</t>
        </is>
      </c>
      <c r="DR338" s="260" t="inlineStr">
        <is>
          <t>2,71%</t>
        </is>
      </c>
      <c r="DS338" s="261" t="inlineStr">
        <is>
          <t>74</t>
        </is>
      </c>
      <c r="DT338" s="262" t="inlineStr">
        <is>
          <t>1</t>
        </is>
      </c>
      <c r="DU338" s="263" t="inlineStr">
        <is>
          <t>1,37%</t>
        </is>
      </c>
      <c r="DV338" s="264" t="inlineStr">
        <is>
          <t>616</t>
        </is>
      </c>
      <c r="DW338" s="265" t="inlineStr">
        <is>
          <t>5</t>
        </is>
      </c>
      <c r="DX338" s="266" t="inlineStr">
        <is>
          <t>0,82%</t>
        </is>
      </c>
      <c r="DY338" s="267" t="inlineStr">
        <is>
          <t>PitchBook Research</t>
        </is>
      </c>
      <c r="DZ338" s="786">
        <f>HYPERLINK("https://my.pitchbook.com?c=161211-07", "View company online")</f>
      </c>
    </row>
    <row r="339">
      <c r="A339" s="9" t="inlineStr">
        <is>
          <t>110783-26</t>
        </is>
      </c>
      <c r="B339" s="10" t="inlineStr">
        <is>
          <t>Oura</t>
        </is>
      </c>
      <c r="C339" s="11" t="inlineStr">
        <is>
          <t/>
        </is>
      </c>
      <c r="D339" s="12" t="inlineStr">
        <is>
          <t>Ouraring</t>
        </is>
      </c>
      <c r="E339" s="13" t="inlineStr">
        <is>
          <t>110783-26</t>
        </is>
      </c>
      <c r="F339" s="14" t="inlineStr">
        <is>
          <t>Provider of a wellness ring. The company has designed a ring that tracks human behavior and helps in understanding changes in lifestyle that has an impact on their body and mind.</t>
        </is>
      </c>
      <c r="G339" s="15" t="inlineStr">
        <is>
          <t>Consumer Products and Services (B2C)</t>
        </is>
      </c>
      <c r="H339" s="16" t="inlineStr">
        <is>
          <t>Consumer Durables</t>
        </is>
      </c>
      <c r="I339" s="17" t="inlineStr">
        <is>
          <t>Other Consumer Durables</t>
        </is>
      </c>
      <c r="J339" s="18" t="inlineStr">
        <is>
          <t>Other Consumer Durables*; Other Devices and Supplies</t>
        </is>
      </c>
      <c r="K339" s="19" t="inlineStr">
        <is>
          <t>Internet of Things, Wearables &amp; Quantified Self</t>
        </is>
      </c>
      <c r="L339" s="20" t="inlineStr">
        <is>
          <t>Venture Capital-Backed</t>
        </is>
      </c>
      <c r="M339" s="21" t="n">
        <v>7.13</v>
      </c>
      <c r="N339" s="22" t="inlineStr">
        <is>
          <t>Startup</t>
        </is>
      </c>
      <c r="O339" s="23" t="inlineStr">
        <is>
          <t>Privately Held (backing)</t>
        </is>
      </c>
      <c r="P339" s="24" t="inlineStr">
        <is>
          <t>Venture Capital</t>
        </is>
      </c>
      <c r="Q339" s="25" t="inlineStr">
        <is>
          <t>ouraring.com</t>
        </is>
      </c>
      <c r="R339" s="26" t="n">
        <v>15.0</v>
      </c>
      <c r="S339" s="27" t="inlineStr">
        <is>
          <t/>
        </is>
      </c>
      <c r="T339" s="28" t="inlineStr">
        <is>
          <t/>
        </is>
      </c>
      <c r="U339" s="29" t="n">
        <v>2013.0</v>
      </c>
      <c r="V339" s="30" t="inlineStr">
        <is>
          <t/>
        </is>
      </c>
      <c r="W339" s="31" t="inlineStr">
        <is>
          <t/>
        </is>
      </c>
      <c r="X339" s="32" t="inlineStr">
        <is>
          <t/>
        </is>
      </c>
      <c r="Y339" s="33" t="n">
        <v>0.00919</v>
      </c>
      <c r="Z339" s="34" t="inlineStr">
        <is>
          <t/>
        </is>
      </c>
      <c r="AA339" s="35" t="n">
        <v>-1.74559</v>
      </c>
      <c r="AB339" s="36" t="inlineStr">
        <is>
          <t/>
        </is>
      </c>
      <c r="AC339" s="37" t="n">
        <v>-1.72721</v>
      </c>
      <c r="AD339" s="38" t="inlineStr">
        <is>
          <t>FY 2015</t>
        </is>
      </c>
      <c r="AE339" s="39" t="inlineStr">
        <is>
          <t>96733-90P</t>
        </is>
      </c>
      <c r="AF339" s="40" t="inlineStr">
        <is>
          <t>Petteri Lahtela</t>
        </is>
      </c>
      <c r="AG339" s="41" t="inlineStr">
        <is>
          <t>Co-Founder &amp; Chief Executive Officer</t>
        </is>
      </c>
      <c r="AH339" s="42" t="inlineStr">
        <is>
          <t>petteri.lahtela@ouraring.com</t>
        </is>
      </c>
      <c r="AI339" s="43" t="inlineStr">
        <is>
          <t/>
        </is>
      </c>
      <c r="AJ339" s="44" t="inlineStr">
        <is>
          <t>Oulu, Finland</t>
        </is>
      </c>
      <c r="AK339" s="45" t="inlineStr">
        <is>
          <t>Elektroniikkatie 3</t>
        </is>
      </c>
      <c r="AL339" s="46" t="inlineStr">
        <is>
          <t/>
        </is>
      </c>
      <c r="AM339" s="47" t="inlineStr">
        <is>
          <t>Oulu</t>
        </is>
      </c>
      <c r="AN339" s="48" t="inlineStr">
        <is>
          <t/>
        </is>
      </c>
      <c r="AO339" s="49" t="inlineStr">
        <is>
          <t>90590</t>
        </is>
      </c>
      <c r="AP339" s="50" t="inlineStr">
        <is>
          <t>Finland</t>
        </is>
      </c>
      <c r="AQ339" s="51" t="inlineStr">
        <is>
          <t/>
        </is>
      </c>
      <c r="AR339" s="52" t="inlineStr">
        <is>
          <t/>
        </is>
      </c>
      <c r="AS339" s="53" t="inlineStr">
        <is>
          <t/>
        </is>
      </c>
      <c r="AT339" s="54" t="inlineStr">
        <is>
          <t>Europe</t>
        </is>
      </c>
      <c r="AU339" s="55" t="inlineStr">
        <is>
          <t>Northern Europe</t>
        </is>
      </c>
      <c r="AV339" s="56" t="inlineStr">
        <is>
          <t>The company raised EUR 5 million of Series A venture funding from Joi Ito and Jaan Tallinn on November 30, 2016. Other undisclosed angel investors also participated. The company will use the funding for hiring, sales and marketing in North America and to complete clinical studies with sleep researchers around the world. With the round, the company has now raised a total of EUR 7.2 million in funding to date.</t>
        </is>
      </c>
      <c r="AW339" s="57" t="inlineStr">
        <is>
          <t>Jaan Tallinn, Joichi Ito, Lifeline Ventures, Peter Vanhanen, Proxy Ventures</t>
        </is>
      </c>
      <c r="AX339" s="58" t="n">
        <v>5.0</v>
      </c>
      <c r="AY339" s="59" t="inlineStr">
        <is>
          <t/>
        </is>
      </c>
      <c r="AZ339" s="60" t="inlineStr">
        <is>
          <t/>
        </is>
      </c>
      <c r="BA339" s="61" t="inlineStr">
        <is>
          <t/>
        </is>
      </c>
      <c r="BB339" s="62" t="inlineStr">
        <is>
          <t>Joichi Ito (joi.ito.com), Lifeline Ventures (www.lifelineventures.com), Proxy Ventures (www.proxy.vc)</t>
        </is>
      </c>
      <c r="BC339" s="63" t="inlineStr">
        <is>
          <t/>
        </is>
      </c>
      <c r="BD339" s="64" t="inlineStr">
        <is>
          <t/>
        </is>
      </c>
      <c r="BE339" s="65" t="inlineStr">
        <is>
          <t/>
        </is>
      </c>
      <c r="BF339" s="66" t="inlineStr">
        <is>
          <t>Tekes, Kickstarter (Lead Manager or Arranger)</t>
        </is>
      </c>
      <c r="BG339" s="67" t="n">
        <v>42121.0</v>
      </c>
      <c r="BH339" s="68" t="n">
        <v>2.13</v>
      </c>
      <c r="BI339" s="69" t="inlineStr">
        <is>
          <t>Actual</t>
        </is>
      </c>
      <c r="BJ339" s="70" t="inlineStr">
        <is>
          <t/>
        </is>
      </c>
      <c r="BK339" s="71" t="inlineStr">
        <is>
          <t/>
        </is>
      </c>
      <c r="BL339" s="72" t="inlineStr">
        <is>
          <t>Seed Round</t>
        </is>
      </c>
      <c r="BM339" s="73" t="inlineStr">
        <is>
          <t>Seed</t>
        </is>
      </c>
      <c r="BN339" s="74" t="inlineStr">
        <is>
          <t/>
        </is>
      </c>
      <c r="BO339" s="75" t="inlineStr">
        <is>
          <t>Venture Capital</t>
        </is>
      </c>
      <c r="BP339" s="76" t="inlineStr">
        <is>
          <t>Loan</t>
        </is>
      </c>
      <c r="BQ339" s="77" t="inlineStr">
        <is>
          <t/>
        </is>
      </c>
      <c r="BR339" s="78" t="inlineStr">
        <is>
          <t/>
        </is>
      </c>
      <c r="BS339" s="79" t="inlineStr">
        <is>
          <t>Completed</t>
        </is>
      </c>
      <c r="BT339" s="80" t="n">
        <v>42704.0</v>
      </c>
      <c r="BU339" s="81" t="n">
        <v>5.0</v>
      </c>
      <c r="BV339" s="82" t="inlineStr">
        <is>
          <t>Actual</t>
        </is>
      </c>
      <c r="BW339" s="83" t="inlineStr">
        <is>
          <t/>
        </is>
      </c>
      <c r="BX339" s="84" t="inlineStr">
        <is>
          <t/>
        </is>
      </c>
      <c r="BY339" s="85" t="inlineStr">
        <is>
          <t>Angel (individual)</t>
        </is>
      </c>
      <c r="BZ339" s="86" t="inlineStr">
        <is>
          <t>Series A</t>
        </is>
      </c>
      <c r="CA339" s="87" t="inlineStr">
        <is>
          <t/>
        </is>
      </c>
      <c r="CB339" s="88" t="inlineStr">
        <is>
          <t>Individual</t>
        </is>
      </c>
      <c r="CC339" s="89" t="inlineStr">
        <is>
          <t/>
        </is>
      </c>
      <c r="CD339" s="90" t="inlineStr">
        <is>
          <t/>
        </is>
      </c>
      <c r="CE339" s="91" t="inlineStr">
        <is>
          <t/>
        </is>
      </c>
      <c r="CF339" s="92" t="inlineStr">
        <is>
          <t>Completed</t>
        </is>
      </c>
      <c r="CG339" s="93" t="inlineStr">
        <is>
          <t>-1,66%</t>
        </is>
      </c>
      <c r="CH339" s="94" t="inlineStr">
        <is>
          <t>3</t>
        </is>
      </c>
      <c r="CI339" s="95" t="inlineStr">
        <is>
          <t>0,00%</t>
        </is>
      </c>
      <c r="CJ339" s="96" t="inlineStr">
        <is>
          <t>-0,08%</t>
        </is>
      </c>
      <c r="CK339" s="97" t="inlineStr">
        <is>
          <t>-3,92%</t>
        </is>
      </c>
      <c r="CL339" s="98" t="inlineStr">
        <is>
          <t>2</t>
        </is>
      </c>
      <c r="CM339" s="99" t="inlineStr">
        <is>
          <t>0,60%</t>
        </is>
      </c>
      <c r="CN339" s="100" t="inlineStr">
        <is>
          <t>92</t>
        </is>
      </c>
      <c r="CO339" s="101" t="inlineStr">
        <is>
          <t>-7,84%</t>
        </is>
      </c>
      <c r="CP339" s="102" t="inlineStr">
        <is>
          <t>3</t>
        </is>
      </c>
      <c r="CQ339" s="103" t="inlineStr">
        <is>
          <t>0,00%</t>
        </is>
      </c>
      <c r="CR339" s="104" t="inlineStr">
        <is>
          <t>13</t>
        </is>
      </c>
      <c r="CS339" s="105" t="inlineStr">
        <is>
          <t>0,48%</t>
        </is>
      </c>
      <c r="CT339" s="106" t="inlineStr">
        <is>
          <t>87</t>
        </is>
      </c>
      <c r="CU339" s="107" t="inlineStr">
        <is>
          <t>0,72%</t>
        </is>
      </c>
      <c r="CV339" s="108" t="inlineStr">
        <is>
          <t>95</t>
        </is>
      </c>
      <c r="CW339" s="109" t="inlineStr">
        <is>
          <t>11,84x</t>
        </is>
      </c>
      <c r="CX339" s="110" t="inlineStr">
        <is>
          <t>88</t>
        </is>
      </c>
      <c r="CY339" s="111" t="inlineStr">
        <is>
          <t>0,13x</t>
        </is>
      </c>
      <c r="CZ339" s="112" t="inlineStr">
        <is>
          <t>1,13%</t>
        </is>
      </c>
      <c r="DA339" s="113" t="inlineStr">
        <is>
          <t>13,26x</t>
        </is>
      </c>
      <c r="DB339" s="114" t="inlineStr">
        <is>
          <t>90</t>
        </is>
      </c>
      <c r="DC339" s="115" t="inlineStr">
        <is>
          <t>10,41x</t>
        </is>
      </c>
      <c r="DD339" s="116" t="inlineStr">
        <is>
          <t>84</t>
        </is>
      </c>
      <c r="DE339" s="117" t="inlineStr">
        <is>
          <t>24,39x</t>
        </is>
      </c>
      <c r="DF339" s="118" t="inlineStr">
        <is>
          <t>90</t>
        </is>
      </c>
      <c r="DG339" s="119" t="inlineStr">
        <is>
          <t>2,14x</t>
        </is>
      </c>
      <c r="DH339" s="120" t="inlineStr">
        <is>
          <t>65</t>
        </is>
      </c>
      <c r="DI339" s="121" t="inlineStr">
        <is>
          <t>13,77x</t>
        </is>
      </c>
      <c r="DJ339" s="122" t="inlineStr">
        <is>
          <t>85</t>
        </is>
      </c>
      <c r="DK339" s="123" t="inlineStr">
        <is>
          <t>7,05x</t>
        </is>
      </c>
      <c r="DL339" s="124" t="inlineStr">
        <is>
          <t>82</t>
        </is>
      </c>
      <c r="DM339" s="125" t="inlineStr">
        <is>
          <t>15.554</t>
        </is>
      </c>
      <c r="DN339" s="126" t="inlineStr">
        <is>
          <t>-1.670</t>
        </is>
      </c>
      <c r="DO339" s="127" t="inlineStr">
        <is>
          <t>-9,70%</t>
        </is>
      </c>
      <c r="DP339" s="128" t="inlineStr">
        <is>
          <t>10.983</t>
        </is>
      </c>
      <c r="DQ339" s="129" t="inlineStr">
        <is>
          <t>48</t>
        </is>
      </c>
      <c r="DR339" s="130" t="inlineStr">
        <is>
          <t>0,44%</t>
        </is>
      </c>
      <c r="DS339" s="131" t="inlineStr">
        <is>
          <t>77</t>
        </is>
      </c>
      <c r="DT339" s="132" t="inlineStr">
        <is>
          <t>-1</t>
        </is>
      </c>
      <c r="DU339" s="133" t="inlineStr">
        <is>
          <t>-1,28%</t>
        </is>
      </c>
      <c r="DV339" s="134" t="inlineStr">
        <is>
          <t>2.416</t>
        </is>
      </c>
      <c r="DW339" s="135" t="inlineStr">
        <is>
          <t>15</t>
        </is>
      </c>
      <c r="DX339" s="136" t="inlineStr">
        <is>
          <t>0,62%</t>
        </is>
      </c>
      <c r="DY339" s="137" t="inlineStr">
        <is>
          <t>PitchBook Research</t>
        </is>
      </c>
      <c r="DZ339" s="785">
        <f>HYPERLINK("https://my.pitchbook.com?c=110783-26", "View company online")</f>
      </c>
    </row>
    <row r="340">
      <c r="A340" s="139" t="inlineStr">
        <is>
          <t>54633-61</t>
        </is>
      </c>
      <c r="B340" s="140" t="inlineStr">
        <is>
          <t>Outfittery</t>
        </is>
      </c>
      <c r="C340" s="141" t="inlineStr">
        <is>
          <t/>
        </is>
      </c>
      <c r="D340" s="142" t="inlineStr">
        <is>
          <t/>
        </is>
      </c>
      <c r="E340" s="143" t="inlineStr">
        <is>
          <t>54633-61</t>
        </is>
      </c>
      <c r="F340" s="144" t="inlineStr">
        <is>
          <t>Operator of a personal shopping platform for men. The company operates a tailored personal service for men to shop for fashion online by interacting with the customers about their clothing style and sizes.</t>
        </is>
      </c>
      <c r="G340" s="145" t="inlineStr">
        <is>
          <t>Consumer Products and Services (B2C)</t>
        </is>
      </c>
      <c r="H340" s="146" t="inlineStr">
        <is>
          <t>Apparel and Accessories</t>
        </is>
      </c>
      <c r="I340" s="147" t="inlineStr">
        <is>
          <t>Clothing</t>
        </is>
      </c>
      <c r="J340" s="148" t="inlineStr">
        <is>
          <t>Clothing*; Internet Retail</t>
        </is>
      </c>
      <c r="K340" s="149" t="inlineStr">
        <is>
          <t>E-Commerce</t>
        </is>
      </c>
      <c r="L340" s="150" t="inlineStr">
        <is>
          <t>Venture Capital-Backed</t>
        </is>
      </c>
      <c r="M340" s="151" t="n">
        <v>51.14</v>
      </c>
      <c r="N340" s="152" t="inlineStr">
        <is>
          <t>Generating Revenue</t>
        </is>
      </c>
      <c r="O340" s="153" t="inlineStr">
        <is>
          <t>Privately Held (backing)</t>
        </is>
      </c>
      <c r="P340" s="154" t="inlineStr">
        <is>
          <t>Venture Capital</t>
        </is>
      </c>
      <c r="Q340" s="155" t="inlineStr">
        <is>
          <t>www.outfittery.de</t>
        </is>
      </c>
      <c r="R340" s="156" t="n">
        <v>300.0</v>
      </c>
      <c r="S340" s="157" t="inlineStr">
        <is>
          <t/>
        </is>
      </c>
      <c r="T340" s="158" t="inlineStr">
        <is>
          <t/>
        </is>
      </c>
      <c r="U340" s="159" t="n">
        <v>2012.0</v>
      </c>
      <c r="V340" s="160" t="inlineStr">
        <is>
          <t/>
        </is>
      </c>
      <c r="W340" s="161" t="inlineStr">
        <is>
          <t/>
        </is>
      </c>
      <c r="X340" s="162" t="inlineStr">
        <is>
          <t/>
        </is>
      </c>
      <c r="Y340" s="163" t="n">
        <v>24.99864</v>
      </c>
      <c r="Z340" s="164" t="inlineStr">
        <is>
          <t/>
        </is>
      </c>
      <c r="AA340" s="165" t="inlineStr">
        <is>
          <t/>
        </is>
      </c>
      <c r="AB340" s="166" t="inlineStr">
        <is>
          <t/>
        </is>
      </c>
      <c r="AC340" s="167" t="inlineStr">
        <is>
          <t/>
        </is>
      </c>
      <c r="AD340" s="168" t="inlineStr">
        <is>
          <t>FY 2015</t>
        </is>
      </c>
      <c r="AE340" s="169" t="inlineStr">
        <is>
          <t>48303-46P</t>
        </is>
      </c>
      <c r="AF340" s="170" t="inlineStr">
        <is>
          <t>Julia Bosch</t>
        </is>
      </c>
      <c r="AG340" s="171" t="inlineStr">
        <is>
          <t>Co-Founder, Co-Chief Executive Officer &amp; Managing Director</t>
        </is>
      </c>
      <c r="AH340" s="172" t="inlineStr">
        <is>
          <t>julia@outfittery.de</t>
        </is>
      </c>
      <c r="AI340" s="173" t="inlineStr">
        <is>
          <t>+49 (0)30 4672 2431</t>
        </is>
      </c>
      <c r="AJ340" s="174" t="inlineStr">
        <is>
          <t>Berlin, Germany</t>
        </is>
      </c>
      <c r="AK340" s="175" t="inlineStr">
        <is>
          <t>Leuschnerdamm 31</t>
        </is>
      </c>
      <c r="AL340" s="176" t="inlineStr">
        <is>
          <t/>
        </is>
      </c>
      <c r="AM340" s="177" t="inlineStr">
        <is>
          <t>Berlin</t>
        </is>
      </c>
      <c r="AN340" s="178" t="inlineStr">
        <is>
          <t/>
        </is>
      </c>
      <c r="AO340" s="179" t="inlineStr">
        <is>
          <t>10999</t>
        </is>
      </c>
      <c r="AP340" s="180" t="inlineStr">
        <is>
          <t>Germany</t>
        </is>
      </c>
      <c r="AQ340" s="181" t="inlineStr">
        <is>
          <t>+49 (0)30 4672 2431</t>
        </is>
      </c>
      <c r="AR340" s="182" t="inlineStr">
        <is>
          <t/>
        </is>
      </c>
      <c r="AS340" s="183" t="inlineStr">
        <is>
          <t>info@outfittery.de</t>
        </is>
      </c>
      <c r="AT340" s="184" t="inlineStr">
        <is>
          <t>Europe</t>
        </is>
      </c>
      <c r="AU340" s="185" t="inlineStr">
        <is>
          <t>Western Europe</t>
        </is>
      </c>
      <c r="AV340" s="186" t="inlineStr">
        <is>
          <t>The company raised $22 million of Series D venture funding led by Octopus Ventures on August 15, 2016. U-Start Club, Holtzbrinck Ventures, Highland Capital Partners, Northzone Capital and Mangrove Capital Partners also participated. The company will use the funds to continue to expand international operations.</t>
        </is>
      </c>
      <c r="AW340" s="187" t="inlineStr">
        <is>
          <t>Angel Lab, btov Partners, Harbert Management, Highland Capital Partners Europe, High-Tech Gründerfonds, Holtzbrinck Ventures, IBB Beteiligungsgesellschaft, Investitionsbank des Landes Brandenburg, Mangrove Capital Partners, Mangrove Systems, Northzone Ventures, Octopus Ventures, Raffay, U-Start, VC Fonds Kreativwirtschaft Berlin</t>
        </is>
      </c>
      <c r="AX340" s="188" t="n">
        <v>15.0</v>
      </c>
      <c r="AY340" s="189" t="inlineStr">
        <is>
          <t/>
        </is>
      </c>
      <c r="AZ340" s="190" t="inlineStr">
        <is>
          <t/>
        </is>
      </c>
      <c r="BA340" s="191" t="inlineStr">
        <is>
          <t/>
        </is>
      </c>
      <c r="BB340" s="192" t="inlineStr">
        <is>
          <t>Angel Lab (www.angellab.com), btov Partners (www.btov.vc), Harbert Management (www.harbert.net), Highland Capital Partners Europe (www.highlandeurope.com), High-Tech Gründerfonds (www.high-tech-gruenderfonds.de), Holtzbrinck Ventures (www.holtzbrinck-ventures.com), IBB Beteiligungsgesellschaft (www.ibb-bet.de), Investitionsbank des Landes Brandenburg (www.ilb.de), Mangrove Capital Partners (www.mangrove.vc), Northzone Ventures (www.northzone.com), Octopus Ventures (www.octopusventures.com), Raffay (www.raffay.com), U-Start (www.u-start.biz)</t>
        </is>
      </c>
      <c r="BC340" s="193" t="inlineStr">
        <is>
          <t/>
        </is>
      </c>
      <c r="BD340" s="194" t="inlineStr">
        <is>
          <t/>
        </is>
      </c>
      <c r="BE340" s="195" t="inlineStr">
        <is>
          <t>U-Start (Advisor), CMS Hasche Sigle (Legal Advisor)</t>
        </is>
      </c>
      <c r="BF340" s="196" t="inlineStr">
        <is>
          <t>CMS Hasche Sigle (Legal Advisor)</t>
        </is>
      </c>
      <c r="BG340" s="197" t="n">
        <v>41073.0</v>
      </c>
      <c r="BH340" s="198" t="inlineStr">
        <is>
          <t/>
        </is>
      </c>
      <c r="BI340" s="199" t="inlineStr">
        <is>
          <t/>
        </is>
      </c>
      <c r="BJ340" s="200" t="inlineStr">
        <is>
          <t/>
        </is>
      </c>
      <c r="BK340" s="201" t="inlineStr">
        <is>
          <t/>
        </is>
      </c>
      <c r="BL340" s="202" t="inlineStr">
        <is>
          <t>Early Stage VC</t>
        </is>
      </c>
      <c r="BM340" s="203" t="inlineStr">
        <is>
          <t/>
        </is>
      </c>
      <c r="BN340" s="204" t="inlineStr">
        <is>
          <t/>
        </is>
      </c>
      <c r="BO340" s="205" t="inlineStr">
        <is>
          <t>Venture Capital</t>
        </is>
      </c>
      <c r="BP340" s="206" t="inlineStr">
        <is>
          <t/>
        </is>
      </c>
      <c r="BQ340" s="207" t="inlineStr">
        <is>
          <t/>
        </is>
      </c>
      <c r="BR340" s="208" t="inlineStr">
        <is>
          <t/>
        </is>
      </c>
      <c r="BS340" s="209" t="inlineStr">
        <is>
          <t>Completed</t>
        </is>
      </c>
      <c r="BT340" s="210" t="n">
        <v>42597.0</v>
      </c>
      <c r="BU340" s="211" t="n">
        <v>19.64</v>
      </c>
      <c r="BV340" s="212" t="inlineStr">
        <is>
          <t>Actual</t>
        </is>
      </c>
      <c r="BW340" s="213" t="inlineStr">
        <is>
          <t/>
        </is>
      </c>
      <c r="BX340" s="214" t="inlineStr">
        <is>
          <t/>
        </is>
      </c>
      <c r="BY340" s="215" t="inlineStr">
        <is>
          <t>Later Stage VC</t>
        </is>
      </c>
      <c r="BZ340" s="216" t="inlineStr">
        <is>
          <t>Series D</t>
        </is>
      </c>
      <c r="CA340" s="217" t="inlineStr">
        <is>
          <t/>
        </is>
      </c>
      <c r="CB340" s="218" t="inlineStr">
        <is>
          <t>Venture Capital</t>
        </is>
      </c>
      <c r="CC340" s="219" t="inlineStr">
        <is>
          <t/>
        </is>
      </c>
      <c r="CD340" s="220" t="inlineStr">
        <is>
          <t/>
        </is>
      </c>
      <c r="CE340" s="221" t="inlineStr">
        <is>
          <t/>
        </is>
      </c>
      <c r="CF340" s="222" t="inlineStr">
        <is>
          <t>Completed</t>
        </is>
      </c>
      <c r="CG340" s="223" t="inlineStr">
        <is>
          <t>-0,20%</t>
        </is>
      </c>
      <c r="CH340" s="224" t="inlineStr">
        <is>
          <t>12</t>
        </is>
      </c>
      <c r="CI340" s="225" t="inlineStr">
        <is>
          <t>-0,24%</t>
        </is>
      </c>
      <c r="CJ340" s="226" t="inlineStr">
        <is>
          <t>-538,77%</t>
        </is>
      </c>
      <c r="CK340" s="227" t="inlineStr">
        <is>
          <t>-0,41%</t>
        </is>
      </c>
      <c r="CL340" s="228" t="inlineStr">
        <is>
          <t>13</t>
        </is>
      </c>
      <c r="CM340" s="229" t="inlineStr">
        <is>
          <t>0,01%</t>
        </is>
      </c>
      <c r="CN340" s="230" t="inlineStr">
        <is>
          <t>44</t>
        </is>
      </c>
      <c r="CO340" s="231" t="inlineStr">
        <is>
          <t>-1,68%</t>
        </is>
      </c>
      <c r="CP340" s="232" t="inlineStr">
        <is>
          <t>17</t>
        </is>
      </c>
      <c r="CQ340" s="233" t="inlineStr">
        <is>
          <t>0,87%</t>
        </is>
      </c>
      <c r="CR340" s="234" t="inlineStr">
        <is>
          <t>88</t>
        </is>
      </c>
      <c r="CS340" s="235" t="inlineStr">
        <is>
          <t>0,06%</t>
        </is>
      </c>
      <c r="CT340" s="236" t="inlineStr">
        <is>
          <t>51</t>
        </is>
      </c>
      <c r="CU340" s="237" t="inlineStr">
        <is>
          <t>-0,04%</t>
        </is>
      </c>
      <c r="CV340" s="238" t="inlineStr">
        <is>
          <t>14</t>
        </is>
      </c>
      <c r="CW340" s="239" t="inlineStr">
        <is>
          <t>170,45x</t>
        </is>
      </c>
      <c r="CX340" s="240" t="inlineStr">
        <is>
          <t>99</t>
        </is>
      </c>
      <c r="CY340" s="241" t="inlineStr">
        <is>
          <t>3,23x</t>
        </is>
      </c>
      <c r="CZ340" s="242" t="inlineStr">
        <is>
          <t>1,93%</t>
        </is>
      </c>
      <c r="DA340" s="243" t="inlineStr">
        <is>
          <t>42,95x</t>
        </is>
      </c>
      <c r="DB340" s="244" t="inlineStr">
        <is>
          <t>96</t>
        </is>
      </c>
      <c r="DC340" s="245" t="inlineStr">
        <is>
          <t>297,95x</t>
        </is>
      </c>
      <c r="DD340" s="246" t="inlineStr">
        <is>
          <t>99</t>
        </is>
      </c>
      <c r="DE340" s="247" t="inlineStr">
        <is>
          <t>59,02x</t>
        </is>
      </c>
      <c r="DF340" s="248" t="inlineStr">
        <is>
          <t>94</t>
        </is>
      </c>
      <c r="DG340" s="249" t="inlineStr">
        <is>
          <t>26,89x</t>
        </is>
      </c>
      <c r="DH340" s="250" t="inlineStr">
        <is>
          <t>94</t>
        </is>
      </c>
      <c r="DI340" s="251" t="inlineStr">
        <is>
          <t>589,32x</t>
        </is>
      </c>
      <c r="DJ340" s="252" t="inlineStr">
        <is>
          <t>99</t>
        </is>
      </c>
      <c r="DK340" s="253" t="inlineStr">
        <is>
          <t>6,58x</t>
        </is>
      </c>
      <c r="DL340" s="254" t="inlineStr">
        <is>
          <t>82</t>
        </is>
      </c>
      <c r="DM340" s="255" t="inlineStr">
        <is>
          <t>37.026</t>
        </is>
      </c>
      <c r="DN340" s="256" t="inlineStr">
        <is>
          <t>-2.194</t>
        </is>
      </c>
      <c r="DO340" s="257" t="inlineStr">
        <is>
          <t>-5,59%</t>
        </is>
      </c>
      <c r="DP340" s="258" t="inlineStr">
        <is>
          <t>470.716</t>
        </is>
      </c>
      <c r="DQ340" s="259" t="inlineStr">
        <is>
          <t>249</t>
        </is>
      </c>
      <c r="DR340" s="260" t="inlineStr">
        <is>
          <t>0,05%</t>
        </is>
      </c>
      <c r="DS340" s="261" t="inlineStr">
        <is>
          <t>977</t>
        </is>
      </c>
      <c r="DT340" s="262" t="inlineStr">
        <is>
          <t>-7</t>
        </is>
      </c>
      <c r="DU340" s="263" t="inlineStr">
        <is>
          <t>-0,71%</t>
        </is>
      </c>
      <c r="DV340" s="264" t="inlineStr">
        <is>
          <t>2.256</t>
        </is>
      </c>
      <c r="DW340" s="265" t="inlineStr">
        <is>
          <t>-1</t>
        </is>
      </c>
      <c r="DX340" s="266" t="inlineStr">
        <is>
          <t>-0,04%</t>
        </is>
      </c>
      <c r="DY340" s="267" t="inlineStr">
        <is>
          <t>PitchBook Research</t>
        </is>
      </c>
      <c r="DZ340" s="786">
        <f>HYPERLINK("https://my.pitchbook.com?c=54633-61", "View company online")</f>
      </c>
    </row>
    <row r="341">
      <c r="A341" s="9" t="inlineStr">
        <is>
          <t>178402-87</t>
        </is>
      </c>
      <c r="B341" s="10" t="inlineStr">
        <is>
          <t>Oxford Cannabinoid Technologies</t>
        </is>
      </c>
      <c r="C341" s="11" t="inlineStr">
        <is>
          <t/>
        </is>
      </c>
      <c r="D341" s="12" t="inlineStr">
        <is>
          <t>OCT</t>
        </is>
      </c>
      <c r="E341" s="13" t="inlineStr">
        <is>
          <t>178402-87</t>
        </is>
      </c>
      <c r="F341" s="14" t="inlineStr">
        <is>
          <t>Developer of cannabinoid based compounds and therapies created to provide more evidence for the effects of cannabinoids in a number of diseases. The company's novel cannabinoid-based therapies have range of potential medical applications including Inflammatory Disease, Oncology,Neurological Disorders, Pain Management,
enabling doctors to get cannabinoid-based medication for improving the quality of life for millions of patients.</t>
        </is>
      </c>
      <c r="G341" s="15" t="inlineStr">
        <is>
          <t>Healthcare</t>
        </is>
      </c>
      <c r="H341" s="16" t="inlineStr">
        <is>
          <t>Pharmaceuticals and Biotechnology</t>
        </is>
      </c>
      <c r="I341" s="17" t="inlineStr">
        <is>
          <t>Drug Discovery</t>
        </is>
      </c>
      <c r="J341" s="18" t="inlineStr">
        <is>
          <t>Drug Discovery*; Biotechnology; Pharmaceuticals</t>
        </is>
      </c>
      <c r="K341" s="19" t="inlineStr">
        <is>
          <t>Life Sciences, LOHAS &amp; Wellness, Oncology</t>
        </is>
      </c>
      <c r="L341" s="20" t="inlineStr">
        <is>
          <t>Venture Capital-Backed</t>
        </is>
      </c>
      <c r="M341" s="21" t="n">
        <v>11.54</v>
      </c>
      <c r="N341" s="22" t="inlineStr">
        <is>
          <t>Product Development</t>
        </is>
      </c>
      <c r="O341" s="23" t="inlineStr">
        <is>
          <t>Privately Held (backing)</t>
        </is>
      </c>
      <c r="P341" s="24" t="inlineStr">
        <is>
          <t>Venture Capital</t>
        </is>
      </c>
      <c r="Q341" s="25" t="inlineStr">
        <is>
          <t>oxcantech.com</t>
        </is>
      </c>
      <c r="R341" s="26" t="inlineStr">
        <is>
          <t/>
        </is>
      </c>
      <c r="S341" s="27" t="inlineStr">
        <is>
          <t/>
        </is>
      </c>
      <c r="T341" s="28" t="inlineStr">
        <is>
          <t/>
        </is>
      </c>
      <c r="U341" s="29" t="n">
        <v>2017.0</v>
      </c>
      <c r="V341" s="30" t="inlineStr">
        <is>
          <t/>
        </is>
      </c>
      <c r="W341" s="31" t="inlineStr">
        <is>
          <t/>
        </is>
      </c>
      <c r="X341" s="32" t="inlineStr">
        <is>
          <t/>
        </is>
      </c>
      <c r="Y341" s="33" t="inlineStr">
        <is>
          <t/>
        </is>
      </c>
      <c r="Z341" s="34" t="inlineStr">
        <is>
          <t/>
        </is>
      </c>
      <c r="AA341" s="35" t="inlineStr">
        <is>
          <t/>
        </is>
      </c>
      <c r="AB341" s="36" t="inlineStr">
        <is>
          <t/>
        </is>
      </c>
      <c r="AC341" s="37" t="inlineStr">
        <is>
          <t/>
        </is>
      </c>
      <c r="AD341" s="38" t="inlineStr">
        <is>
          <t/>
        </is>
      </c>
      <c r="AE341" s="39" t="inlineStr">
        <is>
          <t/>
        </is>
      </c>
      <c r="AF341" s="40" t="inlineStr">
        <is>
          <t/>
        </is>
      </c>
      <c r="AG341" s="41" t="inlineStr">
        <is>
          <t/>
        </is>
      </c>
      <c r="AH341" s="42" t="inlineStr">
        <is>
          <t/>
        </is>
      </c>
      <c r="AI341" s="43" t="inlineStr">
        <is>
          <t/>
        </is>
      </c>
      <c r="AJ341" s="44" t="inlineStr">
        <is>
          <t>Oxford, United Kingdom</t>
        </is>
      </c>
      <c r="AK341" s="45" t="inlineStr">
        <is>
          <t>Clarendon House, 52 Cornmarket Street</t>
        </is>
      </c>
      <c r="AL341" s="46" t="inlineStr">
        <is>
          <t/>
        </is>
      </c>
      <c r="AM341" s="47" t="inlineStr">
        <is>
          <t>Oxford</t>
        </is>
      </c>
      <c r="AN341" s="48" t="inlineStr">
        <is>
          <t>England</t>
        </is>
      </c>
      <c r="AO341" s="49" t="inlineStr">
        <is>
          <t>OX1 3HJ</t>
        </is>
      </c>
      <c r="AP341" s="50" t="inlineStr">
        <is>
          <t>United Kingdom</t>
        </is>
      </c>
      <c r="AQ341" s="51" t="inlineStr">
        <is>
          <t>+44 (0)18 6530 4040</t>
        </is>
      </c>
      <c r="AR341" s="52" t="inlineStr">
        <is>
          <t/>
        </is>
      </c>
      <c r="AS341" s="53" t="inlineStr">
        <is>
          <t>info@oxcantech.com</t>
        </is>
      </c>
      <c r="AT341" s="54" t="inlineStr">
        <is>
          <t>Europe</t>
        </is>
      </c>
      <c r="AU341" s="55" t="inlineStr">
        <is>
          <t>Western Europe</t>
        </is>
      </c>
      <c r="AV341" s="56" t="inlineStr">
        <is>
          <t>The company raised GBP 10 million of venture funding from Kingsley Capital Partners on March 15, 2017. The company will use this funds to identify new medicinal therapies by researching to role of cannabinoids in treatments.</t>
        </is>
      </c>
      <c r="AW341" s="57" t="inlineStr">
        <is>
          <t>Kingsley Capital Partners</t>
        </is>
      </c>
      <c r="AX341" s="58" t="n">
        <v>1.0</v>
      </c>
      <c r="AY341" s="59" t="inlineStr">
        <is>
          <t/>
        </is>
      </c>
      <c r="AZ341" s="60" t="inlineStr">
        <is>
          <t/>
        </is>
      </c>
      <c r="BA341" s="61" t="inlineStr">
        <is>
          <t/>
        </is>
      </c>
      <c r="BB341" s="62" t="inlineStr">
        <is>
          <t>Kingsley Capital Partners (www.kingsleyllp.com)</t>
        </is>
      </c>
      <c r="BC341" s="63" t="inlineStr">
        <is>
          <t/>
        </is>
      </c>
      <c r="BD341" s="64" t="inlineStr">
        <is>
          <t/>
        </is>
      </c>
      <c r="BE341" s="65" t="inlineStr">
        <is>
          <t/>
        </is>
      </c>
      <c r="BF341" s="66" t="inlineStr">
        <is>
          <t/>
        </is>
      </c>
      <c r="BG341" s="67" t="n">
        <v>42809.0</v>
      </c>
      <c r="BH341" s="68" t="n">
        <v>11.54</v>
      </c>
      <c r="BI341" s="69" t="inlineStr">
        <is>
          <t>Actual</t>
        </is>
      </c>
      <c r="BJ341" s="70" t="inlineStr">
        <is>
          <t/>
        </is>
      </c>
      <c r="BK341" s="71" t="inlineStr">
        <is>
          <t/>
        </is>
      </c>
      <c r="BL341" s="72" t="inlineStr">
        <is>
          <t>Early Stage VC</t>
        </is>
      </c>
      <c r="BM341" s="73" t="inlineStr">
        <is>
          <t/>
        </is>
      </c>
      <c r="BN341" s="74" t="inlineStr">
        <is>
          <t/>
        </is>
      </c>
      <c r="BO341" s="75" t="inlineStr">
        <is>
          <t>Venture Capital</t>
        </is>
      </c>
      <c r="BP341" s="76" t="inlineStr">
        <is>
          <t/>
        </is>
      </c>
      <c r="BQ341" s="77" t="inlineStr">
        <is>
          <t/>
        </is>
      </c>
      <c r="BR341" s="78" t="inlineStr">
        <is>
          <t/>
        </is>
      </c>
      <c r="BS341" s="79" t="inlineStr">
        <is>
          <t>Completed</t>
        </is>
      </c>
      <c r="BT341" s="80" t="n">
        <v>42809.0</v>
      </c>
      <c r="BU341" s="81" t="n">
        <v>11.54</v>
      </c>
      <c r="BV341" s="82" t="inlineStr">
        <is>
          <t>Actual</t>
        </is>
      </c>
      <c r="BW341" s="83" t="inlineStr">
        <is>
          <t/>
        </is>
      </c>
      <c r="BX341" s="84" t="inlineStr">
        <is>
          <t/>
        </is>
      </c>
      <c r="BY341" s="85" t="inlineStr">
        <is>
          <t>Early Stage VC</t>
        </is>
      </c>
      <c r="BZ341" s="86" t="inlineStr">
        <is>
          <t/>
        </is>
      </c>
      <c r="CA341" s="87" t="inlineStr">
        <is>
          <t/>
        </is>
      </c>
      <c r="CB341" s="88" t="inlineStr">
        <is>
          <t>Venture Capital</t>
        </is>
      </c>
      <c r="CC341" s="89" t="inlineStr">
        <is>
          <t/>
        </is>
      </c>
      <c r="CD341" s="90" t="inlineStr">
        <is>
          <t/>
        </is>
      </c>
      <c r="CE341" s="91" t="inlineStr">
        <is>
          <t/>
        </is>
      </c>
      <c r="CF341" s="92" t="inlineStr">
        <is>
          <t>Completed</t>
        </is>
      </c>
      <c r="CG341" s="93" t="inlineStr">
        <is>
          <t/>
        </is>
      </c>
      <c r="CH341" s="94" t="inlineStr">
        <is>
          <t/>
        </is>
      </c>
      <c r="CI341" s="95" t="inlineStr">
        <is>
          <t/>
        </is>
      </c>
      <c r="CJ341" s="96" t="inlineStr">
        <is>
          <t/>
        </is>
      </c>
      <c r="CK341" s="97" t="inlineStr">
        <is>
          <t/>
        </is>
      </c>
      <c r="CL341" s="98" t="inlineStr">
        <is>
          <t/>
        </is>
      </c>
      <c r="CM341" s="99" t="inlineStr">
        <is>
          <t/>
        </is>
      </c>
      <c r="CN341" s="100" t="inlineStr">
        <is>
          <t/>
        </is>
      </c>
      <c r="CO341" s="101" t="inlineStr">
        <is>
          <t/>
        </is>
      </c>
      <c r="CP341" s="102" t="inlineStr">
        <is>
          <t/>
        </is>
      </c>
      <c r="CQ341" s="103" t="inlineStr">
        <is>
          <t/>
        </is>
      </c>
      <c r="CR341" s="104" t="inlineStr">
        <is>
          <t/>
        </is>
      </c>
      <c r="CS341" s="105" t="inlineStr">
        <is>
          <t/>
        </is>
      </c>
      <c r="CT341" s="106" t="inlineStr">
        <is>
          <t/>
        </is>
      </c>
      <c r="CU341" s="107" t="inlineStr">
        <is>
          <t/>
        </is>
      </c>
      <c r="CV341" s="108" t="inlineStr">
        <is>
          <t/>
        </is>
      </c>
      <c r="CW341" s="109" t="inlineStr">
        <is>
          <t/>
        </is>
      </c>
      <c r="CX341" s="110" t="inlineStr">
        <is>
          <t/>
        </is>
      </c>
      <c r="CY341" s="111" t="inlineStr">
        <is>
          <t/>
        </is>
      </c>
      <c r="CZ341" s="112" t="inlineStr">
        <is>
          <t/>
        </is>
      </c>
      <c r="DA341" s="113" t="inlineStr">
        <is>
          <t/>
        </is>
      </c>
      <c r="DB341" s="114" t="inlineStr">
        <is>
          <t/>
        </is>
      </c>
      <c r="DC341" s="115" t="inlineStr">
        <is>
          <t/>
        </is>
      </c>
      <c r="DD341" s="116" t="inlineStr">
        <is>
          <t/>
        </is>
      </c>
      <c r="DE341" s="117" t="inlineStr">
        <is>
          <t/>
        </is>
      </c>
      <c r="DF341" s="118" t="inlineStr">
        <is>
          <t/>
        </is>
      </c>
      <c r="DG341" s="119" t="inlineStr">
        <is>
          <t/>
        </is>
      </c>
      <c r="DH341" s="120" t="inlineStr">
        <is>
          <t/>
        </is>
      </c>
      <c r="DI341" s="121" t="inlineStr">
        <is>
          <t/>
        </is>
      </c>
      <c r="DJ341" s="122" t="inlineStr">
        <is>
          <t/>
        </is>
      </c>
      <c r="DK341" s="123" t="inlineStr">
        <is>
          <t/>
        </is>
      </c>
      <c r="DL341" s="124" t="inlineStr">
        <is>
          <t/>
        </is>
      </c>
      <c r="DM341" s="125" t="inlineStr">
        <is>
          <t/>
        </is>
      </c>
      <c r="DN341" s="126" t="inlineStr">
        <is>
          <t/>
        </is>
      </c>
      <c r="DO341" s="127" t="inlineStr">
        <is>
          <t/>
        </is>
      </c>
      <c r="DP341" s="128" t="inlineStr">
        <is>
          <t/>
        </is>
      </c>
      <c r="DQ341" s="129" t="inlineStr">
        <is>
          <t/>
        </is>
      </c>
      <c r="DR341" s="130" t="inlineStr">
        <is>
          <t/>
        </is>
      </c>
      <c r="DS341" s="131" t="inlineStr">
        <is>
          <t/>
        </is>
      </c>
      <c r="DT341" s="132" t="inlineStr">
        <is>
          <t/>
        </is>
      </c>
      <c r="DU341" s="133" t="inlineStr">
        <is>
          <t/>
        </is>
      </c>
      <c r="DV341" s="134" t="inlineStr">
        <is>
          <t/>
        </is>
      </c>
      <c r="DW341" s="135" t="inlineStr">
        <is>
          <t/>
        </is>
      </c>
      <c r="DX341" s="136" t="inlineStr">
        <is>
          <t/>
        </is>
      </c>
      <c r="DY341" s="137" t="inlineStr">
        <is>
          <t>PitchBook Research</t>
        </is>
      </c>
      <c r="DZ341" s="785">
        <f>HYPERLINK("https://my.pitchbook.com?c=178402-87", "View company online")</f>
      </c>
    </row>
    <row r="342">
      <c r="A342" s="139" t="inlineStr">
        <is>
          <t>113110-12</t>
        </is>
      </c>
      <c r="B342" s="140" t="inlineStr">
        <is>
          <t>Oxford Sciences Innovation</t>
        </is>
      </c>
      <c r="C342" s="141" t="inlineStr">
        <is>
          <t/>
        </is>
      </c>
      <c r="D342" s="142" t="inlineStr">
        <is>
          <t>OSI</t>
        </is>
      </c>
      <c r="E342" s="143" t="inlineStr">
        <is>
          <t>113110-12</t>
        </is>
      </c>
      <c r="F342" s="144" t="inlineStr">
        <is>
          <t>Provider of capital and funding services. The company provides capital and support to spin-offs that have been set up to commercialise intellectual property created in the university's maths, physics, life sciences and medical sciences faculties.</t>
        </is>
      </c>
      <c r="G342" s="145" t="inlineStr">
        <is>
          <t>Financial Services</t>
        </is>
      </c>
      <c r="H342" s="146" t="inlineStr">
        <is>
          <t>Capital Markets/Institutions</t>
        </is>
      </c>
      <c r="I342" s="147" t="inlineStr">
        <is>
          <t>Private Equity</t>
        </is>
      </c>
      <c r="J342" s="148" t="inlineStr">
        <is>
          <t>Private Equity*; Other Financial Services</t>
        </is>
      </c>
      <c r="K342" s="149" t="inlineStr">
        <is>
          <t/>
        </is>
      </c>
      <c r="L342" s="150" t="inlineStr">
        <is>
          <t>Venture Capital-Backed</t>
        </is>
      </c>
      <c r="M342" s="151" t="n">
        <v>444.08</v>
      </c>
      <c r="N342" s="152" t="inlineStr">
        <is>
          <t>Generating Revenue</t>
        </is>
      </c>
      <c r="O342" s="153" t="inlineStr">
        <is>
          <t>Privately Held (backing)</t>
        </is>
      </c>
      <c r="P342" s="154" t="inlineStr">
        <is>
          <t>Venture Capital</t>
        </is>
      </c>
      <c r="Q342" s="155" t="inlineStr">
        <is>
          <t>www.oxfordsciencesinnovation.com</t>
        </is>
      </c>
      <c r="R342" s="156" t="inlineStr">
        <is>
          <t/>
        </is>
      </c>
      <c r="S342" s="157" t="inlineStr">
        <is>
          <t/>
        </is>
      </c>
      <c r="T342" s="158" t="inlineStr">
        <is>
          <t/>
        </is>
      </c>
      <c r="U342" s="159" t="n">
        <v>2014.0</v>
      </c>
      <c r="V342" s="160" t="inlineStr">
        <is>
          <t/>
        </is>
      </c>
      <c r="W342" s="161" t="inlineStr">
        <is>
          <t/>
        </is>
      </c>
      <c r="X342" s="162" t="inlineStr">
        <is>
          <t/>
        </is>
      </c>
      <c r="Y342" s="163" t="inlineStr">
        <is>
          <t/>
        </is>
      </c>
      <c r="Z342" s="164" t="inlineStr">
        <is>
          <t/>
        </is>
      </c>
      <c r="AA342" s="165" t="inlineStr">
        <is>
          <t/>
        </is>
      </c>
      <c r="AB342" s="166" t="inlineStr">
        <is>
          <t/>
        </is>
      </c>
      <c r="AC342" s="167" t="inlineStr">
        <is>
          <t/>
        </is>
      </c>
      <c r="AD342" s="168" t="inlineStr">
        <is>
          <t/>
        </is>
      </c>
      <c r="AE342" s="169" t="inlineStr">
        <is>
          <t>41822-29P</t>
        </is>
      </c>
      <c r="AF342" s="170" t="inlineStr">
        <is>
          <t>Martin Fiennes</t>
        </is>
      </c>
      <c r="AG342" s="171" t="inlineStr">
        <is>
          <t>Principal</t>
        </is>
      </c>
      <c r="AH342" s="172" t="inlineStr">
        <is>
          <t>martin.fiennes@oxfordsciencesinnovation.com</t>
        </is>
      </c>
      <c r="AI342" s="173" t="inlineStr">
        <is>
          <t>+44 (0)20 3841 2631</t>
        </is>
      </c>
      <c r="AJ342" s="174" t="inlineStr">
        <is>
          <t>Oxford, United Kingdom</t>
        </is>
      </c>
      <c r="AK342" s="175" t="inlineStr">
        <is>
          <t>King Charles House</t>
        </is>
      </c>
      <c r="AL342" s="176" t="inlineStr">
        <is>
          <t>Park End Street</t>
        </is>
      </c>
      <c r="AM342" s="177" t="inlineStr">
        <is>
          <t>Oxford</t>
        </is>
      </c>
      <c r="AN342" s="178" t="inlineStr">
        <is>
          <t>England</t>
        </is>
      </c>
      <c r="AO342" s="179" t="inlineStr">
        <is>
          <t>OX1 1JD</t>
        </is>
      </c>
      <c r="AP342" s="180" t="inlineStr">
        <is>
          <t>United Kingdom</t>
        </is>
      </c>
      <c r="AQ342" s="181" t="inlineStr">
        <is>
          <t>+44 (0)20 3841 2631</t>
        </is>
      </c>
      <c r="AR342" s="182" t="inlineStr">
        <is>
          <t/>
        </is>
      </c>
      <c r="AS342" s="183" t="inlineStr">
        <is>
          <t>hello@oxfordsciences.com</t>
        </is>
      </c>
      <c r="AT342" s="184" t="inlineStr">
        <is>
          <t>Europe</t>
        </is>
      </c>
      <c r="AU342" s="185" t="inlineStr">
        <is>
          <t>Western Europe</t>
        </is>
      </c>
      <c r="AV342" s="186" t="inlineStr">
        <is>
          <t>The company raised GBP 320 million of venture funding from Google Ventures, Invesco Asset Management and Charles Dunstone on June 19, 2015. IP Group, Lansdowne Partners, Oxford University Endowment Fund, the Wellcome Trust and Woodford Investment Management also participated. The money will be used to fund startups spun out of the research conducted at the university's mathematical, physical, life-sciences and medical-sciences divisions.</t>
        </is>
      </c>
      <c r="AW342" s="187" t="inlineStr">
        <is>
          <t>Charles Dunstone, GV, Invesco, IP Group, Lansdowne Partners, University of Oxford Endowment, Wellcome Trust, Woodford Investment Management</t>
        </is>
      </c>
      <c r="AX342" s="188" t="n">
        <v>8.0</v>
      </c>
      <c r="AY342" s="189" t="inlineStr">
        <is>
          <t/>
        </is>
      </c>
      <c r="AZ342" s="190" t="inlineStr">
        <is>
          <t/>
        </is>
      </c>
      <c r="BA342" s="191" t="inlineStr">
        <is>
          <t/>
        </is>
      </c>
      <c r="BB342" s="192" t="inlineStr">
        <is>
          <t>GV (www.gv.com), Invesco (www.invesco.com), IP Group (www.ipgroupplc.com), Lansdowne Partners (www.lansdownepartners.com), University of Oxford Endowment (www.ox.ac.uk), Wellcome Trust (www.wellcome.ac.uk), Woodford Investment Management (woodfordfunds.com)</t>
        </is>
      </c>
      <c r="BC342" s="193" t="inlineStr">
        <is>
          <t/>
        </is>
      </c>
      <c r="BD342" s="194" t="inlineStr">
        <is>
          <t/>
        </is>
      </c>
      <c r="BE342" s="195" t="inlineStr">
        <is>
          <t>BDO (Auditor)</t>
        </is>
      </c>
      <c r="BF342" s="196" t="inlineStr">
        <is>
          <t>Credit Suisse Private Fund Group (Placement Agent), Pinsent Masons (Legal Advisor), Jones Day (Legal Advisor)</t>
        </is>
      </c>
      <c r="BG342" s="197" t="n">
        <v>42174.0</v>
      </c>
      <c r="BH342" s="198" t="n">
        <v>444.08</v>
      </c>
      <c r="BI342" s="199" t="inlineStr">
        <is>
          <t>Actual</t>
        </is>
      </c>
      <c r="BJ342" s="200" t="inlineStr">
        <is>
          <t/>
        </is>
      </c>
      <c r="BK342" s="201" t="inlineStr">
        <is>
          <t/>
        </is>
      </c>
      <c r="BL342" s="202" t="inlineStr">
        <is>
          <t>Early Stage VC</t>
        </is>
      </c>
      <c r="BM342" s="203" t="inlineStr">
        <is>
          <t/>
        </is>
      </c>
      <c r="BN342" s="204" t="inlineStr">
        <is>
          <t/>
        </is>
      </c>
      <c r="BO342" s="205" t="inlineStr">
        <is>
          <t>Venture Capital</t>
        </is>
      </c>
      <c r="BP342" s="206" t="inlineStr">
        <is>
          <t/>
        </is>
      </c>
      <c r="BQ342" s="207" t="inlineStr">
        <is>
          <t/>
        </is>
      </c>
      <c r="BR342" s="208" t="inlineStr">
        <is>
          <t/>
        </is>
      </c>
      <c r="BS342" s="209" t="inlineStr">
        <is>
          <t>Completed</t>
        </is>
      </c>
      <c r="BT342" s="210" t="n">
        <v>42174.0</v>
      </c>
      <c r="BU342" s="211" t="n">
        <v>444.08</v>
      </c>
      <c r="BV342" s="212" t="inlineStr">
        <is>
          <t>Actual</t>
        </is>
      </c>
      <c r="BW342" s="213" t="inlineStr">
        <is>
          <t/>
        </is>
      </c>
      <c r="BX342" s="214" t="inlineStr">
        <is>
          <t/>
        </is>
      </c>
      <c r="BY342" s="215" t="inlineStr">
        <is>
          <t>Early Stage VC</t>
        </is>
      </c>
      <c r="BZ342" s="216" t="inlineStr">
        <is>
          <t/>
        </is>
      </c>
      <c r="CA342" s="217" t="inlineStr">
        <is>
          <t/>
        </is>
      </c>
      <c r="CB342" s="218" t="inlineStr">
        <is>
          <t>Venture Capital</t>
        </is>
      </c>
      <c r="CC342" s="219" t="inlineStr">
        <is>
          <t/>
        </is>
      </c>
      <c r="CD342" s="220" t="inlineStr">
        <is>
          <t/>
        </is>
      </c>
      <c r="CE342" s="221" t="inlineStr">
        <is>
          <t/>
        </is>
      </c>
      <c r="CF342" s="222" t="inlineStr">
        <is>
          <t>Completed</t>
        </is>
      </c>
      <c r="CG342" s="223" t="inlineStr">
        <is>
          <t>0,00%</t>
        </is>
      </c>
      <c r="CH342" s="224" t="inlineStr">
        <is>
          <t>23</t>
        </is>
      </c>
      <c r="CI342" s="225" t="inlineStr">
        <is>
          <t>0,00%</t>
        </is>
      </c>
      <c r="CJ342" s="226" t="inlineStr">
        <is>
          <t>0,00%</t>
        </is>
      </c>
      <c r="CK342" s="227" t="inlineStr">
        <is>
          <t>0,00%</t>
        </is>
      </c>
      <c r="CL342" s="228" t="inlineStr">
        <is>
          <t>18</t>
        </is>
      </c>
      <c r="CM342" s="229" t="inlineStr">
        <is>
          <t/>
        </is>
      </c>
      <c r="CN342" s="230" t="inlineStr">
        <is>
          <t/>
        </is>
      </c>
      <c r="CO342" s="231" t="inlineStr">
        <is>
          <t>0,00%</t>
        </is>
      </c>
      <c r="CP342" s="232" t="inlineStr">
        <is>
          <t>26</t>
        </is>
      </c>
      <c r="CQ342" s="233" t="inlineStr">
        <is>
          <t>0,00%</t>
        </is>
      </c>
      <c r="CR342" s="234" t="inlineStr">
        <is>
          <t>13</t>
        </is>
      </c>
      <c r="CS342" s="235" t="inlineStr">
        <is>
          <t/>
        </is>
      </c>
      <c r="CT342" s="236" t="inlineStr">
        <is>
          <t/>
        </is>
      </c>
      <c r="CU342" s="237" t="inlineStr">
        <is>
          <t/>
        </is>
      </c>
      <c r="CV342" s="238" t="inlineStr">
        <is>
          <t/>
        </is>
      </c>
      <c r="CW342" s="239" t="inlineStr">
        <is>
          <t>1,21x</t>
        </is>
      </c>
      <c r="CX342" s="240" t="inlineStr">
        <is>
          <t>53</t>
        </is>
      </c>
      <c r="CY342" s="241" t="inlineStr">
        <is>
          <t>0,00x</t>
        </is>
      </c>
      <c r="CZ342" s="242" t="inlineStr">
        <is>
          <t>-0,28%</t>
        </is>
      </c>
      <c r="DA342" s="243" t="inlineStr">
        <is>
          <t>1,21x</t>
        </is>
      </c>
      <c r="DB342" s="244" t="inlineStr">
        <is>
          <t>56</t>
        </is>
      </c>
      <c r="DC342" s="245" t="inlineStr">
        <is>
          <t/>
        </is>
      </c>
      <c r="DD342" s="246" t="inlineStr">
        <is>
          <t/>
        </is>
      </c>
      <c r="DE342" s="247" t="inlineStr">
        <is>
          <t>0,68x</t>
        </is>
      </c>
      <c r="DF342" s="248" t="inlineStr">
        <is>
          <t>43</t>
        </is>
      </c>
      <c r="DG342" s="249" t="inlineStr">
        <is>
          <t>1,75x</t>
        </is>
      </c>
      <c r="DH342" s="250" t="inlineStr">
        <is>
          <t>62</t>
        </is>
      </c>
      <c r="DI342" s="251" t="inlineStr">
        <is>
          <t/>
        </is>
      </c>
      <c r="DJ342" s="252" t="inlineStr">
        <is>
          <t/>
        </is>
      </c>
      <c r="DK342" s="253" t="inlineStr">
        <is>
          <t/>
        </is>
      </c>
      <c r="DL342" s="254" t="inlineStr">
        <is>
          <t/>
        </is>
      </c>
      <c r="DM342" s="255" t="inlineStr">
        <is>
          <t>391</t>
        </is>
      </c>
      <c r="DN342" s="256" t="inlineStr">
        <is>
          <t>76</t>
        </is>
      </c>
      <c r="DO342" s="257" t="inlineStr">
        <is>
          <t>24,13%</t>
        </is>
      </c>
      <c r="DP342" s="258" t="inlineStr">
        <is>
          <t/>
        </is>
      </c>
      <c r="DQ342" s="259" t="inlineStr">
        <is>
          <t/>
        </is>
      </c>
      <c r="DR342" s="260" t="inlineStr">
        <is>
          <t/>
        </is>
      </c>
      <c r="DS342" s="261" t="inlineStr">
        <is>
          <t>63</t>
        </is>
      </c>
      <c r="DT342" s="262" t="inlineStr">
        <is>
          <t>-2</t>
        </is>
      </c>
      <c r="DU342" s="263" t="inlineStr">
        <is>
          <t>-3,08%</t>
        </is>
      </c>
      <c r="DV342" s="264" t="inlineStr">
        <is>
          <t/>
        </is>
      </c>
      <c r="DW342" s="265" t="inlineStr">
        <is>
          <t/>
        </is>
      </c>
      <c r="DX342" s="266" t="inlineStr">
        <is>
          <t/>
        </is>
      </c>
      <c r="DY342" s="267" t="inlineStr">
        <is>
          <t>PitchBook Research</t>
        </is>
      </c>
      <c r="DZ342" s="786">
        <f>HYPERLINK("https://my.pitchbook.com?c=113110-12", "View company online")</f>
      </c>
    </row>
    <row r="343">
      <c r="A343" s="9" t="inlineStr">
        <is>
          <t>168276-52</t>
        </is>
      </c>
      <c r="B343" s="10" t="inlineStr">
        <is>
          <t>Oxygen Freejumping</t>
        </is>
      </c>
      <c r="C343" s="11" t="inlineStr">
        <is>
          <t/>
        </is>
      </c>
      <c r="D343" s="12" t="inlineStr">
        <is>
          <t>Oxygen</t>
        </is>
      </c>
      <c r="E343" s="13" t="inlineStr">
        <is>
          <t>168276-52</t>
        </is>
      </c>
      <c r="F343" s="14" t="inlineStr">
        <is>
          <t>Operator of trampoline parks created to host birthday parties for kids and adults alike, hen and stag parties and take group bookings. The company's trampoline parks offers various leisure and recreational activities through its chain of trampoline parks, which includes freejumping, dodgeball, an obstacle course, pro trampolines, freerunning, airbag, volleyball, slam dunk basketball hoops, a speed reaction wall, Little O toddler classes and fitness classes.</t>
        </is>
      </c>
      <c r="G343" s="15" t="inlineStr">
        <is>
          <t>Consumer Products and Services (B2C)</t>
        </is>
      </c>
      <c r="H343" s="16" t="inlineStr">
        <is>
          <t>Restaurants, Hotels and Leisure</t>
        </is>
      </c>
      <c r="I343" s="17" t="inlineStr">
        <is>
          <t>Leisure Facilities</t>
        </is>
      </c>
      <c r="J343" s="18" t="inlineStr">
        <is>
          <t>Leisure Facilities*; Other Restaurants, Hotels and Leisure</t>
        </is>
      </c>
      <c r="K343" s="19" t="inlineStr">
        <is>
          <t/>
        </is>
      </c>
      <c r="L343" s="20" t="inlineStr">
        <is>
          <t>Venture Capital-Backed</t>
        </is>
      </c>
      <c r="M343" s="21" t="n">
        <v>16.36</v>
      </c>
      <c r="N343" s="22" t="inlineStr">
        <is>
          <t>Generating Revenue</t>
        </is>
      </c>
      <c r="O343" s="23" t="inlineStr">
        <is>
          <t>Privately Held (backing)</t>
        </is>
      </c>
      <c r="P343" s="24" t="inlineStr">
        <is>
          <t>Venture Capital</t>
        </is>
      </c>
      <c r="Q343" s="25" t="inlineStr">
        <is>
          <t>www.oxygenfreejumping.co.uk</t>
        </is>
      </c>
      <c r="R343" s="26" t="n">
        <v>51.0</v>
      </c>
      <c r="S343" s="27" t="inlineStr">
        <is>
          <t/>
        </is>
      </c>
      <c r="T343" s="28" t="inlineStr">
        <is>
          <t/>
        </is>
      </c>
      <c r="U343" s="29" t="n">
        <v>2015.0</v>
      </c>
      <c r="V343" s="30" t="inlineStr">
        <is>
          <t/>
        </is>
      </c>
      <c r="W343" s="31" t="inlineStr">
        <is>
          <t/>
        </is>
      </c>
      <c r="X343" s="32" t="inlineStr">
        <is>
          <t/>
        </is>
      </c>
      <c r="Y343" s="33" t="n">
        <v>7.2147</v>
      </c>
      <c r="Z343" s="34" t="n">
        <v>4.44802</v>
      </c>
      <c r="AA343" s="35" t="n">
        <v>-3.80751</v>
      </c>
      <c r="AB343" s="36" t="inlineStr">
        <is>
          <t/>
        </is>
      </c>
      <c r="AC343" s="37" t="n">
        <v>-1.49454</v>
      </c>
      <c r="AD343" s="38" t="inlineStr">
        <is>
          <t>FY 2016</t>
        </is>
      </c>
      <c r="AE343" s="39" t="inlineStr">
        <is>
          <t>150438-79P</t>
        </is>
      </c>
      <c r="AF343" s="40" t="inlineStr">
        <is>
          <t>David Stalker</t>
        </is>
      </c>
      <c r="AG343" s="41" t="inlineStr">
        <is>
          <t>Co-Founder, Board Member &amp; Chief Executive Officer</t>
        </is>
      </c>
      <c r="AH343" s="42" t="inlineStr">
        <is>
          <t>david@oxygenfreejumping.co.uk</t>
        </is>
      </c>
      <c r="AI343" s="43" t="inlineStr">
        <is>
          <t>+44 (0)20 3846 1386</t>
        </is>
      </c>
      <c r="AJ343" s="44" t="inlineStr">
        <is>
          <t>London, United Kingdom</t>
        </is>
      </c>
      <c r="AK343" s="45" t="inlineStr">
        <is>
          <t>Profile West 950</t>
        </is>
      </c>
      <c r="AL343" s="46" t="inlineStr">
        <is>
          <t>Great West Road London</t>
        </is>
      </c>
      <c r="AM343" s="47" t="inlineStr">
        <is>
          <t>London</t>
        </is>
      </c>
      <c r="AN343" s="48" t="inlineStr">
        <is>
          <t>England</t>
        </is>
      </c>
      <c r="AO343" s="49" t="inlineStr">
        <is>
          <t>TW8 9ES</t>
        </is>
      </c>
      <c r="AP343" s="50" t="inlineStr">
        <is>
          <t>United Kingdom</t>
        </is>
      </c>
      <c r="AQ343" s="51" t="inlineStr">
        <is>
          <t>+44 (0)20 3846 1386</t>
        </is>
      </c>
      <c r="AR343" s="52" t="inlineStr">
        <is>
          <t/>
        </is>
      </c>
      <c r="AS343" s="53" t="inlineStr">
        <is>
          <t>info@oxygenfreejumping.co.uk</t>
        </is>
      </c>
      <c r="AT343" s="54" t="inlineStr">
        <is>
          <t>Europe</t>
        </is>
      </c>
      <c r="AU343" s="55" t="inlineStr">
        <is>
          <t>Western Europe</t>
        </is>
      </c>
      <c r="AV343" s="56" t="inlineStr">
        <is>
          <t>The company received an undisclosed amount of venture funding from NM Capital on July 31, 2017. The financing was used for the acquisition of Air Space Trampoline.</t>
        </is>
      </c>
      <c r="AW343" s="57" t="inlineStr">
        <is>
          <t>Jacaranda Capital Partners, NM Capital, Radius Equity</t>
        </is>
      </c>
      <c r="AX343" s="58" t="n">
        <v>3.0</v>
      </c>
      <c r="AY343" s="59" t="inlineStr">
        <is>
          <t/>
        </is>
      </c>
      <c r="AZ343" s="60" t="inlineStr">
        <is>
          <t/>
        </is>
      </c>
      <c r="BA343" s="61" t="inlineStr">
        <is>
          <t/>
        </is>
      </c>
      <c r="BB343" s="62" t="inlineStr">
        <is>
          <t>Jacaranda Capital Partners (www.jacarandacapitalpartners.com), NM Capital (www.nmcapitalinvestments.com), Radius Equity (www.radiusequity.com)</t>
        </is>
      </c>
      <c r="BC343" s="63" t="inlineStr">
        <is>
          <t/>
        </is>
      </c>
      <c r="BD343" s="64" t="inlineStr">
        <is>
          <t/>
        </is>
      </c>
      <c r="BE343" s="65" t="inlineStr">
        <is>
          <t>KPMG (Auditor)</t>
        </is>
      </c>
      <c r="BF343" s="66" t="inlineStr">
        <is>
          <t>Zeus Capital (Advisor), JLL Corporate Finance (Advisor), Rise Partners (Advisor), Beechbrook Capital, DAC Beachcroft (Legal Advisor)</t>
        </is>
      </c>
      <c r="BG343" s="67" t="n">
        <v>42131.0</v>
      </c>
      <c r="BH343" s="68" t="n">
        <v>3.46</v>
      </c>
      <c r="BI343" s="69" t="inlineStr">
        <is>
          <t>Estimated</t>
        </is>
      </c>
      <c r="BJ343" s="70" t="inlineStr">
        <is>
          <t/>
        </is>
      </c>
      <c r="BK343" s="71" t="inlineStr">
        <is>
          <t/>
        </is>
      </c>
      <c r="BL343" s="72" t="inlineStr">
        <is>
          <t>Early Stage VC</t>
        </is>
      </c>
      <c r="BM343" s="73" t="inlineStr">
        <is>
          <t/>
        </is>
      </c>
      <c r="BN343" s="74" t="inlineStr">
        <is>
          <t/>
        </is>
      </c>
      <c r="BO343" s="75" t="inlineStr">
        <is>
          <t>Venture Capital</t>
        </is>
      </c>
      <c r="BP343" s="76" t="inlineStr">
        <is>
          <t/>
        </is>
      </c>
      <c r="BQ343" s="77" t="inlineStr">
        <is>
          <t/>
        </is>
      </c>
      <c r="BR343" s="78" t="inlineStr">
        <is>
          <t/>
        </is>
      </c>
      <c r="BS343" s="79" t="inlineStr">
        <is>
          <t>Completed</t>
        </is>
      </c>
      <c r="BT343" s="80" t="n">
        <v>42947.0</v>
      </c>
      <c r="BU343" s="81" t="inlineStr">
        <is>
          <t/>
        </is>
      </c>
      <c r="BV343" s="82" t="inlineStr">
        <is>
          <t/>
        </is>
      </c>
      <c r="BW343" s="83" t="inlineStr">
        <is>
          <t/>
        </is>
      </c>
      <c r="BX343" s="84" t="inlineStr">
        <is>
          <t/>
        </is>
      </c>
      <c r="BY343" s="85" t="inlineStr">
        <is>
          <t>Early Stage VC</t>
        </is>
      </c>
      <c r="BZ343" s="86" t="inlineStr">
        <is>
          <t>Acquisition Financing</t>
        </is>
      </c>
      <c r="CA343" s="87" t="inlineStr">
        <is>
          <t/>
        </is>
      </c>
      <c r="CB343" s="88" t="inlineStr">
        <is>
          <t>Venture Capital</t>
        </is>
      </c>
      <c r="CC343" s="89" t="inlineStr">
        <is>
          <t/>
        </is>
      </c>
      <c r="CD343" s="90" t="inlineStr">
        <is>
          <t/>
        </is>
      </c>
      <c r="CE343" s="91" t="inlineStr">
        <is>
          <t/>
        </is>
      </c>
      <c r="CF343" s="92" t="inlineStr">
        <is>
          <t>Completed</t>
        </is>
      </c>
      <c r="CG343" s="93" t="inlineStr">
        <is>
          <t>1,36%</t>
        </is>
      </c>
      <c r="CH343" s="94" t="inlineStr">
        <is>
          <t>91</t>
        </is>
      </c>
      <c r="CI343" s="95" t="inlineStr">
        <is>
          <t>0,21%</t>
        </is>
      </c>
      <c r="CJ343" s="96" t="inlineStr">
        <is>
          <t>18,25%</t>
        </is>
      </c>
      <c r="CK343" s="97" t="inlineStr">
        <is>
          <t>2,05%</t>
        </is>
      </c>
      <c r="CL343" s="98" t="inlineStr">
        <is>
          <t>91</t>
        </is>
      </c>
      <c r="CM343" s="99" t="inlineStr">
        <is>
          <t>0,67%</t>
        </is>
      </c>
      <c r="CN343" s="100" t="inlineStr">
        <is>
          <t>93</t>
        </is>
      </c>
      <c r="CO343" s="101" t="inlineStr">
        <is>
          <t>4,10%</t>
        </is>
      </c>
      <c r="CP343" s="102" t="inlineStr">
        <is>
          <t>95</t>
        </is>
      </c>
      <c r="CQ343" s="103" t="inlineStr">
        <is>
          <t>0,00%</t>
        </is>
      </c>
      <c r="CR343" s="104" t="inlineStr">
        <is>
          <t>13</t>
        </is>
      </c>
      <c r="CS343" s="105" t="inlineStr">
        <is>
          <t>1,13%</t>
        </is>
      </c>
      <c r="CT343" s="106" t="inlineStr">
        <is>
          <t>95</t>
        </is>
      </c>
      <c r="CU343" s="107" t="inlineStr">
        <is>
          <t>0,22%</t>
        </is>
      </c>
      <c r="CV343" s="108" t="inlineStr">
        <is>
          <t>79</t>
        </is>
      </c>
      <c r="CW343" s="109" t="inlineStr">
        <is>
          <t>16,66x</t>
        </is>
      </c>
      <c r="CX343" s="110" t="inlineStr">
        <is>
          <t>91</t>
        </is>
      </c>
      <c r="CY343" s="111" t="inlineStr">
        <is>
          <t>-2,15x</t>
        </is>
      </c>
      <c r="CZ343" s="112" t="inlineStr">
        <is>
          <t>-11,43%</t>
        </is>
      </c>
      <c r="DA343" s="113" t="inlineStr">
        <is>
          <t>24,35x</t>
        </is>
      </c>
      <c r="DB343" s="114" t="inlineStr">
        <is>
          <t>93</t>
        </is>
      </c>
      <c r="DC343" s="115" t="inlineStr">
        <is>
          <t>8,98x</t>
        </is>
      </c>
      <c r="DD343" s="116" t="inlineStr">
        <is>
          <t>83</t>
        </is>
      </c>
      <c r="DE343" s="117" t="inlineStr">
        <is>
          <t>47,55x</t>
        </is>
      </c>
      <c r="DF343" s="118" t="inlineStr">
        <is>
          <t>93</t>
        </is>
      </c>
      <c r="DG343" s="119" t="inlineStr">
        <is>
          <t>1,14x</t>
        </is>
      </c>
      <c r="DH343" s="120" t="inlineStr">
        <is>
          <t>53</t>
        </is>
      </c>
      <c r="DI343" s="121" t="inlineStr">
        <is>
          <t>4,40x</t>
        </is>
      </c>
      <c r="DJ343" s="122" t="inlineStr">
        <is>
          <t>73</t>
        </is>
      </c>
      <c r="DK343" s="123" t="inlineStr">
        <is>
          <t>13,57x</t>
        </is>
      </c>
      <c r="DL343" s="124" t="inlineStr">
        <is>
          <t>89</t>
        </is>
      </c>
      <c r="DM343" s="125" t="inlineStr">
        <is>
          <t>28.983</t>
        </is>
      </c>
      <c r="DN343" s="126" t="inlineStr">
        <is>
          <t>784</t>
        </is>
      </c>
      <c r="DO343" s="127" t="inlineStr">
        <is>
          <t>2,78%</t>
        </is>
      </c>
      <c r="DP343" s="128" t="inlineStr">
        <is>
          <t>3.511</t>
        </is>
      </c>
      <c r="DQ343" s="129" t="inlineStr">
        <is>
          <t>12</t>
        </is>
      </c>
      <c r="DR343" s="130" t="inlineStr">
        <is>
          <t>0,34%</t>
        </is>
      </c>
      <c r="DS343" s="131" t="inlineStr">
        <is>
          <t>40</t>
        </is>
      </c>
      <c r="DT343" s="132" t="inlineStr">
        <is>
          <t>0</t>
        </is>
      </c>
      <c r="DU343" s="133" t="inlineStr">
        <is>
          <t>0,00%</t>
        </is>
      </c>
      <c r="DV343" s="134" t="inlineStr">
        <is>
          <t>4.659</t>
        </is>
      </c>
      <c r="DW343" s="135" t="inlineStr">
        <is>
          <t>7</t>
        </is>
      </c>
      <c r="DX343" s="136" t="inlineStr">
        <is>
          <t>0,15%</t>
        </is>
      </c>
      <c r="DY343" s="137" t="inlineStr">
        <is>
          <t>PitchBook Research</t>
        </is>
      </c>
      <c r="DZ343" s="785">
        <f>HYPERLINK("https://my.pitchbook.com?c=168276-52", "View company online")</f>
      </c>
    </row>
    <row r="344">
      <c r="A344" s="139" t="inlineStr">
        <is>
          <t>61331-68</t>
        </is>
      </c>
      <c r="B344" s="140" t="inlineStr">
        <is>
          <t>OxyMem</t>
        </is>
      </c>
      <c r="C344" s="141" t="inlineStr">
        <is>
          <t/>
        </is>
      </c>
      <c r="D344" s="142" t="inlineStr">
        <is>
          <t/>
        </is>
      </c>
      <c r="E344" s="143" t="inlineStr">
        <is>
          <t>61331-68</t>
        </is>
      </c>
      <c r="F344" s="144" t="inlineStr">
        <is>
          <t>Developer of a conventional biological water treatment designed to breakdown pollutants in the presence of oxygen. The company's Membrane Aerated Biofilm Reactor (MABR) technology does not rely on bubbles to deliver oxygen which is pumped through diffuses to create bubbles instead, uses gas permeable membranes enabling the bacteria to 'breath' directly on the media.</t>
        </is>
      </c>
      <c r="G344" s="145" t="inlineStr">
        <is>
          <t>Business Products and Services (B2B)</t>
        </is>
      </c>
      <c r="H344" s="146" t="inlineStr">
        <is>
          <t>Commercial Products</t>
        </is>
      </c>
      <c r="I344" s="147" t="inlineStr">
        <is>
          <t>Machinery (B2B)</t>
        </is>
      </c>
      <c r="J344" s="148" t="inlineStr">
        <is>
          <t>Machinery (B2B)*; Environmental Services (B2B)</t>
        </is>
      </c>
      <c r="K344" s="149" t="inlineStr">
        <is>
          <t>CleanTech</t>
        </is>
      </c>
      <c r="L344" s="150" t="inlineStr">
        <is>
          <t>Venture Capital-Backed</t>
        </is>
      </c>
      <c r="M344" s="151" t="n">
        <v>6.21</v>
      </c>
      <c r="N344" s="152" t="inlineStr">
        <is>
          <t>Generating Revenue</t>
        </is>
      </c>
      <c r="O344" s="153" t="inlineStr">
        <is>
          <t>Privately Held (backing)</t>
        </is>
      </c>
      <c r="P344" s="154" t="inlineStr">
        <is>
          <t>Venture Capital</t>
        </is>
      </c>
      <c r="Q344" s="155" t="inlineStr">
        <is>
          <t>www.oxymem.com</t>
        </is>
      </c>
      <c r="R344" s="156" t="n">
        <v>22.0</v>
      </c>
      <c r="S344" s="157" t="inlineStr">
        <is>
          <t/>
        </is>
      </c>
      <c r="T344" s="158" t="inlineStr">
        <is>
          <t/>
        </is>
      </c>
      <c r="U344" s="159" t="n">
        <v>2013.0</v>
      </c>
      <c r="V344" s="160" t="inlineStr">
        <is>
          <t/>
        </is>
      </c>
      <c r="W344" s="161" t="inlineStr">
        <is>
          <t/>
        </is>
      </c>
      <c r="X344" s="162" t="inlineStr">
        <is>
          <t/>
        </is>
      </c>
      <c r="Y344" s="163" t="inlineStr">
        <is>
          <t/>
        </is>
      </c>
      <c r="Z344" s="164" t="inlineStr">
        <is>
          <t/>
        </is>
      </c>
      <c r="AA344" s="165" t="inlineStr">
        <is>
          <t/>
        </is>
      </c>
      <c r="AB344" s="166" t="inlineStr">
        <is>
          <t/>
        </is>
      </c>
      <c r="AC344" s="167" t="inlineStr">
        <is>
          <t/>
        </is>
      </c>
      <c r="AD344" s="168" t="inlineStr">
        <is>
          <t/>
        </is>
      </c>
      <c r="AE344" s="169" t="inlineStr">
        <is>
          <t>93846-07P</t>
        </is>
      </c>
      <c r="AF344" s="170" t="inlineStr">
        <is>
          <t>Eoin Syron</t>
        </is>
      </c>
      <c r="AG344" s="171" t="inlineStr">
        <is>
          <t>Co-Founder, Technical Director and Chief Technology Officer</t>
        </is>
      </c>
      <c r="AH344" s="172" t="inlineStr">
        <is>
          <t>esyron@oxymem.com</t>
        </is>
      </c>
      <c r="AI344" s="173" t="inlineStr">
        <is>
          <t>+353 (0)90 646 5727</t>
        </is>
      </c>
      <c r="AJ344" s="174" t="inlineStr">
        <is>
          <t>Blyry, Ireland</t>
        </is>
      </c>
      <c r="AK344" s="175" t="inlineStr">
        <is>
          <t>Athlone, Court</t>
        </is>
      </c>
      <c r="AL344" s="176" t="inlineStr">
        <is>
          <t/>
        </is>
      </c>
      <c r="AM344" s="177" t="inlineStr">
        <is>
          <t>Blyry</t>
        </is>
      </c>
      <c r="AN344" s="178" t="inlineStr">
        <is>
          <t/>
        </is>
      </c>
      <c r="AO344" s="179" t="inlineStr">
        <is>
          <t/>
        </is>
      </c>
      <c r="AP344" s="180" t="inlineStr">
        <is>
          <t>Ireland</t>
        </is>
      </c>
      <c r="AQ344" s="181" t="inlineStr">
        <is>
          <t>+353 (0)90 646 5727</t>
        </is>
      </c>
      <c r="AR344" s="182" t="inlineStr">
        <is>
          <t/>
        </is>
      </c>
      <c r="AS344" s="183" t="inlineStr">
        <is>
          <t>enquiries@oxymem.com</t>
        </is>
      </c>
      <c r="AT344" s="184" t="inlineStr">
        <is>
          <t>Europe</t>
        </is>
      </c>
      <c r="AU344" s="185" t="inlineStr">
        <is>
          <t>Western Europe</t>
        </is>
      </c>
      <c r="AV344" s="186" t="inlineStr">
        <is>
          <t>The company raised EUR 5 million of venture funding from Saudi Aramco through their Saudi Aramco Energy Ventures (SAEV) and Irish Venture Capital Association on June 20, 2017. The company intends to use the funds to add momentum to their market development goals, particularly in some of the more water-stressed regions, product development, accelerate their commercialization activity expanding their manufacturing capacity, increasing their sales force.</t>
        </is>
      </c>
      <c r="AW344" s="187" t="inlineStr">
        <is>
          <t>Adopt A Startup, Dow, Enterprise Ireland, Gerard Kervick, Imagine H2O, Individual Investor, Irish Venture Capital Association, Kellysan Enterprises, Martin Haugh, Merrion Stockbrokers, Nigel Coombes, Rory Murphy, Saudi Aramco Energy Ventures, The BREW, The Shamrock Gift Company</t>
        </is>
      </c>
      <c r="AX344" s="188" t="n">
        <v>15.0</v>
      </c>
      <c r="AY344" s="189" t="inlineStr">
        <is>
          <t/>
        </is>
      </c>
      <c r="AZ344" s="190" t="inlineStr">
        <is>
          <t/>
        </is>
      </c>
      <c r="BA344" s="191" t="inlineStr">
        <is>
          <t/>
        </is>
      </c>
      <c r="BB344" s="192" t="inlineStr">
        <is>
          <t>Adopt A Startup (www.events.withgoogle.com/adoptastartup), Dow (www.dow-dupont.com), Enterprise Ireland (www.enterprise-ireland.com), Imagine H2O (www.imagineh2o.org), Irish Venture Capital Association (www.ivca.ie), Saudi Aramco Energy Ventures (www.aramcoventures.com)</t>
        </is>
      </c>
      <c r="BC344" s="193" t="inlineStr">
        <is>
          <t/>
        </is>
      </c>
      <c r="BD344" s="194" t="inlineStr">
        <is>
          <t/>
        </is>
      </c>
      <c r="BE344" s="195" t="inlineStr">
        <is>
          <t>Cleantech Capital Advisors (Consulting)</t>
        </is>
      </c>
      <c r="BF344" s="196" t="inlineStr">
        <is>
          <t>Ronan Daly Jermyn (Legal Advisor)</t>
        </is>
      </c>
      <c r="BG344" s="197" t="n">
        <v>41275.0</v>
      </c>
      <c r="BH344" s="198" t="n">
        <v>0.25</v>
      </c>
      <c r="BI344" s="199" t="inlineStr">
        <is>
          <t>Actual</t>
        </is>
      </c>
      <c r="BJ344" s="200" t="inlineStr">
        <is>
          <t/>
        </is>
      </c>
      <c r="BK344" s="201" t="inlineStr">
        <is>
          <t/>
        </is>
      </c>
      <c r="BL344" s="202" t="inlineStr">
        <is>
          <t>Seed Round</t>
        </is>
      </c>
      <c r="BM344" s="203" t="inlineStr">
        <is>
          <t>Seed</t>
        </is>
      </c>
      <c r="BN344" s="204" t="inlineStr">
        <is>
          <t/>
        </is>
      </c>
      <c r="BO344" s="205" t="inlineStr">
        <is>
          <t>Venture Capital</t>
        </is>
      </c>
      <c r="BP344" s="206" t="inlineStr">
        <is>
          <t/>
        </is>
      </c>
      <c r="BQ344" s="207" t="inlineStr">
        <is>
          <t/>
        </is>
      </c>
      <c r="BR344" s="208" t="inlineStr">
        <is>
          <t/>
        </is>
      </c>
      <c r="BS344" s="209" t="inlineStr">
        <is>
          <t>Completed</t>
        </is>
      </c>
      <c r="BT344" s="210" t="n">
        <v>42906.0</v>
      </c>
      <c r="BU344" s="211" t="n">
        <v>5.0</v>
      </c>
      <c r="BV344" s="212" t="inlineStr">
        <is>
          <t>Actual</t>
        </is>
      </c>
      <c r="BW344" s="213" t="inlineStr">
        <is>
          <t/>
        </is>
      </c>
      <c r="BX344" s="214" t="inlineStr">
        <is>
          <t/>
        </is>
      </c>
      <c r="BY344" s="215" t="inlineStr">
        <is>
          <t>Early Stage VC</t>
        </is>
      </c>
      <c r="BZ344" s="216" t="inlineStr">
        <is>
          <t/>
        </is>
      </c>
      <c r="CA344" s="217" t="inlineStr">
        <is>
          <t/>
        </is>
      </c>
      <c r="CB344" s="218" t="inlineStr">
        <is>
          <t>Venture Capital</t>
        </is>
      </c>
      <c r="CC344" s="219" t="inlineStr">
        <is>
          <t/>
        </is>
      </c>
      <c r="CD344" s="220" t="inlineStr">
        <is>
          <t/>
        </is>
      </c>
      <c r="CE344" s="221" t="inlineStr">
        <is>
          <t/>
        </is>
      </c>
      <c r="CF344" s="222" t="inlineStr">
        <is>
          <t>Completed</t>
        </is>
      </c>
      <c r="CG344" s="223" t="inlineStr">
        <is>
          <t>-0,30%</t>
        </is>
      </c>
      <c r="CH344" s="224" t="inlineStr">
        <is>
          <t>11</t>
        </is>
      </c>
      <c r="CI344" s="225" t="inlineStr">
        <is>
          <t>-0,20%</t>
        </is>
      </c>
      <c r="CJ344" s="226" t="inlineStr">
        <is>
          <t>-191,61%</t>
        </is>
      </c>
      <c r="CK344" s="227" t="inlineStr">
        <is>
          <t>-0,69%</t>
        </is>
      </c>
      <c r="CL344" s="228" t="inlineStr">
        <is>
          <t>11</t>
        </is>
      </c>
      <c r="CM344" s="229" t="inlineStr">
        <is>
          <t>0,09%</t>
        </is>
      </c>
      <c r="CN344" s="230" t="inlineStr">
        <is>
          <t>59</t>
        </is>
      </c>
      <c r="CO344" s="231" t="inlineStr">
        <is>
          <t>0,00%</t>
        </is>
      </c>
      <c r="CP344" s="232" t="inlineStr">
        <is>
          <t>26</t>
        </is>
      </c>
      <c r="CQ344" s="233" t="inlineStr">
        <is>
          <t>-1,38%</t>
        </is>
      </c>
      <c r="CR344" s="234" t="inlineStr">
        <is>
          <t>2</t>
        </is>
      </c>
      <c r="CS344" s="235" t="inlineStr">
        <is>
          <t>-0,04%</t>
        </is>
      </c>
      <c r="CT344" s="236" t="inlineStr">
        <is>
          <t>8</t>
        </is>
      </c>
      <c r="CU344" s="237" t="inlineStr">
        <is>
          <t>0,21%</t>
        </is>
      </c>
      <c r="CV344" s="238" t="inlineStr">
        <is>
          <t>79</t>
        </is>
      </c>
      <c r="CW344" s="239" t="inlineStr">
        <is>
          <t>3,40x</t>
        </is>
      </c>
      <c r="CX344" s="240" t="inlineStr">
        <is>
          <t>73</t>
        </is>
      </c>
      <c r="CY344" s="241" t="inlineStr">
        <is>
          <t>0,03x</t>
        </is>
      </c>
      <c r="CZ344" s="242" t="inlineStr">
        <is>
          <t>0,80%</t>
        </is>
      </c>
      <c r="DA344" s="243" t="inlineStr">
        <is>
          <t>1,92x</t>
        </is>
      </c>
      <c r="DB344" s="244" t="inlineStr">
        <is>
          <t>66</t>
        </is>
      </c>
      <c r="DC344" s="245" t="inlineStr">
        <is>
          <t>4,89x</t>
        </is>
      </c>
      <c r="DD344" s="246" t="inlineStr">
        <is>
          <t>76</t>
        </is>
      </c>
      <c r="DE344" s="247" t="inlineStr">
        <is>
          <t>0,47x</t>
        </is>
      </c>
      <c r="DF344" s="248" t="inlineStr">
        <is>
          <t>35</t>
        </is>
      </c>
      <c r="DG344" s="249" t="inlineStr">
        <is>
          <t>3,36x</t>
        </is>
      </c>
      <c r="DH344" s="250" t="inlineStr">
        <is>
          <t>73</t>
        </is>
      </c>
      <c r="DI344" s="251" t="inlineStr">
        <is>
          <t>5,97x</t>
        </is>
      </c>
      <c r="DJ344" s="252" t="inlineStr">
        <is>
          <t>77</t>
        </is>
      </c>
      <c r="DK344" s="253" t="inlineStr">
        <is>
          <t>3,80x</t>
        </is>
      </c>
      <c r="DL344" s="254" t="inlineStr">
        <is>
          <t>74</t>
        </is>
      </c>
      <c r="DM344" s="255" t="inlineStr">
        <is>
          <t>296</t>
        </is>
      </c>
      <c r="DN344" s="256" t="inlineStr">
        <is>
          <t>-12</t>
        </is>
      </c>
      <c r="DO344" s="257" t="inlineStr">
        <is>
          <t>-3,90%</t>
        </is>
      </c>
      <c r="DP344" s="258" t="inlineStr">
        <is>
          <t>4.775</t>
        </is>
      </c>
      <c r="DQ344" s="259" t="inlineStr">
        <is>
          <t>-2</t>
        </is>
      </c>
      <c r="DR344" s="260" t="inlineStr">
        <is>
          <t>-0,04%</t>
        </is>
      </c>
      <c r="DS344" s="261" t="inlineStr">
        <is>
          <t>123</t>
        </is>
      </c>
      <c r="DT344" s="262" t="inlineStr">
        <is>
          <t>-7</t>
        </is>
      </c>
      <c r="DU344" s="263" t="inlineStr">
        <is>
          <t>-5,38%</t>
        </is>
      </c>
      <c r="DV344" s="264" t="inlineStr">
        <is>
          <t>1.300</t>
        </is>
      </c>
      <c r="DW344" s="265" t="inlineStr">
        <is>
          <t>3</t>
        </is>
      </c>
      <c r="DX344" s="266" t="inlineStr">
        <is>
          <t>0,23%</t>
        </is>
      </c>
      <c r="DY344" s="267" t="inlineStr">
        <is>
          <t>PitchBook Research</t>
        </is>
      </c>
      <c r="DZ344" s="786">
        <f>HYPERLINK("https://my.pitchbook.com?c=61331-68", "View company online")</f>
      </c>
    </row>
    <row r="345">
      <c r="A345" s="9" t="inlineStr">
        <is>
          <t>153906-49</t>
        </is>
      </c>
      <c r="B345" s="10" t="inlineStr">
        <is>
          <t>Pabulum Pubs</t>
        </is>
      </c>
      <c r="C345" s="11" t="inlineStr">
        <is>
          <t/>
        </is>
      </c>
      <c r="D345" s="12" t="inlineStr">
        <is>
          <t/>
        </is>
      </c>
      <c r="E345" s="13" t="inlineStr">
        <is>
          <t>153906-49</t>
        </is>
      </c>
      <c r="F345" s="14" t="inlineStr">
        <is>
          <t>Owner and operator of pubs. The company engages in purchase, refurbishment and re-positioning of pub sites.</t>
        </is>
      </c>
      <c r="G345" s="15" t="inlineStr">
        <is>
          <t>Consumer Products and Services (B2C)</t>
        </is>
      </c>
      <c r="H345" s="16" t="inlineStr">
        <is>
          <t>Restaurants, Hotels and Leisure</t>
        </is>
      </c>
      <c r="I345" s="17" t="inlineStr">
        <is>
          <t>Restaurants and Bars</t>
        </is>
      </c>
      <c r="J345" s="18" t="inlineStr">
        <is>
          <t>Restaurants and Bars*; Holding Companies</t>
        </is>
      </c>
      <c r="K345" s="19" t="inlineStr">
        <is>
          <t/>
        </is>
      </c>
      <c r="L345" s="20" t="inlineStr">
        <is>
          <t>Venture Capital-Backed</t>
        </is>
      </c>
      <c r="M345" s="21" t="n">
        <v>9.78</v>
      </c>
      <c r="N345" s="22" t="inlineStr">
        <is>
          <t>Startup</t>
        </is>
      </c>
      <c r="O345" s="23" t="inlineStr">
        <is>
          <t>Privately Held (backing)</t>
        </is>
      </c>
      <c r="P345" s="24" t="inlineStr">
        <is>
          <t>Venture Capital</t>
        </is>
      </c>
      <c r="Q345" s="25" t="inlineStr">
        <is>
          <t/>
        </is>
      </c>
      <c r="R345" s="26" t="inlineStr">
        <is>
          <t/>
        </is>
      </c>
      <c r="S345" s="27" t="inlineStr">
        <is>
          <t/>
        </is>
      </c>
      <c r="T345" s="28" t="inlineStr">
        <is>
          <t/>
        </is>
      </c>
      <c r="U345" s="29" t="n">
        <v>2012.0</v>
      </c>
      <c r="V345" s="30" t="inlineStr">
        <is>
          <t/>
        </is>
      </c>
      <c r="W345" s="31" t="inlineStr">
        <is>
          <t/>
        </is>
      </c>
      <c r="X345" s="32" t="inlineStr">
        <is>
          <t/>
        </is>
      </c>
      <c r="Y345" s="33" t="inlineStr">
        <is>
          <t/>
        </is>
      </c>
      <c r="Z345" s="34" t="inlineStr">
        <is>
          <t/>
        </is>
      </c>
      <c r="AA345" s="35" t="inlineStr">
        <is>
          <t/>
        </is>
      </c>
      <c r="AB345" s="36" t="inlineStr">
        <is>
          <t/>
        </is>
      </c>
      <c r="AC345" s="37" t="inlineStr">
        <is>
          <t/>
        </is>
      </c>
      <c r="AD345" s="38" t="inlineStr">
        <is>
          <t/>
        </is>
      </c>
      <c r="AE345" s="39" t="inlineStr">
        <is>
          <t/>
        </is>
      </c>
      <c r="AF345" s="40" t="inlineStr">
        <is>
          <t/>
        </is>
      </c>
      <c r="AG345" s="41" t="inlineStr">
        <is>
          <t/>
        </is>
      </c>
      <c r="AH345" s="42" t="inlineStr">
        <is>
          <t/>
        </is>
      </c>
      <c r="AI345" s="43" t="inlineStr">
        <is>
          <t/>
        </is>
      </c>
      <c r="AJ345" s="44" t="inlineStr">
        <is>
          <t>London, United Kingdom</t>
        </is>
      </c>
      <c r="AK345" s="45" t="inlineStr">
        <is>
          <t>5th Floor, Ergon House</t>
        </is>
      </c>
      <c r="AL345" s="46" t="inlineStr">
        <is>
          <t>Horseferry Road</t>
        </is>
      </c>
      <c r="AM345" s="47" t="inlineStr">
        <is>
          <t>London</t>
        </is>
      </c>
      <c r="AN345" s="48" t="inlineStr">
        <is>
          <t>England</t>
        </is>
      </c>
      <c r="AO345" s="49" t="inlineStr">
        <is>
          <t>SW1P 2AL</t>
        </is>
      </c>
      <c r="AP345" s="50" t="inlineStr">
        <is>
          <t>United Kingdom</t>
        </is>
      </c>
      <c r="AQ345" s="51" t="inlineStr">
        <is>
          <t/>
        </is>
      </c>
      <c r="AR345" s="52" t="inlineStr">
        <is>
          <t/>
        </is>
      </c>
      <c r="AS345" s="53" t="inlineStr">
        <is>
          <t/>
        </is>
      </c>
      <c r="AT345" s="54" t="inlineStr">
        <is>
          <t>Europe</t>
        </is>
      </c>
      <c r="AU345" s="55" t="inlineStr">
        <is>
          <t>Western Europe</t>
        </is>
      </c>
      <c r="AV345" s="56" t="inlineStr">
        <is>
          <t>The company raised GBP 5.17 million of venture funding from Downing Ventures on an undisclosed date. The financing was used for the acquisition of freehold sites.</t>
        </is>
      </c>
      <c r="AW345" s="57" t="inlineStr">
        <is>
          <t>Downing, Downing Ventures</t>
        </is>
      </c>
      <c r="AX345" s="58" t="n">
        <v>2.0</v>
      </c>
      <c r="AY345" s="59" t="inlineStr">
        <is>
          <t/>
        </is>
      </c>
      <c r="AZ345" s="60" t="inlineStr">
        <is>
          <t/>
        </is>
      </c>
      <c r="BA345" s="61" t="inlineStr">
        <is>
          <t/>
        </is>
      </c>
      <c r="BB345" s="62" t="inlineStr">
        <is>
          <t>Downing (www.downing.co.uk), Downing Ventures (www.downingventures.com)</t>
        </is>
      </c>
      <c r="BC345" s="63" t="inlineStr">
        <is>
          <t/>
        </is>
      </c>
      <c r="BD345" s="64" t="inlineStr">
        <is>
          <t/>
        </is>
      </c>
      <c r="BE345" s="65" t="inlineStr">
        <is>
          <t/>
        </is>
      </c>
      <c r="BF345" s="66" t="inlineStr">
        <is>
          <t/>
        </is>
      </c>
      <c r="BG345" s="67" t="n">
        <v>41214.0</v>
      </c>
      <c r="BH345" s="68" t="n">
        <v>3.4</v>
      </c>
      <c r="BI345" s="69" t="inlineStr">
        <is>
          <t>Actual</t>
        </is>
      </c>
      <c r="BJ345" s="70" t="inlineStr">
        <is>
          <t/>
        </is>
      </c>
      <c r="BK345" s="71" t="inlineStr">
        <is>
          <t/>
        </is>
      </c>
      <c r="BL345" s="72" t="inlineStr">
        <is>
          <t>Early Stage VC</t>
        </is>
      </c>
      <c r="BM345" s="73" t="inlineStr">
        <is>
          <t>Acquisition Financing</t>
        </is>
      </c>
      <c r="BN345" s="74" t="inlineStr">
        <is>
          <t/>
        </is>
      </c>
      <c r="BO345" s="75" t="inlineStr">
        <is>
          <t>Venture Capital</t>
        </is>
      </c>
      <c r="BP345" s="76" t="inlineStr">
        <is>
          <t/>
        </is>
      </c>
      <c r="BQ345" s="77" t="inlineStr">
        <is>
          <t/>
        </is>
      </c>
      <c r="BR345" s="78" t="inlineStr">
        <is>
          <t/>
        </is>
      </c>
      <c r="BS345" s="79" t="inlineStr">
        <is>
          <t>Completed</t>
        </is>
      </c>
      <c r="BT345" s="80" t="inlineStr">
        <is>
          <t/>
        </is>
      </c>
      <c r="BU345" s="81" t="n">
        <v>5.68</v>
      </c>
      <c r="BV345" s="82" t="inlineStr">
        <is>
          <t>Actual</t>
        </is>
      </c>
      <c r="BW345" s="83" t="inlineStr">
        <is>
          <t/>
        </is>
      </c>
      <c r="BX345" s="84" t="inlineStr">
        <is>
          <t/>
        </is>
      </c>
      <c r="BY345" s="85" t="inlineStr">
        <is>
          <t>Early Stage VC</t>
        </is>
      </c>
      <c r="BZ345" s="86" t="inlineStr">
        <is>
          <t>Acquisition Financing</t>
        </is>
      </c>
      <c r="CA345" s="87" t="inlineStr">
        <is>
          <t/>
        </is>
      </c>
      <c r="CB345" s="88" t="inlineStr">
        <is>
          <t>Venture Capital</t>
        </is>
      </c>
      <c r="CC345" s="89" t="inlineStr">
        <is>
          <t/>
        </is>
      </c>
      <c r="CD345" s="90" t="inlineStr">
        <is>
          <t/>
        </is>
      </c>
      <c r="CE345" s="91" t="inlineStr">
        <is>
          <t/>
        </is>
      </c>
      <c r="CF345" s="92" t="inlineStr">
        <is>
          <t>Completed</t>
        </is>
      </c>
      <c r="CG345" s="93" t="inlineStr">
        <is>
          <t/>
        </is>
      </c>
      <c r="CH345" s="94" t="inlineStr">
        <is>
          <t/>
        </is>
      </c>
      <c r="CI345" s="95" t="inlineStr">
        <is>
          <t/>
        </is>
      </c>
      <c r="CJ345" s="96" t="inlineStr">
        <is>
          <t/>
        </is>
      </c>
      <c r="CK345" s="97" t="inlineStr">
        <is>
          <t/>
        </is>
      </c>
      <c r="CL345" s="98" t="inlineStr">
        <is>
          <t/>
        </is>
      </c>
      <c r="CM345" s="99" t="inlineStr">
        <is>
          <t/>
        </is>
      </c>
      <c r="CN345" s="100" t="inlineStr">
        <is>
          <t/>
        </is>
      </c>
      <c r="CO345" s="101" t="inlineStr">
        <is>
          <t/>
        </is>
      </c>
      <c r="CP345" s="102" t="inlineStr">
        <is>
          <t/>
        </is>
      </c>
      <c r="CQ345" s="103" t="inlineStr">
        <is>
          <t/>
        </is>
      </c>
      <c r="CR345" s="104" t="inlineStr">
        <is>
          <t/>
        </is>
      </c>
      <c r="CS345" s="105" t="inlineStr">
        <is>
          <t/>
        </is>
      </c>
      <c r="CT345" s="106" t="inlineStr">
        <is>
          <t/>
        </is>
      </c>
      <c r="CU345" s="107" t="inlineStr">
        <is>
          <t/>
        </is>
      </c>
      <c r="CV345" s="108" t="inlineStr">
        <is>
          <t/>
        </is>
      </c>
      <c r="CW345" s="109" t="inlineStr">
        <is>
          <t/>
        </is>
      </c>
      <c r="CX345" s="110" t="inlineStr">
        <is>
          <t/>
        </is>
      </c>
      <c r="CY345" s="111" t="inlineStr">
        <is>
          <t/>
        </is>
      </c>
      <c r="CZ345" s="112" t="inlineStr">
        <is>
          <t/>
        </is>
      </c>
      <c r="DA345" s="113" t="inlineStr">
        <is>
          <t/>
        </is>
      </c>
      <c r="DB345" s="114" t="inlineStr">
        <is>
          <t/>
        </is>
      </c>
      <c r="DC345" s="115" t="inlineStr">
        <is>
          <t/>
        </is>
      </c>
      <c r="DD345" s="116" t="inlineStr">
        <is>
          <t/>
        </is>
      </c>
      <c r="DE345" s="117" t="inlineStr">
        <is>
          <t/>
        </is>
      </c>
      <c r="DF345" s="118" t="inlineStr">
        <is>
          <t/>
        </is>
      </c>
      <c r="DG345" s="119" t="inlineStr">
        <is>
          <t/>
        </is>
      </c>
      <c r="DH345" s="120" t="inlineStr">
        <is>
          <t/>
        </is>
      </c>
      <c r="DI345" s="121" t="inlineStr">
        <is>
          <t/>
        </is>
      </c>
      <c r="DJ345" s="122" t="inlineStr">
        <is>
          <t/>
        </is>
      </c>
      <c r="DK345" s="123" t="inlineStr">
        <is>
          <t/>
        </is>
      </c>
      <c r="DL345" s="124" t="inlineStr">
        <is>
          <t/>
        </is>
      </c>
      <c r="DM345" s="125" t="inlineStr">
        <is>
          <t/>
        </is>
      </c>
      <c r="DN345" s="126" t="inlineStr">
        <is>
          <t/>
        </is>
      </c>
      <c r="DO345" s="127" t="inlineStr">
        <is>
          <t/>
        </is>
      </c>
      <c r="DP345" s="128" t="inlineStr">
        <is>
          <t/>
        </is>
      </c>
      <c r="DQ345" s="129" t="inlineStr">
        <is>
          <t/>
        </is>
      </c>
      <c r="DR345" s="130" t="inlineStr">
        <is>
          <t/>
        </is>
      </c>
      <c r="DS345" s="131" t="inlineStr">
        <is>
          <t/>
        </is>
      </c>
      <c r="DT345" s="132" t="inlineStr">
        <is>
          <t/>
        </is>
      </c>
      <c r="DU345" s="133" t="inlineStr">
        <is>
          <t/>
        </is>
      </c>
      <c r="DV345" s="134" t="inlineStr">
        <is>
          <t/>
        </is>
      </c>
      <c r="DW345" s="135" t="inlineStr">
        <is>
          <t/>
        </is>
      </c>
      <c r="DX345" s="136" t="inlineStr">
        <is>
          <t/>
        </is>
      </c>
      <c r="DY345" s="137" t="inlineStr">
        <is>
          <t>PitchBook Research</t>
        </is>
      </c>
      <c r="DZ345" s="785">
        <f>HYPERLINK("https://my.pitchbook.com?c=153906-49", "View company online")</f>
      </c>
    </row>
    <row r="346">
      <c r="A346" s="139" t="inlineStr">
        <is>
          <t>65030-68</t>
        </is>
      </c>
      <c r="B346" s="140" t="inlineStr">
        <is>
          <t>Pandacraft</t>
        </is>
      </c>
      <c r="C346" s="141" t="inlineStr">
        <is>
          <t/>
        </is>
      </c>
      <c r="D346" s="142" t="inlineStr">
        <is>
          <t/>
        </is>
      </c>
      <c r="E346" s="143" t="inlineStr">
        <is>
          <t>65030-68</t>
        </is>
      </c>
      <c r="F346" s="144" t="inlineStr">
        <is>
          <t>Manufacturer of kids activity product. The company manufacturer the play crafts, activity box, puzzles and magazines for children to play and learn.</t>
        </is>
      </c>
      <c r="G346" s="145" t="inlineStr">
        <is>
          <t>Consumer Products and Services (B2C)</t>
        </is>
      </c>
      <c r="H346" s="146" t="inlineStr">
        <is>
          <t>Consumer Durables</t>
        </is>
      </c>
      <c r="I346" s="147" t="inlineStr">
        <is>
          <t>Other Consumer Durables</t>
        </is>
      </c>
      <c r="J346" s="148" t="inlineStr">
        <is>
          <t>Other Consumer Durables*; Leisure Facilities</t>
        </is>
      </c>
      <c r="K346" s="149" t="inlineStr">
        <is>
          <t>Manufacturing</t>
        </is>
      </c>
      <c r="L346" s="150" t="inlineStr">
        <is>
          <t>Venture Capital-Backed</t>
        </is>
      </c>
      <c r="M346" s="151" t="n">
        <v>11.0</v>
      </c>
      <c r="N346" s="152" t="inlineStr">
        <is>
          <t>Startup</t>
        </is>
      </c>
      <c r="O346" s="153" t="inlineStr">
        <is>
          <t>Privately Held (backing)</t>
        </is>
      </c>
      <c r="P346" s="154" t="inlineStr">
        <is>
          <t>Venture Capital</t>
        </is>
      </c>
      <c r="Q346" s="155" t="inlineStr">
        <is>
          <t>www.pandacraft.fr</t>
        </is>
      </c>
      <c r="R346" s="156" t="n">
        <v>19.0</v>
      </c>
      <c r="S346" s="157" t="inlineStr">
        <is>
          <t/>
        </is>
      </c>
      <c r="T346" s="158" t="inlineStr">
        <is>
          <t/>
        </is>
      </c>
      <c r="U346" s="159" t="n">
        <v>2013.0</v>
      </c>
      <c r="V346" s="160" t="inlineStr">
        <is>
          <t/>
        </is>
      </c>
      <c r="W346" s="161" t="inlineStr">
        <is>
          <t/>
        </is>
      </c>
      <c r="X346" s="162" t="inlineStr">
        <is>
          <t/>
        </is>
      </c>
      <c r="Y346" s="163" t="n">
        <v>0.02921</v>
      </c>
      <c r="Z346" s="164" t="inlineStr">
        <is>
          <t/>
        </is>
      </c>
      <c r="AA346" s="165" t="n">
        <v>-0.12413</v>
      </c>
      <c r="AB346" s="166" t="inlineStr">
        <is>
          <t/>
        </is>
      </c>
      <c r="AC346" s="167" t="inlineStr">
        <is>
          <t/>
        </is>
      </c>
      <c r="AD346" s="168" t="inlineStr">
        <is>
          <t>FY 2013</t>
        </is>
      </c>
      <c r="AE346" s="169" t="inlineStr">
        <is>
          <t>73173-25P</t>
        </is>
      </c>
      <c r="AF346" s="170" t="inlineStr">
        <is>
          <t>Edouard Trucy</t>
        </is>
      </c>
      <c r="AG346" s="171" t="inlineStr">
        <is>
          <t>Founder &amp; Managing Director</t>
        </is>
      </c>
      <c r="AH346" s="172" t="inlineStr">
        <is>
          <t>edouard@pandacraft.fr</t>
        </is>
      </c>
      <c r="AI346" s="173" t="inlineStr">
        <is>
          <t/>
        </is>
      </c>
      <c r="AJ346" s="174" t="inlineStr">
        <is>
          <t>Paris, France</t>
        </is>
      </c>
      <c r="AK346" s="175" t="inlineStr">
        <is>
          <t>88 Boulevard Voltaire</t>
        </is>
      </c>
      <c r="AL346" s="176" t="inlineStr">
        <is>
          <t/>
        </is>
      </c>
      <c r="AM346" s="177" t="inlineStr">
        <is>
          <t>Paris</t>
        </is>
      </c>
      <c r="AN346" s="178" t="inlineStr">
        <is>
          <t/>
        </is>
      </c>
      <c r="AO346" s="179" t="inlineStr">
        <is>
          <t>75011</t>
        </is>
      </c>
      <c r="AP346" s="180" t="inlineStr">
        <is>
          <t>France</t>
        </is>
      </c>
      <c r="AQ346" s="181" t="inlineStr">
        <is>
          <t/>
        </is>
      </c>
      <c r="AR346" s="182" t="inlineStr">
        <is>
          <t/>
        </is>
      </c>
      <c r="AS346" s="183" t="inlineStr">
        <is>
          <t/>
        </is>
      </c>
      <c r="AT346" s="184" t="inlineStr">
        <is>
          <t>Europe</t>
        </is>
      </c>
      <c r="AU346" s="185" t="inlineStr">
        <is>
          <t>Western Europe</t>
        </is>
      </c>
      <c r="AV346" s="186" t="inlineStr">
        <is>
          <t>The company raised EUR 1 million of venture funding from Leap Ventures, Elaia Partners, Margaret Milan and OTEO Investment on October 4, 2015. DPS&amp;Co also participated in the round.</t>
        </is>
      </c>
      <c r="AW346" s="187" t="inlineStr">
        <is>
          <t>Elaia Partners, Fides+Ratio, Leap Ventures</t>
        </is>
      </c>
      <c r="AX346" s="188" t="n">
        <v>3.0</v>
      </c>
      <c r="AY346" s="189" t="inlineStr">
        <is>
          <t/>
        </is>
      </c>
      <c r="AZ346" s="190" t="inlineStr">
        <is>
          <t/>
        </is>
      </c>
      <c r="BA346" s="191" t="inlineStr">
        <is>
          <t/>
        </is>
      </c>
      <c r="BB346" s="192" t="inlineStr">
        <is>
          <t>Elaia Partners (www.elaia.com), Fides+Ratio (www.fidesratio.com), Leap Ventures (www.leap.vc)</t>
        </is>
      </c>
      <c r="BC346" s="193" t="inlineStr">
        <is>
          <t/>
        </is>
      </c>
      <c r="BD346" s="194" t="inlineStr">
        <is>
          <t/>
        </is>
      </c>
      <c r="BE346" s="195" t="inlineStr">
        <is>
          <t/>
        </is>
      </c>
      <c r="BF346" s="196" t="inlineStr">
        <is>
          <t>SmartAngels (Lead Manager or Arranger)</t>
        </is>
      </c>
      <c r="BG346" s="197" t="n">
        <v>42281.0</v>
      </c>
      <c r="BH346" s="198" t="n">
        <v>11.0</v>
      </c>
      <c r="BI346" s="199" t="inlineStr">
        <is>
          <t>Actual</t>
        </is>
      </c>
      <c r="BJ346" s="200" t="inlineStr">
        <is>
          <t/>
        </is>
      </c>
      <c r="BK346" s="201" t="inlineStr">
        <is>
          <t/>
        </is>
      </c>
      <c r="BL346" s="202" t="inlineStr">
        <is>
          <t>Early Stage VC</t>
        </is>
      </c>
      <c r="BM346" s="203" t="inlineStr">
        <is>
          <t/>
        </is>
      </c>
      <c r="BN346" s="204" t="inlineStr">
        <is>
          <t/>
        </is>
      </c>
      <c r="BO346" s="205" t="inlineStr">
        <is>
          <t>Venture Capital</t>
        </is>
      </c>
      <c r="BP346" s="206" t="inlineStr">
        <is>
          <t/>
        </is>
      </c>
      <c r="BQ346" s="207" t="inlineStr">
        <is>
          <t/>
        </is>
      </c>
      <c r="BR346" s="208" t="inlineStr">
        <is>
          <t/>
        </is>
      </c>
      <c r="BS346" s="209" t="inlineStr">
        <is>
          <t>Completed</t>
        </is>
      </c>
      <c r="BT346" s="210" t="n">
        <v>42281.0</v>
      </c>
      <c r="BU346" s="211" t="n">
        <v>11.0</v>
      </c>
      <c r="BV346" s="212" t="inlineStr">
        <is>
          <t>Actual</t>
        </is>
      </c>
      <c r="BW346" s="213" t="inlineStr">
        <is>
          <t/>
        </is>
      </c>
      <c r="BX346" s="214" t="inlineStr">
        <is>
          <t/>
        </is>
      </c>
      <c r="BY346" s="215" t="inlineStr">
        <is>
          <t>Early Stage VC</t>
        </is>
      </c>
      <c r="BZ346" s="216" t="inlineStr">
        <is>
          <t/>
        </is>
      </c>
      <c r="CA346" s="217" t="inlineStr">
        <is>
          <t/>
        </is>
      </c>
      <c r="CB346" s="218" t="inlineStr">
        <is>
          <t>Venture Capital</t>
        </is>
      </c>
      <c r="CC346" s="219" t="inlineStr">
        <is>
          <t/>
        </is>
      </c>
      <c r="CD346" s="220" t="inlineStr">
        <is>
          <t/>
        </is>
      </c>
      <c r="CE346" s="221" t="inlineStr">
        <is>
          <t/>
        </is>
      </c>
      <c r="CF346" s="222" t="inlineStr">
        <is>
          <t>Completed</t>
        </is>
      </c>
      <c r="CG346" s="223" t="inlineStr">
        <is>
          <t>-2,36%</t>
        </is>
      </c>
      <c r="CH346" s="224" t="inlineStr">
        <is>
          <t>2</t>
        </is>
      </c>
      <c r="CI346" s="225" t="inlineStr">
        <is>
          <t>0,02%</t>
        </is>
      </c>
      <c r="CJ346" s="226" t="inlineStr">
        <is>
          <t>0,89%</t>
        </is>
      </c>
      <c r="CK346" s="227" t="inlineStr">
        <is>
          <t>-5,26%</t>
        </is>
      </c>
      <c r="CL346" s="228" t="inlineStr">
        <is>
          <t>1</t>
        </is>
      </c>
      <c r="CM346" s="229" t="inlineStr">
        <is>
          <t>0,54%</t>
        </is>
      </c>
      <c r="CN346" s="230" t="inlineStr">
        <is>
          <t>91</t>
        </is>
      </c>
      <c r="CO346" s="231" t="inlineStr">
        <is>
          <t>-10,03%</t>
        </is>
      </c>
      <c r="CP346" s="232" t="inlineStr">
        <is>
          <t>2</t>
        </is>
      </c>
      <c r="CQ346" s="233" t="inlineStr">
        <is>
          <t>-0,49%</t>
        </is>
      </c>
      <c r="CR346" s="234" t="inlineStr">
        <is>
          <t>7</t>
        </is>
      </c>
      <c r="CS346" s="235" t="inlineStr">
        <is>
          <t>0,76%</t>
        </is>
      </c>
      <c r="CT346" s="236" t="inlineStr">
        <is>
          <t>92</t>
        </is>
      </c>
      <c r="CU346" s="237" t="inlineStr">
        <is>
          <t>0,32%</t>
        </is>
      </c>
      <c r="CV346" s="238" t="inlineStr">
        <is>
          <t>86</t>
        </is>
      </c>
      <c r="CW346" s="239" t="inlineStr">
        <is>
          <t>36,88x</t>
        </is>
      </c>
      <c r="CX346" s="240" t="inlineStr">
        <is>
          <t>95</t>
        </is>
      </c>
      <c r="CY346" s="241" t="inlineStr">
        <is>
          <t>1,16x</t>
        </is>
      </c>
      <c r="CZ346" s="242" t="inlineStr">
        <is>
          <t>3,24%</t>
        </is>
      </c>
      <c r="DA346" s="243" t="inlineStr">
        <is>
          <t>14,50x</t>
        </is>
      </c>
      <c r="DB346" s="244" t="inlineStr">
        <is>
          <t>90</t>
        </is>
      </c>
      <c r="DC346" s="245" t="inlineStr">
        <is>
          <t>59,27x</t>
        </is>
      </c>
      <c r="DD346" s="246" t="inlineStr">
        <is>
          <t>95</t>
        </is>
      </c>
      <c r="DE346" s="247" t="inlineStr">
        <is>
          <t>20,67x</t>
        </is>
      </c>
      <c r="DF346" s="248" t="inlineStr">
        <is>
          <t>89</t>
        </is>
      </c>
      <c r="DG346" s="249" t="inlineStr">
        <is>
          <t>8,33x</t>
        </is>
      </c>
      <c r="DH346" s="250" t="inlineStr">
        <is>
          <t>84</t>
        </is>
      </c>
      <c r="DI346" s="251" t="inlineStr">
        <is>
          <t>115,97x</t>
        </is>
      </c>
      <c r="DJ346" s="252" t="inlineStr">
        <is>
          <t>96</t>
        </is>
      </c>
      <c r="DK346" s="253" t="inlineStr">
        <is>
          <t>2,56x</t>
        </is>
      </c>
      <c r="DL346" s="254" t="inlineStr">
        <is>
          <t>67</t>
        </is>
      </c>
      <c r="DM346" s="255" t="inlineStr">
        <is>
          <t>12.934</t>
        </is>
      </c>
      <c r="DN346" s="256" t="inlineStr">
        <is>
          <t>-673</t>
        </is>
      </c>
      <c r="DO346" s="257" t="inlineStr">
        <is>
          <t>-4,95%</t>
        </is>
      </c>
      <c r="DP346" s="258" t="inlineStr">
        <is>
          <t>91.965</t>
        </is>
      </c>
      <c r="DQ346" s="259" t="inlineStr">
        <is>
          <t>1.483</t>
        </is>
      </c>
      <c r="DR346" s="260" t="inlineStr">
        <is>
          <t>1,64%</t>
        </is>
      </c>
      <c r="DS346" s="261" t="inlineStr">
        <is>
          <t>298</t>
        </is>
      </c>
      <c r="DT346" s="262" t="inlineStr">
        <is>
          <t>2</t>
        </is>
      </c>
      <c r="DU346" s="263" t="inlineStr">
        <is>
          <t>0,68%</t>
        </is>
      </c>
      <c r="DV346" s="264" t="inlineStr">
        <is>
          <t>875</t>
        </is>
      </c>
      <c r="DW346" s="265" t="inlineStr">
        <is>
          <t>7</t>
        </is>
      </c>
      <c r="DX346" s="266" t="inlineStr">
        <is>
          <t>0,81%</t>
        </is>
      </c>
      <c r="DY346" s="267" t="inlineStr">
        <is>
          <t>PitchBook Research</t>
        </is>
      </c>
      <c r="DZ346" s="786">
        <f>HYPERLINK("https://my.pitchbook.com?c=65030-68", "View company online")</f>
      </c>
    </row>
    <row r="347">
      <c r="A347" s="9" t="inlineStr">
        <is>
          <t>182832-31</t>
        </is>
      </c>
      <c r="B347" s="10" t="inlineStr">
        <is>
          <t>PayBreak</t>
        </is>
      </c>
      <c r="C347" s="11" t="inlineStr">
        <is>
          <t/>
        </is>
      </c>
      <c r="D347" s="12" t="inlineStr">
        <is>
          <t>afforditNOW</t>
        </is>
      </c>
      <c r="E347" s="13" t="inlineStr">
        <is>
          <t>182832-31</t>
        </is>
      </c>
      <c r="F347" s="14" t="inlineStr">
        <is>
          <t>Operator of a lending platform designed to offer a broad range of finance products. The company's afforditNOW product offers a flexible and affordable finance option, enabling customers to choose their own payment terms.</t>
        </is>
      </c>
      <c r="G347" s="15" t="inlineStr">
        <is>
          <t>Financial Services</t>
        </is>
      </c>
      <c r="H347" s="16" t="inlineStr">
        <is>
          <t>Other Financial Services</t>
        </is>
      </c>
      <c r="I347" s="17" t="inlineStr">
        <is>
          <t>Other Financial Services</t>
        </is>
      </c>
      <c r="J347" s="18" t="inlineStr">
        <is>
          <t>Other Financial Services*</t>
        </is>
      </c>
      <c r="K347" s="19" t="inlineStr">
        <is>
          <t>FinTech</t>
        </is>
      </c>
      <c r="L347" s="20" t="inlineStr">
        <is>
          <t>Venture Capital-Backed</t>
        </is>
      </c>
      <c r="M347" s="21" t="n">
        <v>24.5</v>
      </c>
      <c r="N347" s="22" t="inlineStr">
        <is>
          <t>Generating Revenue</t>
        </is>
      </c>
      <c r="O347" s="23" t="inlineStr">
        <is>
          <t>Privately Held (backing)</t>
        </is>
      </c>
      <c r="P347" s="24" t="inlineStr">
        <is>
          <t>Venture Capital</t>
        </is>
      </c>
      <c r="Q347" s="25" t="inlineStr">
        <is>
          <t>www.afforditnow.com</t>
        </is>
      </c>
      <c r="R347" s="26" t="inlineStr">
        <is>
          <t/>
        </is>
      </c>
      <c r="S347" s="27" t="inlineStr">
        <is>
          <t/>
        </is>
      </c>
      <c r="T347" s="28" t="inlineStr">
        <is>
          <t/>
        </is>
      </c>
      <c r="U347" s="29" t="n">
        <v>2012.0</v>
      </c>
      <c r="V347" s="30" t="inlineStr">
        <is>
          <t/>
        </is>
      </c>
      <c r="W347" s="31" t="inlineStr">
        <is>
          <t/>
        </is>
      </c>
      <c r="X347" s="32" t="inlineStr">
        <is>
          <t/>
        </is>
      </c>
      <c r="Y347" s="33" t="inlineStr">
        <is>
          <t/>
        </is>
      </c>
      <c r="Z347" s="34" t="inlineStr">
        <is>
          <t/>
        </is>
      </c>
      <c r="AA347" s="35" t="inlineStr">
        <is>
          <t/>
        </is>
      </c>
      <c r="AB347" s="36" t="inlineStr">
        <is>
          <t/>
        </is>
      </c>
      <c r="AC347" s="37" t="inlineStr">
        <is>
          <t/>
        </is>
      </c>
      <c r="AD347" s="38" t="inlineStr">
        <is>
          <t/>
        </is>
      </c>
      <c r="AE347" s="39" t="inlineStr">
        <is>
          <t>52111-63P</t>
        </is>
      </c>
      <c r="AF347" s="40" t="inlineStr">
        <is>
          <t>Joost Schuijff</t>
        </is>
      </c>
      <c r="AG347" s="41" t="inlineStr">
        <is>
          <t>Chairman</t>
        </is>
      </c>
      <c r="AH347" s="42" t="inlineStr">
        <is>
          <t>joost.schuijff@afforditnow.com</t>
        </is>
      </c>
      <c r="AI347" s="43" t="inlineStr">
        <is>
          <t>+44 (0)33 3344 4224</t>
        </is>
      </c>
      <c r="AJ347" s="44" t="inlineStr">
        <is>
          <t>Altrincham, United Kingdom</t>
        </is>
      </c>
      <c r="AK347" s="45" t="inlineStr">
        <is>
          <t>Floor 1, The Bloc</t>
        </is>
      </c>
      <c r="AL347" s="46" t="inlineStr">
        <is>
          <t>Ashley Road</t>
        </is>
      </c>
      <c r="AM347" s="47" t="inlineStr">
        <is>
          <t>Altrincham</t>
        </is>
      </c>
      <c r="AN347" s="48" t="inlineStr">
        <is>
          <t>England</t>
        </is>
      </c>
      <c r="AO347" s="49" t="inlineStr">
        <is>
          <t>WA14 2DW</t>
        </is>
      </c>
      <c r="AP347" s="50" t="inlineStr">
        <is>
          <t>United Kingdom</t>
        </is>
      </c>
      <c r="AQ347" s="51" t="inlineStr">
        <is>
          <t>+44 (0)33 3344 4224</t>
        </is>
      </c>
      <c r="AR347" s="52" t="inlineStr">
        <is>
          <t/>
        </is>
      </c>
      <c r="AS347" s="53" t="inlineStr">
        <is>
          <t>hello@paybreak.com</t>
        </is>
      </c>
      <c r="AT347" s="54" t="inlineStr">
        <is>
          <t>Europe</t>
        </is>
      </c>
      <c r="AU347" s="55" t="inlineStr">
        <is>
          <t>Western Europe</t>
        </is>
      </c>
      <c r="AV347" s="56" t="inlineStr">
        <is>
          <t>The company raised GBP 24.5 million of venture funding from an undisclosed investor on June 23, 2017. The company will use the funds to accelerate the further growth and development of the company.</t>
        </is>
      </c>
      <c r="AW347" s="57" t="inlineStr">
        <is>
          <t/>
        </is>
      </c>
      <c r="AX347" s="58" t="inlineStr">
        <is>
          <t/>
        </is>
      </c>
      <c r="AY347" s="59" t="inlineStr">
        <is>
          <t/>
        </is>
      </c>
      <c r="AZ347" s="60" t="inlineStr">
        <is>
          <t/>
        </is>
      </c>
      <c r="BA347" s="61" t="inlineStr">
        <is>
          <t/>
        </is>
      </c>
      <c r="BB347" s="62" t="inlineStr">
        <is>
          <t/>
        </is>
      </c>
      <c r="BC347" s="63" t="inlineStr">
        <is>
          <t/>
        </is>
      </c>
      <c r="BD347" s="64" t="inlineStr">
        <is>
          <t/>
        </is>
      </c>
      <c r="BE347" s="65" t="inlineStr">
        <is>
          <t/>
        </is>
      </c>
      <c r="BF347" s="66" t="inlineStr">
        <is>
          <t/>
        </is>
      </c>
      <c r="BG347" s="67" t="n">
        <v>42909.0</v>
      </c>
      <c r="BH347" s="68" t="n">
        <v>24.5</v>
      </c>
      <c r="BI347" s="69" t="inlineStr">
        <is>
          <t>Actual</t>
        </is>
      </c>
      <c r="BJ347" s="70" t="inlineStr">
        <is>
          <t/>
        </is>
      </c>
      <c r="BK347" s="71" t="inlineStr">
        <is>
          <t/>
        </is>
      </c>
      <c r="BL347" s="72" t="inlineStr">
        <is>
          <t>Later Stage VC</t>
        </is>
      </c>
      <c r="BM347" s="73" t="inlineStr">
        <is>
          <t/>
        </is>
      </c>
      <c r="BN347" s="74" t="inlineStr">
        <is>
          <t/>
        </is>
      </c>
      <c r="BO347" s="75" t="inlineStr">
        <is>
          <t>Venture Capital</t>
        </is>
      </c>
      <c r="BP347" s="76" t="inlineStr">
        <is>
          <t/>
        </is>
      </c>
      <c r="BQ347" s="77" t="inlineStr">
        <is>
          <t/>
        </is>
      </c>
      <c r="BR347" s="78" t="inlineStr">
        <is>
          <t/>
        </is>
      </c>
      <c r="BS347" s="79" t="inlineStr">
        <is>
          <t>Completed</t>
        </is>
      </c>
      <c r="BT347" s="80" t="n">
        <v>42909.0</v>
      </c>
      <c r="BU347" s="81" t="n">
        <v>24.5</v>
      </c>
      <c r="BV347" s="82" t="inlineStr">
        <is>
          <t>Actual</t>
        </is>
      </c>
      <c r="BW347" s="83" t="inlineStr">
        <is>
          <t/>
        </is>
      </c>
      <c r="BX347" s="84" t="inlineStr">
        <is>
          <t/>
        </is>
      </c>
      <c r="BY347" s="85" t="inlineStr">
        <is>
          <t>Later Stage VC</t>
        </is>
      </c>
      <c r="BZ347" s="86" t="inlineStr">
        <is>
          <t/>
        </is>
      </c>
      <c r="CA347" s="87" t="inlineStr">
        <is>
          <t/>
        </is>
      </c>
      <c r="CB347" s="88" t="inlineStr">
        <is>
          <t>Venture Capital</t>
        </is>
      </c>
      <c r="CC347" s="89" t="inlineStr">
        <is>
          <t/>
        </is>
      </c>
      <c r="CD347" s="90" t="inlineStr">
        <is>
          <t/>
        </is>
      </c>
      <c r="CE347" s="91" t="inlineStr">
        <is>
          <t/>
        </is>
      </c>
      <c r="CF347" s="92" t="inlineStr">
        <is>
          <t>Completed</t>
        </is>
      </c>
      <c r="CG347" s="93" t="inlineStr">
        <is>
          <t>-1,24%</t>
        </is>
      </c>
      <c r="CH347" s="94" t="inlineStr">
        <is>
          <t>4</t>
        </is>
      </c>
      <c r="CI347" s="95" t="inlineStr">
        <is>
          <t>-4,43%</t>
        </is>
      </c>
      <c r="CJ347" s="96" t="inlineStr">
        <is>
          <t>-138,93%</t>
        </is>
      </c>
      <c r="CK347" s="97" t="inlineStr">
        <is>
          <t>-2,48%</t>
        </is>
      </c>
      <c r="CL347" s="98" t="inlineStr">
        <is>
          <t>4</t>
        </is>
      </c>
      <c r="CM347" s="99" t="inlineStr">
        <is>
          <t>0,00%</t>
        </is>
      </c>
      <c r="CN347" s="100" t="inlineStr">
        <is>
          <t>19</t>
        </is>
      </c>
      <c r="CO347" s="101" t="inlineStr">
        <is>
          <t>6,38%</t>
        </is>
      </c>
      <c r="CP347" s="102" t="inlineStr">
        <is>
          <t>98</t>
        </is>
      </c>
      <c r="CQ347" s="103" t="inlineStr">
        <is>
          <t>-11,35%</t>
        </is>
      </c>
      <c r="CR347" s="104" t="inlineStr">
        <is>
          <t>1</t>
        </is>
      </c>
      <c r="CS347" s="105" t="inlineStr">
        <is>
          <t/>
        </is>
      </c>
      <c r="CT347" s="106" t="inlineStr">
        <is>
          <t/>
        </is>
      </c>
      <c r="CU347" s="107" t="inlineStr">
        <is>
          <t>0,00%</t>
        </is>
      </c>
      <c r="CV347" s="108" t="inlineStr">
        <is>
          <t>20</t>
        </is>
      </c>
      <c r="CW347" s="109" t="inlineStr">
        <is>
          <t>1,25x</t>
        </is>
      </c>
      <c r="CX347" s="110" t="inlineStr">
        <is>
          <t>54</t>
        </is>
      </c>
      <c r="CY347" s="111" t="inlineStr">
        <is>
          <t>-0,52x</t>
        </is>
      </c>
      <c r="CZ347" s="112" t="inlineStr">
        <is>
          <t>-29,57%</t>
        </is>
      </c>
      <c r="DA347" s="113" t="inlineStr">
        <is>
          <t>2,27x</t>
        </is>
      </c>
      <c r="DB347" s="114" t="inlineStr">
        <is>
          <t>69</t>
        </is>
      </c>
      <c r="DC347" s="115" t="inlineStr">
        <is>
          <t>0,22x</t>
        </is>
      </c>
      <c r="DD347" s="116" t="inlineStr">
        <is>
          <t>23</t>
        </is>
      </c>
      <c r="DE347" s="117" t="inlineStr">
        <is>
          <t>3,33x</t>
        </is>
      </c>
      <c r="DF347" s="118" t="inlineStr">
        <is>
          <t>71</t>
        </is>
      </c>
      <c r="DG347" s="119" t="inlineStr">
        <is>
          <t>1,22x</t>
        </is>
      </c>
      <c r="DH347" s="120" t="inlineStr">
        <is>
          <t>54</t>
        </is>
      </c>
      <c r="DI347" s="121" t="inlineStr">
        <is>
          <t/>
        </is>
      </c>
      <c r="DJ347" s="122" t="inlineStr">
        <is>
          <t/>
        </is>
      </c>
      <c r="DK347" s="123" t="inlineStr">
        <is>
          <t>0,22x</t>
        </is>
      </c>
      <c r="DL347" s="124" t="inlineStr">
        <is>
          <t>27</t>
        </is>
      </c>
      <c r="DM347" s="125" t="inlineStr">
        <is>
          <t>2.058</t>
        </is>
      </c>
      <c r="DN347" s="126" t="inlineStr">
        <is>
          <t>-37</t>
        </is>
      </c>
      <c r="DO347" s="127" t="inlineStr">
        <is>
          <t>-1,77%</t>
        </is>
      </c>
      <c r="DP347" s="128" t="inlineStr">
        <is>
          <t/>
        </is>
      </c>
      <c r="DQ347" s="129" t="inlineStr">
        <is>
          <t/>
        </is>
      </c>
      <c r="DR347" s="130" t="inlineStr">
        <is>
          <t/>
        </is>
      </c>
      <c r="DS347" s="131" t="inlineStr">
        <is>
          <t>44</t>
        </is>
      </c>
      <c r="DT347" s="132" t="inlineStr">
        <is>
          <t>-26</t>
        </is>
      </c>
      <c r="DU347" s="133" t="inlineStr">
        <is>
          <t>-37,14%</t>
        </is>
      </c>
      <c r="DV347" s="134" t="inlineStr">
        <is>
          <t>76</t>
        </is>
      </c>
      <c r="DW347" s="135" t="inlineStr">
        <is>
          <t>0</t>
        </is>
      </c>
      <c r="DX347" s="136" t="inlineStr">
        <is>
          <t>0,00%</t>
        </is>
      </c>
      <c r="DY347" s="137" t="inlineStr">
        <is>
          <t>PitchBook Research</t>
        </is>
      </c>
      <c r="DZ347" s="785">
        <f>HYPERLINK("https://my.pitchbook.com?c=182832-31", "View company online")</f>
      </c>
    </row>
    <row r="348">
      <c r="A348" s="139" t="inlineStr">
        <is>
          <t>152414-38</t>
        </is>
      </c>
      <c r="B348" s="140" t="inlineStr">
        <is>
          <t>PayFit</t>
        </is>
      </c>
      <c r="C348" s="141" t="inlineStr">
        <is>
          <t/>
        </is>
      </c>
      <c r="D348" s="142" t="inlineStr">
        <is>
          <t/>
        </is>
      </c>
      <c r="E348" s="143" t="inlineStr">
        <is>
          <t>152414-38</t>
        </is>
      </c>
      <c r="F348" s="144" t="inlineStr">
        <is>
          <t>Developer of an employee payroll software designed to easily manage payroll and leave. The company's employee payroll software facilitates small businesses to manage their employee payrolls and pay slips, enabling them to get automated monthly payments to their bank accounts.</t>
        </is>
      </c>
      <c r="G348" s="145" t="inlineStr">
        <is>
          <t>Information Technology</t>
        </is>
      </c>
      <c r="H348" s="146" t="inlineStr">
        <is>
          <t>Software</t>
        </is>
      </c>
      <c r="I348" s="147" t="inlineStr">
        <is>
          <t>Business/Productivity Software</t>
        </is>
      </c>
      <c r="J348" s="148" t="inlineStr">
        <is>
          <t>Business/Productivity Software*; Automation/Workflow Software; Financial Software</t>
        </is>
      </c>
      <c r="K348" s="149" t="inlineStr">
        <is>
          <t>FinTech, SaaS</t>
        </is>
      </c>
      <c r="L348" s="150" t="inlineStr">
        <is>
          <t>Venture Capital-Backed</t>
        </is>
      </c>
      <c r="M348" s="151" t="n">
        <v>19.5</v>
      </c>
      <c r="N348" s="152" t="inlineStr">
        <is>
          <t>Generating Revenue</t>
        </is>
      </c>
      <c r="O348" s="153" t="inlineStr">
        <is>
          <t>Privately Held (backing)</t>
        </is>
      </c>
      <c r="P348" s="154" t="inlineStr">
        <is>
          <t>Venture Capital</t>
        </is>
      </c>
      <c r="Q348" s="155" t="inlineStr">
        <is>
          <t>www.payfit.com</t>
        </is>
      </c>
      <c r="R348" s="156" t="n">
        <v>40.0</v>
      </c>
      <c r="S348" s="157" t="inlineStr">
        <is>
          <t/>
        </is>
      </c>
      <c r="T348" s="158" t="inlineStr">
        <is>
          <t/>
        </is>
      </c>
      <c r="U348" s="159" t="n">
        <v>2015.0</v>
      </c>
      <c r="V348" s="160" t="inlineStr">
        <is>
          <t/>
        </is>
      </c>
      <c r="W348" s="161" t="inlineStr">
        <is>
          <t/>
        </is>
      </c>
      <c r="X348" s="162" t="inlineStr">
        <is>
          <t/>
        </is>
      </c>
      <c r="Y348" s="163" t="inlineStr">
        <is>
          <t/>
        </is>
      </c>
      <c r="Z348" s="164" t="inlineStr">
        <is>
          <t/>
        </is>
      </c>
      <c r="AA348" s="165" t="inlineStr">
        <is>
          <t/>
        </is>
      </c>
      <c r="AB348" s="166" t="inlineStr">
        <is>
          <t/>
        </is>
      </c>
      <c r="AC348" s="167" t="inlineStr">
        <is>
          <t/>
        </is>
      </c>
      <c r="AD348" s="168" t="inlineStr">
        <is>
          <t/>
        </is>
      </c>
      <c r="AE348" s="169" t="inlineStr">
        <is>
          <t>126135-46P</t>
        </is>
      </c>
      <c r="AF348" s="170" t="inlineStr">
        <is>
          <t>Firmin Zocchetto</t>
        </is>
      </c>
      <c r="AG348" s="171" t="inlineStr">
        <is>
          <t>Co-Founder &amp; Chief Executive Officer</t>
        </is>
      </c>
      <c r="AH348" s="172" t="inlineStr">
        <is>
          <t>firmin@payfit.com</t>
        </is>
      </c>
      <c r="AI348" s="173" t="inlineStr">
        <is>
          <t/>
        </is>
      </c>
      <c r="AJ348" s="174" t="inlineStr">
        <is>
          <t>Paris, France</t>
        </is>
      </c>
      <c r="AK348" s="175" t="inlineStr">
        <is>
          <t>45 avenue des ternes</t>
        </is>
      </c>
      <c r="AL348" s="176" t="inlineStr">
        <is>
          <t/>
        </is>
      </c>
      <c r="AM348" s="177" t="inlineStr">
        <is>
          <t>Paris</t>
        </is>
      </c>
      <c r="AN348" s="178" t="inlineStr">
        <is>
          <t/>
        </is>
      </c>
      <c r="AO348" s="179" t="inlineStr">
        <is>
          <t>75017</t>
        </is>
      </c>
      <c r="AP348" s="180" t="inlineStr">
        <is>
          <t>France</t>
        </is>
      </c>
      <c r="AQ348" s="181" t="inlineStr">
        <is>
          <t/>
        </is>
      </c>
      <c r="AR348" s="182" t="inlineStr">
        <is>
          <t/>
        </is>
      </c>
      <c r="AS348" s="183" t="inlineStr">
        <is>
          <t>ghislain@payfit.fr</t>
        </is>
      </c>
      <c r="AT348" s="184" t="inlineStr">
        <is>
          <t>Europe</t>
        </is>
      </c>
      <c r="AU348" s="185" t="inlineStr">
        <is>
          <t>Western Europe</t>
        </is>
      </c>
      <c r="AV348" s="186" t="inlineStr">
        <is>
          <t>The company raised EUR 14 million of Series B venture funding led by Accel on July 6, 2017. Otium Capital and Xavier Niel also participated. The funds will be used to continue to expand its suite of digital HR processes, kickstart its international expansion, with an initial focus on Europe, and double its workforce by 2018. Previously, the company raised EUR 5 million of Series A venture funding from lead investors Otium Venture and Xavier Niel on October 11, 2016. The Family, Geoffroy Roux Bézieux, Jean-Daniel Guyot and Oleg Tscheltzoff also participated.</t>
        </is>
      </c>
      <c r="AW348" s="187" t="inlineStr">
        <is>
          <t>Accel, Geoffroy Roux de Bézieux, Jean-Daniel Guyot, Kima Ventures, Oleg Tscheltzoff, Otium, TheFamily, Thibaud Elziere, Xavier Niel</t>
        </is>
      </c>
      <c r="AX348" s="188" t="n">
        <v>9.0</v>
      </c>
      <c r="AY348" s="189" t="inlineStr">
        <is>
          <t/>
        </is>
      </c>
      <c r="AZ348" s="190" t="inlineStr">
        <is>
          <t/>
        </is>
      </c>
      <c r="BA348" s="191" t="inlineStr">
        <is>
          <t/>
        </is>
      </c>
      <c r="BB348" s="192" t="inlineStr">
        <is>
          <t>Accel (www.accel.com), Kima Ventures (www.kimaventures.com), Otium (www.otium.fr), TheFamily (www.thefamily.co)</t>
        </is>
      </c>
      <c r="BC348" s="193" t="inlineStr">
        <is>
          <t/>
        </is>
      </c>
      <c r="BD348" s="194" t="inlineStr">
        <is>
          <t/>
        </is>
      </c>
      <c r="BE348" s="195" t="inlineStr">
        <is>
          <t>Orrick Herrington &amp; Sutcliffe (Legal Advisor)</t>
        </is>
      </c>
      <c r="BF348" s="196" t="inlineStr">
        <is>
          <t>Orrick Herrington &amp; Sutcliffe (Legal Advisor)</t>
        </is>
      </c>
      <c r="BG348" s="197" t="n">
        <v>42290.0</v>
      </c>
      <c r="BH348" s="198" t="n">
        <v>0.5</v>
      </c>
      <c r="BI348" s="199" t="inlineStr">
        <is>
          <t>Actual</t>
        </is>
      </c>
      <c r="BJ348" s="200" t="inlineStr">
        <is>
          <t/>
        </is>
      </c>
      <c r="BK348" s="201" t="inlineStr">
        <is>
          <t/>
        </is>
      </c>
      <c r="BL348" s="202" t="inlineStr">
        <is>
          <t>Early Stage VC</t>
        </is>
      </c>
      <c r="BM348" s="203" t="inlineStr">
        <is>
          <t/>
        </is>
      </c>
      <c r="BN348" s="204" t="inlineStr">
        <is>
          <t/>
        </is>
      </c>
      <c r="BO348" s="205" t="inlineStr">
        <is>
          <t>Venture Capital</t>
        </is>
      </c>
      <c r="BP348" s="206" t="inlineStr">
        <is>
          <t/>
        </is>
      </c>
      <c r="BQ348" s="207" t="inlineStr">
        <is>
          <t/>
        </is>
      </c>
      <c r="BR348" s="208" t="inlineStr">
        <is>
          <t/>
        </is>
      </c>
      <c r="BS348" s="209" t="inlineStr">
        <is>
          <t>Completed</t>
        </is>
      </c>
      <c r="BT348" s="210" t="n">
        <v>42922.0</v>
      </c>
      <c r="BU348" s="211" t="n">
        <v>14.0</v>
      </c>
      <c r="BV348" s="212" t="inlineStr">
        <is>
          <t>Actual</t>
        </is>
      </c>
      <c r="BW348" s="213" t="inlineStr">
        <is>
          <t/>
        </is>
      </c>
      <c r="BX348" s="214" t="inlineStr">
        <is>
          <t/>
        </is>
      </c>
      <c r="BY348" s="215" t="inlineStr">
        <is>
          <t>Early Stage VC</t>
        </is>
      </c>
      <c r="BZ348" s="216" t="inlineStr">
        <is>
          <t>Series B</t>
        </is>
      </c>
      <c r="CA348" s="217" t="inlineStr">
        <is>
          <t/>
        </is>
      </c>
      <c r="CB348" s="218" t="inlineStr">
        <is>
          <t>Venture Capital</t>
        </is>
      </c>
      <c r="CC348" s="219" t="inlineStr">
        <is>
          <t/>
        </is>
      </c>
      <c r="CD348" s="220" t="inlineStr">
        <is>
          <t/>
        </is>
      </c>
      <c r="CE348" s="221" t="inlineStr">
        <is>
          <t/>
        </is>
      </c>
      <c r="CF348" s="222" t="inlineStr">
        <is>
          <t>Completed</t>
        </is>
      </c>
      <c r="CG348" s="223" t="inlineStr">
        <is>
          <t>0,37%</t>
        </is>
      </c>
      <c r="CH348" s="224" t="inlineStr">
        <is>
          <t>82</t>
        </is>
      </c>
      <c r="CI348" s="225" t="inlineStr">
        <is>
          <t>-0,31%</t>
        </is>
      </c>
      <c r="CJ348" s="226" t="inlineStr">
        <is>
          <t>-45,72%</t>
        </is>
      </c>
      <c r="CK348" s="227" t="inlineStr">
        <is>
          <t>0,00%</t>
        </is>
      </c>
      <c r="CL348" s="228" t="inlineStr">
        <is>
          <t>18</t>
        </is>
      </c>
      <c r="CM348" s="229" t="inlineStr">
        <is>
          <t>0,74%</t>
        </is>
      </c>
      <c r="CN348" s="230" t="inlineStr">
        <is>
          <t>94</t>
        </is>
      </c>
      <c r="CO348" s="231" t="inlineStr">
        <is>
          <t>0,00%</t>
        </is>
      </c>
      <c r="CP348" s="232" t="inlineStr">
        <is>
          <t>26</t>
        </is>
      </c>
      <c r="CQ348" s="233" t="inlineStr">
        <is>
          <t>0,00%</t>
        </is>
      </c>
      <c r="CR348" s="234" t="inlineStr">
        <is>
          <t>13</t>
        </is>
      </c>
      <c r="CS348" s="235" t="inlineStr">
        <is>
          <t>1,12%</t>
        </is>
      </c>
      <c r="CT348" s="236" t="inlineStr">
        <is>
          <t>95</t>
        </is>
      </c>
      <c r="CU348" s="237" t="inlineStr">
        <is>
          <t>0,35%</t>
        </is>
      </c>
      <c r="CV348" s="238" t="inlineStr">
        <is>
          <t>87</t>
        </is>
      </c>
      <c r="CW348" s="239" t="inlineStr">
        <is>
          <t>1,76x</t>
        </is>
      </c>
      <c r="CX348" s="240" t="inlineStr">
        <is>
          <t>62</t>
        </is>
      </c>
      <c r="CY348" s="241" t="inlineStr">
        <is>
          <t>0,66x</t>
        </is>
      </c>
      <c r="CZ348" s="242" t="inlineStr">
        <is>
          <t>59,97%</t>
        </is>
      </c>
      <c r="DA348" s="243" t="inlineStr">
        <is>
          <t>0,02x</t>
        </is>
      </c>
      <c r="DB348" s="244" t="inlineStr">
        <is>
          <t>1</t>
        </is>
      </c>
      <c r="DC348" s="245" t="inlineStr">
        <is>
          <t>3,50x</t>
        </is>
      </c>
      <c r="DD348" s="246" t="inlineStr">
        <is>
          <t>71</t>
        </is>
      </c>
      <c r="DE348" s="247" t="inlineStr">
        <is>
          <t>0,00x</t>
        </is>
      </c>
      <c r="DF348" s="248" t="inlineStr">
        <is>
          <t>1</t>
        </is>
      </c>
      <c r="DG348" s="249" t="inlineStr">
        <is>
          <t>0,03x</t>
        </is>
      </c>
      <c r="DH348" s="250" t="inlineStr">
        <is>
          <t>1</t>
        </is>
      </c>
      <c r="DI348" s="251" t="inlineStr">
        <is>
          <t>2,27x</t>
        </is>
      </c>
      <c r="DJ348" s="252" t="inlineStr">
        <is>
          <t>64</t>
        </is>
      </c>
      <c r="DK348" s="253" t="inlineStr">
        <is>
          <t>4,73x</t>
        </is>
      </c>
      <c r="DL348" s="254" t="inlineStr">
        <is>
          <t>77</t>
        </is>
      </c>
      <c r="DM348" s="255" t="inlineStr">
        <is>
          <t>0</t>
        </is>
      </c>
      <c r="DN348" s="256" t="inlineStr">
        <is>
          <t>0</t>
        </is>
      </c>
      <c r="DO348" s="257" t="inlineStr">
        <is>
          <t>0,00%</t>
        </is>
      </c>
      <c r="DP348" s="258" t="inlineStr">
        <is>
          <t>1.803</t>
        </is>
      </c>
      <c r="DQ348" s="259" t="inlineStr">
        <is>
          <t>22</t>
        </is>
      </c>
      <c r="DR348" s="260" t="inlineStr">
        <is>
          <t>1,24%</t>
        </is>
      </c>
      <c r="DS348" s="261" t="inlineStr">
        <is>
          <t>1</t>
        </is>
      </c>
      <c r="DT348" s="262" t="inlineStr">
        <is>
          <t>0</t>
        </is>
      </c>
      <c r="DU348" s="263" t="inlineStr">
        <is>
          <t>0,00%</t>
        </is>
      </c>
      <c r="DV348" s="264" t="inlineStr">
        <is>
          <t>1.620</t>
        </is>
      </c>
      <c r="DW348" s="265" t="inlineStr">
        <is>
          <t>2</t>
        </is>
      </c>
      <c r="DX348" s="266" t="inlineStr">
        <is>
          <t>0,12%</t>
        </is>
      </c>
      <c r="DY348" s="267" t="inlineStr">
        <is>
          <t>PitchBook Research</t>
        </is>
      </c>
      <c r="DZ348" s="786">
        <f>HYPERLINK("https://my.pitchbook.com?c=152414-38", "View company online")</f>
      </c>
    </row>
    <row r="349">
      <c r="A349" s="9" t="inlineStr">
        <is>
          <t>152334-01</t>
        </is>
      </c>
      <c r="B349" s="10" t="inlineStr">
        <is>
          <t>Peakon</t>
        </is>
      </c>
      <c r="C349" s="11" t="inlineStr">
        <is>
          <t/>
        </is>
      </c>
      <c r="D349" s="12" t="inlineStr">
        <is>
          <t/>
        </is>
      </c>
      <c r="E349" s="13" t="inlineStr">
        <is>
          <t>152334-01</t>
        </is>
      </c>
      <c r="F349" s="14" t="inlineStr">
        <is>
          <t>Developer of a SaaS-based people analytics platform designed to make better people decisions. The company's Peakon platform generates insights through the automated collection of employee feedback via web and mobile apps, which is then analyzed using machine learning techniques, enabling businesses to maximise their engagement, retention and productivity.</t>
        </is>
      </c>
      <c r="G349" s="15" t="inlineStr">
        <is>
          <t>Information Technology</t>
        </is>
      </c>
      <c r="H349" s="16" t="inlineStr">
        <is>
          <t>Software</t>
        </is>
      </c>
      <c r="I349" s="17" t="inlineStr">
        <is>
          <t>Application Software</t>
        </is>
      </c>
      <c r="J349" s="18" t="inlineStr">
        <is>
          <t>Application Software*; Media and Information Services (B2B)</t>
        </is>
      </c>
      <c r="K349" s="19" t="inlineStr">
        <is>
          <t>Artificial Intelligence &amp; Machine Learning, Mobile, SaaS</t>
        </is>
      </c>
      <c r="L349" s="20" t="inlineStr">
        <is>
          <t>Venture Capital-Backed</t>
        </is>
      </c>
      <c r="M349" s="21" t="n">
        <v>11.02</v>
      </c>
      <c r="N349" s="22" t="inlineStr">
        <is>
          <t>Generating Revenue</t>
        </is>
      </c>
      <c r="O349" s="23" t="inlineStr">
        <is>
          <t>Privately Held (backing)</t>
        </is>
      </c>
      <c r="P349" s="24" t="inlineStr">
        <is>
          <t>Venture Capital</t>
        </is>
      </c>
      <c r="Q349" s="25" t="inlineStr">
        <is>
          <t>www.peakon.com</t>
        </is>
      </c>
      <c r="R349" s="26" t="n">
        <v>13.0</v>
      </c>
      <c r="S349" s="27" t="inlineStr">
        <is>
          <t/>
        </is>
      </c>
      <c r="T349" s="28" t="inlineStr">
        <is>
          <t/>
        </is>
      </c>
      <c r="U349" s="29" t="n">
        <v>2015.0</v>
      </c>
      <c r="V349" s="30" t="inlineStr">
        <is>
          <t/>
        </is>
      </c>
      <c r="W349" s="31" t="inlineStr">
        <is>
          <t/>
        </is>
      </c>
      <c r="X349" s="32" t="inlineStr">
        <is>
          <t/>
        </is>
      </c>
      <c r="Y349" s="33" t="inlineStr">
        <is>
          <t/>
        </is>
      </c>
      <c r="Z349" s="34" t="n">
        <v>-0.16537</v>
      </c>
      <c r="AA349" s="35" t="n">
        <v>-0.49611</v>
      </c>
      <c r="AB349" s="36" t="inlineStr">
        <is>
          <t/>
        </is>
      </c>
      <c r="AC349" s="37" t="n">
        <v>-0.60636</v>
      </c>
      <c r="AD349" s="38" t="inlineStr">
        <is>
          <t>FY 2015</t>
        </is>
      </c>
      <c r="AE349" s="39" t="inlineStr">
        <is>
          <t>126316-81P</t>
        </is>
      </c>
      <c r="AF349" s="40" t="inlineStr">
        <is>
          <t>Christian Holm</t>
        </is>
      </c>
      <c r="AG349" s="41" t="inlineStr">
        <is>
          <t>Co-Founder</t>
        </is>
      </c>
      <c r="AH349" s="42" t="inlineStr">
        <is>
          <t>christian@peakon.com</t>
        </is>
      </c>
      <c r="AI349" s="43" t="inlineStr">
        <is>
          <t/>
        </is>
      </c>
      <c r="AJ349" s="44" t="inlineStr">
        <is>
          <t>Copenhagen, Denmark</t>
        </is>
      </c>
      <c r="AK349" s="45" t="inlineStr">
        <is>
          <t>Otto Busses Vej 5A</t>
        </is>
      </c>
      <c r="AL349" s="46" t="inlineStr">
        <is>
          <t>OBV 026</t>
        </is>
      </c>
      <c r="AM349" s="47" t="inlineStr">
        <is>
          <t>Copenhagen</t>
        </is>
      </c>
      <c r="AN349" s="48" t="inlineStr">
        <is>
          <t/>
        </is>
      </c>
      <c r="AO349" s="49" t="inlineStr">
        <is>
          <t>2450</t>
        </is>
      </c>
      <c r="AP349" s="50" t="inlineStr">
        <is>
          <t>Denmark</t>
        </is>
      </c>
      <c r="AQ349" s="51" t="inlineStr">
        <is>
          <t/>
        </is>
      </c>
      <c r="AR349" s="52" t="inlineStr">
        <is>
          <t/>
        </is>
      </c>
      <c r="AS349" s="53" t="inlineStr">
        <is>
          <t>mail@peakon.com</t>
        </is>
      </c>
      <c r="AT349" s="54" t="inlineStr">
        <is>
          <t>Europe</t>
        </is>
      </c>
      <c r="AU349" s="55" t="inlineStr">
        <is>
          <t>Northern Europe</t>
        </is>
      </c>
      <c r="AV349" s="56" t="inlineStr">
        <is>
          <t>The company raised EUR 6.1 million of venture funding in a round led by EQT Ventures on March 27, 2017. Sunstone Capital, IDInvest Partners and Tommy Ahlers also participated in this round. The company will use the proceeds to triple its staff to 100 over the next year as well as invest in further developing its platform.</t>
        </is>
      </c>
      <c r="AW349" s="57" t="inlineStr">
        <is>
          <t>Alexander Aghassipour, Doug Monro, EQT Ventures, IdInvest Partners, Morten Primdahl, Sunstone Capital, Tommy Ahlers</t>
        </is>
      </c>
      <c r="AX349" s="58" t="n">
        <v>7.0</v>
      </c>
      <c r="AY349" s="59" t="inlineStr">
        <is>
          <t/>
        </is>
      </c>
      <c r="AZ349" s="60" t="inlineStr">
        <is>
          <t/>
        </is>
      </c>
      <c r="BA349" s="61" t="inlineStr">
        <is>
          <t/>
        </is>
      </c>
      <c r="BB349" s="62" t="inlineStr">
        <is>
          <t>EQT Ventures (www.eqtventures.com), IdInvest Partners (www.idinvest.com), Sunstone Capital (www.sunstone.eu)</t>
        </is>
      </c>
      <c r="BC349" s="63" t="inlineStr">
        <is>
          <t/>
        </is>
      </c>
      <c r="BD349" s="64" t="inlineStr">
        <is>
          <t/>
        </is>
      </c>
      <c r="BE349" s="65" t="inlineStr">
        <is>
          <t>Grant Thornton (Auditor)</t>
        </is>
      </c>
      <c r="BF349" s="66" t="inlineStr">
        <is>
          <t/>
        </is>
      </c>
      <c r="BG349" s="67" t="n">
        <v>42064.0</v>
      </c>
      <c r="BH349" s="68" t="n">
        <v>0.92</v>
      </c>
      <c r="BI349" s="69" t="inlineStr">
        <is>
          <t>Actual</t>
        </is>
      </c>
      <c r="BJ349" s="70" t="inlineStr">
        <is>
          <t/>
        </is>
      </c>
      <c r="BK349" s="71" t="inlineStr">
        <is>
          <t/>
        </is>
      </c>
      <c r="BL349" s="72" t="inlineStr">
        <is>
          <t>Seed Round</t>
        </is>
      </c>
      <c r="BM349" s="73" t="inlineStr">
        <is>
          <t>Seed</t>
        </is>
      </c>
      <c r="BN349" s="74" t="inlineStr">
        <is>
          <t/>
        </is>
      </c>
      <c r="BO349" s="75" t="inlineStr">
        <is>
          <t>Venture Capital</t>
        </is>
      </c>
      <c r="BP349" s="76" t="inlineStr">
        <is>
          <t/>
        </is>
      </c>
      <c r="BQ349" s="77" t="inlineStr">
        <is>
          <t/>
        </is>
      </c>
      <c r="BR349" s="78" t="inlineStr">
        <is>
          <t/>
        </is>
      </c>
      <c r="BS349" s="79" t="inlineStr">
        <is>
          <t>Completed</t>
        </is>
      </c>
      <c r="BT349" s="80" t="n">
        <v>42821.0</v>
      </c>
      <c r="BU349" s="81" t="n">
        <v>6.1</v>
      </c>
      <c r="BV349" s="82" t="inlineStr">
        <is>
          <t>Actual</t>
        </is>
      </c>
      <c r="BW349" s="83" t="inlineStr">
        <is>
          <t/>
        </is>
      </c>
      <c r="BX349" s="84" t="inlineStr">
        <is>
          <t/>
        </is>
      </c>
      <c r="BY349" s="85" t="inlineStr">
        <is>
          <t>Early Stage VC</t>
        </is>
      </c>
      <c r="BZ349" s="86" t="inlineStr">
        <is>
          <t/>
        </is>
      </c>
      <c r="CA349" s="87" t="inlineStr">
        <is>
          <t/>
        </is>
      </c>
      <c r="CB349" s="88" t="inlineStr">
        <is>
          <t>Venture Capital</t>
        </is>
      </c>
      <c r="CC349" s="89" t="inlineStr">
        <is>
          <t/>
        </is>
      </c>
      <c r="CD349" s="90" t="inlineStr">
        <is>
          <t/>
        </is>
      </c>
      <c r="CE349" s="91" t="inlineStr">
        <is>
          <t/>
        </is>
      </c>
      <c r="CF349" s="92" t="inlineStr">
        <is>
          <t>Completed</t>
        </is>
      </c>
      <c r="CG349" s="93" t="inlineStr">
        <is>
          <t>-0,60%</t>
        </is>
      </c>
      <c r="CH349" s="94" t="inlineStr">
        <is>
          <t>8</t>
        </is>
      </c>
      <c r="CI349" s="95" t="inlineStr">
        <is>
          <t>-0,07%</t>
        </is>
      </c>
      <c r="CJ349" s="96" t="inlineStr">
        <is>
          <t>-14,25%</t>
        </is>
      </c>
      <c r="CK349" s="97" t="inlineStr">
        <is>
          <t>-3,71%</t>
        </is>
      </c>
      <c r="CL349" s="98" t="inlineStr">
        <is>
          <t>2</t>
        </is>
      </c>
      <c r="CM349" s="99" t="inlineStr">
        <is>
          <t>2,51%</t>
        </is>
      </c>
      <c r="CN349" s="100" t="inlineStr">
        <is>
          <t>99</t>
        </is>
      </c>
      <c r="CO349" s="101" t="inlineStr">
        <is>
          <t>-7,42%</t>
        </is>
      </c>
      <c r="CP349" s="102" t="inlineStr">
        <is>
          <t>3</t>
        </is>
      </c>
      <c r="CQ349" s="103" t="inlineStr">
        <is>
          <t>0,00%</t>
        </is>
      </c>
      <c r="CR349" s="104" t="inlineStr">
        <is>
          <t>13</t>
        </is>
      </c>
      <c r="CS349" s="105" t="inlineStr">
        <is>
          <t>3,68%</t>
        </is>
      </c>
      <c r="CT349" s="106" t="inlineStr">
        <is>
          <t>99</t>
        </is>
      </c>
      <c r="CU349" s="107" t="inlineStr">
        <is>
          <t>1,34%</t>
        </is>
      </c>
      <c r="CV349" s="108" t="inlineStr">
        <is>
          <t>98</t>
        </is>
      </c>
      <c r="CW349" s="109" t="inlineStr">
        <is>
          <t>8,30x</t>
        </is>
      </c>
      <c r="CX349" s="110" t="inlineStr">
        <is>
          <t>85</t>
        </is>
      </c>
      <c r="CY349" s="111" t="inlineStr">
        <is>
          <t>0,21x</t>
        </is>
      </c>
      <c r="CZ349" s="112" t="inlineStr">
        <is>
          <t>2,56%</t>
        </is>
      </c>
      <c r="DA349" s="113" t="inlineStr">
        <is>
          <t>5,44x</t>
        </is>
      </c>
      <c r="DB349" s="114" t="inlineStr">
        <is>
          <t>81</t>
        </is>
      </c>
      <c r="DC349" s="115" t="inlineStr">
        <is>
          <t>11,15x</t>
        </is>
      </c>
      <c r="DD349" s="116" t="inlineStr">
        <is>
          <t>85</t>
        </is>
      </c>
      <c r="DE349" s="117" t="inlineStr">
        <is>
          <t>10,04x</t>
        </is>
      </c>
      <c r="DF349" s="118" t="inlineStr">
        <is>
          <t>83</t>
        </is>
      </c>
      <c r="DG349" s="119" t="inlineStr">
        <is>
          <t>0,83x</t>
        </is>
      </c>
      <c r="DH349" s="120" t="inlineStr">
        <is>
          <t>46</t>
        </is>
      </c>
      <c r="DI349" s="121" t="inlineStr">
        <is>
          <t>4,44x</t>
        </is>
      </c>
      <c r="DJ349" s="122" t="inlineStr">
        <is>
          <t>73</t>
        </is>
      </c>
      <c r="DK349" s="123" t="inlineStr">
        <is>
          <t>17,86x</t>
        </is>
      </c>
      <c r="DL349" s="124" t="inlineStr">
        <is>
          <t>91</t>
        </is>
      </c>
      <c r="DM349" s="125" t="inlineStr">
        <is>
          <t>6.311</t>
        </is>
      </c>
      <c r="DN349" s="126" t="inlineStr">
        <is>
          <t>-402</t>
        </is>
      </c>
      <c r="DO349" s="127" t="inlineStr">
        <is>
          <t>-5,99%</t>
        </is>
      </c>
      <c r="DP349" s="128" t="inlineStr">
        <is>
          <t>3.508</t>
        </is>
      </c>
      <c r="DQ349" s="129" t="inlineStr">
        <is>
          <t>110</t>
        </is>
      </c>
      <c r="DR349" s="130" t="inlineStr">
        <is>
          <t>3,24%</t>
        </is>
      </c>
      <c r="DS349" s="131" t="inlineStr">
        <is>
          <t>30</t>
        </is>
      </c>
      <c r="DT349" s="132" t="inlineStr">
        <is>
          <t>-2</t>
        </is>
      </c>
      <c r="DU349" s="133" t="inlineStr">
        <is>
          <t>-6,25%</t>
        </is>
      </c>
      <c r="DV349" s="134" t="inlineStr">
        <is>
          <t>6.074</t>
        </is>
      </c>
      <c r="DW349" s="135" t="inlineStr">
        <is>
          <t>74</t>
        </is>
      </c>
      <c r="DX349" s="136" t="inlineStr">
        <is>
          <t>1,23%</t>
        </is>
      </c>
      <c r="DY349" s="137" t="inlineStr">
        <is>
          <t>PitchBook Research</t>
        </is>
      </c>
      <c r="DZ349" s="785">
        <f>HYPERLINK("https://my.pitchbook.com?c=152334-01", "View company online")</f>
      </c>
    </row>
    <row r="350">
      <c r="A350" s="139" t="inlineStr">
        <is>
          <t>162649-72</t>
        </is>
      </c>
      <c r="B350" s="140" t="inlineStr">
        <is>
          <t>Personio</t>
        </is>
      </c>
      <c r="C350" s="141" t="inlineStr">
        <is>
          <t/>
        </is>
      </c>
      <c r="D350" s="142" t="inlineStr">
        <is>
          <t/>
        </is>
      </c>
      <c r="E350" s="143" t="inlineStr">
        <is>
          <t>162649-72</t>
        </is>
      </c>
      <c r="F350" s="144" t="inlineStr">
        <is>
          <t>Developer of a HR management and recruiting platform designed to foster the digitization of human resources departments in small and medium-sized enterprises. The company's HR management and recruiting platform offers a full applicant tracking system, digital employee file, document and contract management, attendance tracking, absence management services, salary management and payroll and performance management services, enabling HR-managers to reduce administrative workload and work on value-adding topics in an open-minded but down to earth atmosphere.</t>
        </is>
      </c>
      <c r="G350" s="145" t="inlineStr">
        <is>
          <t>Business Products and Services (B2B)</t>
        </is>
      </c>
      <c r="H350" s="146" t="inlineStr">
        <is>
          <t>Commercial Services</t>
        </is>
      </c>
      <c r="I350" s="147" t="inlineStr">
        <is>
          <t>Consulting Services (B2B)</t>
        </is>
      </c>
      <c r="J350" s="148" t="inlineStr">
        <is>
          <t>Consulting Services (B2B)*; Human Capital Services; Information Services (B2C)</t>
        </is>
      </c>
      <c r="K350" s="149" t="inlineStr">
        <is>
          <t>SaaS</t>
        </is>
      </c>
      <c r="L350" s="150" t="inlineStr">
        <is>
          <t>Venture Capital-Backed</t>
        </is>
      </c>
      <c r="M350" s="151" t="n">
        <v>12.6</v>
      </c>
      <c r="N350" s="152" t="inlineStr">
        <is>
          <t>Generating Revenue</t>
        </is>
      </c>
      <c r="O350" s="153" t="inlineStr">
        <is>
          <t>Privately Held (backing)</t>
        </is>
      </c>
      <c r="P350" s="154" t="inlineStr">
        <is>
          <t>Venture Capital</t>
        </is>
      </c>
      <c r="Q350" s="155" t="inlineStr">
        <is>
          <t>www.personio.de</t>
        </is>
      </c>
      <c r="R350" s="156" t="n">
        <v>51.0</v>
      </c>
      <c r="S350" s="157" t="inlineStr">
        <is>
          <t/>
        </is>
      </c>
      <c r="T350" s="158" t="inlineStr">
        <is>
          <t/>
        </is>
      </c>
      <c r="U350" s="159" t="n">
        <v>2015.0</v>
      </c>
      <c r="V350" s="160" t="inlineStr">
        <is>
          <t/>
        </is>
      </c>
      <c r="W350" s="161" t="inlineStr">
        <is>
          <t/>
        </is>
      </c>
      <c r="X350" s="162" t="inlineStr">
        <is>
          <t/>
        </is>
      </c>
      <c r="Y350" s="163" t="inlineStr">
        <is>
          <t/>
        </is>
      </c>
      <c r="Z350" s="164" t="inlineStr">
        <is>
          <t/>
        </is>
      </c>
      <c r="AA350" s="165" t="inlineStr">
        <is>
          <t/>
        </is>
      </c>
      <c r="AB350" s="166" t="inlineStr">
        <is>
          <t/>
        </is>
      </c>
      <c r="AC350" s="167" t="inlineStr">
        <is>
          <t/>
        </is>
      </c>
      <c r="AD350" s="168" t="inlineStr">
        <is>
          <t/>
        </is>
      </c>
      <c r="AE350" s="169" t="inlineStr">
        <is>
          <t>140205-43P</t>
        </is>
      </c>
      <c r="AF350" s="170" t="inlineStr">
        <is>
          <t>Hanno Renner</t>
        </is>
      </c>
      <c r="AG350" s="171" t="inlineStr">
        <is>
          <t>Co-Founder, Chief Executive Officer and Managing Director</t>
        </is>
      </c>
      <c r="AH350" s="172" t="inlineStr">
        <is>
          <t>hanno.renner@personio.de</t>
        </is>
      </c>
      <c r="AI350" s="173" t="inlineStr">
        <is>
          <t>+49 (0)89 1250 1005</t>
        </is>
      </c>
      <c r="AJ350" s="174" t="inlineStr">
        <is>
          <t>Munich, Germany</t>
        </is>
      </c>
      <c r="AK350" s="175" t="inlineStr">
        <is>
          <t>Buttermelcherstr. 16</t>
        </is>
      </c>
      <c r="AL350" s="176" t="inlineStr">
        <is>
          <t/>
        </is>
      </c>
      <c r="AM350" s="177" t="inlineStr">
        <is>
          <t>Munich</t>
        </is>
      </c>
      <c r="AN350" s="178" t="inlineStr">
        <is>
          <t/>
        </is>
      </c>
      <c r="AO350" s="179" t="inlineStr">
        <is>
          <t>80469</t>
        </is>
      </c>
      <c r="AP350" s="180" t="inlineStr">
        <is>
          <t>Germany</t>
        </is>
      </c>
      <c r="AQ350" s="181" t="inlineStr">
        <is>
          <t>+49 (0)89 1250 1005</t>
        </is>
      </c>
      <c r="AR350" s="182" t="inlineStr">
        <is>
          <t/>
        </is>
      </c>
      <c r="AS350" s="183" t="inlineStr">
        <is>
          <t>info@personio.de</t>
        </is>
      </c>
      <c r="AT350" s="184" t="inlineStr">
        <is>
          <t>Europe</t>
        </is>
      </c>
      <c r="AU350" s="185" t="inlineStr">
        <is>
          <t>Western Europe</t>
        </is>
      </c>
      <c r="AV350" s="186" t="inlineStr">
        <is>
          <t>The company raised EUR 10.5 million of Series A venture funding in a deal lead by Northzone Ventures on August 3, 2017. Picus Capital and Global Founders Capital also participated in this round. The company plans to use the funding to further develop its Software-as-a-Service and become a leader in the HR software space for small and medium-sized (SME) companies and expand in Europe.</t>
        </is>
      </c>
      <c r="AW350" s="187" t="inlineStr">
        <is>
          <t>Global Founders Capital, Northzone Ventures, Picus Capital</t>
        </is>
      </c>
      <c r="AX350" s="188" t="n">
        <v>3.0</v>
      </c>
      <c r="AY350" s="189" t="inlineStr">
        <is>
          <t/>
        </is>
      </c>
      <c r="AZ350" s="190" t="inlineStr">
        <is>
          <t/>
        </is>
      </c>
      <c r="BA350" s="191" t="inlineStr">
        <is>
          <t/>
        </is>
      </c>
      <c r="BB350" s="192" t="inlineStr">
        <is>
          <t>Global Founders Capital (www.globalfounders.vc), Northzone Ventures (www.northzone.com), Picus Capital (www.picus-cap.com)</t>
        </is>
      </c>
      <c r="BC350" s="193" t="inlineStr">
        <is>
          <t/>
        </is>
      </c>
      <c r="BD350" s="194" t="inlineStr">
        <is>
          <t/>
        </is>
      </c>
      <c r="BE350" s="195" t="inlineStr">
        <is>
          <t/>
        </is>
      </c>
      <c r="BF350" s="196" t="inlineStr">
        <is>
          <t/>
        </is>
      </c>
      <c r="BG350" s="197" t="n">
        <v>42565.0</v>
      </c>
      <c r="BH350" s="198" t="n">
        <v>2.1</v>
      </c>
      <c r="BI350" s="199" t="inlineStr">
        <is>
          <t>Actual</t>
        </is>
      </c>
      <c r="BJ350" s="200" t="inlineStr">
        <is>
          <t/>
        </is>
      </c>
      <c r="BK350" s="201" t="inlineStr">
        <is>
          <t/>
        </is>
      </c>
      <c r="BL350" s="202" t="inlineStr">
        <is>
          <t>Seed Round</t>
        </is>
      </c>
      <c r="BM350" s="203" t="inlineStr">
        <is>
          <t>Seed</t>
        </is>
      </c>
      <c r="BN350" s="204" t="inlineStr">
        <is>
          <t/>
        </is>
      </c>
      <c r="BO350" s="205" t="inlineStr">
        <is>
          <t>Venture Capital</t>
        </is>
      </c>
      <c r="BP350" s="206" t="inlineStr">
        <is>
          <t/>
        </is>
      </c>
      <c r="BQ350" s="207" t="inlineStr">
        <is>
          <t/>
        </is>
      </c>
      <c r="BR350" s="208" t="inlineStr">
        <is>
          <t/>
        </is>
      </c>
      <c r="BS350" s="209" t="inlineStr">
        <is>
          <t>Completed</t>
        </is>
      </c>
      <c r="BT350" s="210" t="n">
        <v>42950.0</v>
      </c>
      <c r="BU350" s="211" t="n">
        <v>10.5</v>
      </c>
      <c r="BV350" s="212" t="inlineStr">
        <is>
          <t>Actual</t>
        </is>
      </c>
      <c r="BW350" s="213" t="inlineStr">
        <is>
          <t/>
        </is>
      </c>
      <c r="BX350" s="214" t="inlineStr">
        <is>
          <t/>
        </is>
      </c>
      <c r="BY350" s="215" t="inlineStr">
        <is>
          <t>Early Stage VC</t>
        </is>
      </c>
      <c r="BZ350" s="216" t="inlineStr">
        <is>
          <t>Series A</t>
        </is>
      </c>
      <c r="CA350" s="217" t="inlineStr">
        <is>
          <t/>
        </is>
      </c>
      <c r="CB350" s="218" t="inlineStr">
        <is>
          <t>Venture Capital</t>
        </is>
      </c>
      <c r="CC350" s="219" t="inlineStr">
        <is>
          <t/>
        </is>
      </c>
      <c r="CD350" s="220" t="inlineStr">
        <is>
          <t/>
        </is>
      </c>
      <c r="CE350" s="221" t="inlineStr">
        <is>
          <t/>
        </is>
      </c>
      <c r="CF350" s="222" t="inlineStr">
        <is>
          <t>Completed</t>
        </is>
      </c>
      <c r="CG350" s="223" t="inlineStr">
        <is>
          <t>3,99%</t>
        </is>
      </c>
      <c r="CH350" s="224" t="inlineStr">
        <is>
          <t>97</t>
        </is>
      </c>
      <c r="CI350" s="225" t="inlineStr">
        <is>
          <t>-2,53%</t>
        </is>
      </c>
      <c r="CJ350" s="226" t="inlineStr">
        <is>
          <t>-38,82%</t>
        </is>
      </c>
      <c r="CK350" s="227" t="inlineStr">
        <is>
          <t>6,31%</t>
        </is>
      </c>
      <c r="CL350" s="228" t="inlineStr">
        <is>
          <t>97</t>
        </is>
      </c>
      <c r="CM350" s="229" t="inlineStr">
        <is>
          <t>1,67%</t>
        </is>
      </c>
      <c r="CN350" s="230" t="inlineStr">
        <is>
          <t>98</t>
        </is>
      </c>
      <c r="CO350" s="231" t="inlineStr">
        <is>
          <t>5,67%</t>
        </is>
      </c>
      <c r="CP350" s="232" t="inlineStr">
        <is>
          <t>97</t>
        </is>
      </c>
      <c r="CQ350" s="233" t="inlineStr">
        <is>
          <t>6,95%</t>
        </is>
      </c>
      <c r="CR350" s="234" t="inlineStr">
        <is>
          <t>96</t>
        </is>
      </c>
      <c r="CS350" s="235" t="inlineStr">
        <is>
          <t>3,11%</t>
        </is>
      </c>
      <c r="CT350" s="236" t="inlineStr">
        <is>
          <t>99</t>
        </is>
      </c>
      <c r="CU350" s="237" t="inlineStr">
        <is>
          <t>0,22%</t>
        </is>
      </c>
      <c r="CV350" s="238" t="inlineStr">
        <is>
          <t>79</t>
        </is>
      </c>
      <c r="CW350" s="239" t="inlineStr">
        <is>
          <t>7,24x</t>
        </is>
      </c>
      <c r="CX350" s="240" t="inlineStr">
        <is>
          <t>83</t>
        </is>
      </c>
      <c r="CY350" s="241" t="inlineStr">
        <is>
          <t>-4,82x</t>
        </is>
      </c>
      <c r="CZ350" s="242" t="inlineStr">
        <is>
          <t>-39,97%</t>
        </is>
      </c>
      <c r="DA350" s="243" t="inlineStr">
        <is>
          <t>12,18x</t>
        </is>
      </c>
      <c r="DB350" s="244" t="inlineStr">
        <is>
          <t>89</t>
        </is>
      </c>
      <c r="DC350" s="245" t="inlineStr">
        <is>
          <t>2,31x</t>
        </is>
      </c>
      <c r="DD350" s="246" t="inlineStr">
        <is>
          <t>64</t>
        </is>
      </c>
      <c r="DE350" s="247" t="inlineStr">
        <is>
          <t>18,27x</t>
        </is>
      </c>
      <c r="DF350" s="248" t="inlineStr">
        <is>
          <t>88</t>
        </is>
      </c>
      <c r="DG350" s="249" t="inlineStr">
        <is>
          <t>6,08x</t>
        </is>
      </c>
      <c r="DH350" s="250" t="inlineStr">
        <is>
          <t>81</t>
        </is>
      </c>
      <c r="DI350" s="251" t="inlineStr">
        <is>
          <t>1,37x</t>
        </is>
      </c>
      <c r="DJ350" s="252" t="inlineStr">
        <is>
          <t>56</t>
        </is>
      </c>
      <c r="DK350" s="253" t="inlineStr">
        <is>
          <t>3,26x</t>
        </is>
      </c>
      <c r="DL350" s="254" t="inlineStr">
        <is>
          <t>71</t>
        </is>
      </c>
      <c r="DM350" s="255" t="inlineStr">
        <is>
          <t>11.032</t>
        </is>
      </c>
      <c r="DN350" s="256" t="inlineStr">
        <is>
          <t>607</t>
        </is>
      </c>
      <c r="DO350" s="257" t="inlineStr">
        <is>
          <t>5,82%</t>
        </is>
      </c>
      <c r="DP350" s="258" t="inlineStr">
        <is>
          <t>1.086</t>
        </is>
      </c>
      <c r="DQ350" s="259" t="inlineStr">
        <is>
          <t>7</t>
        </is>
      </c>
      <c r="DR350" s="260" t="inlineStr">
        <is>
          <t>0,65%</t>
        </is>
      </c>
      <c r="DS350" s="261" t="inlineStr">
        <is>
          <t>218</t>
        </is>
      </c>
      <c r="DT350" s="262" t="inlineStr">
        <is>
          <t>3</t>
        </is>
      </c>
      <c r="DU350" s="263" t="inlineStr">
        <is>
          <t>1,40%</t>
        </is>
      </c>
      <c r="DV350" s="264" t="inlineStr">
        <is>
          <t>1.119</t>
        </is>
      </c>
      <c r="DW350" s="265" t="inlineStr">
        <is>
          <t>1</t>
        </is>
      </c>
      <c r="DX350" s="266" t="inlineStr">
        <is>
          <t>0,09%</t>
        </is>
      </c>
      <c r="DY350" s="267" t="inlineStr">
        <is>
          <t>PitchBook Research</t>
        </is>
      </c>
      <c r="DZ350" s="786">
        <f>HYPERLINK("https://my.pitchbook.com?c=162649-72", "View company online")</f>
      </c>
    </row>
    <row r="351">
      <c r="A351" s="9" t="inlineStr">
        <is>
          <t>148774-78</t>
        </is>
      </c>
      <c r="B351" s="10" t="inlineStr">
        <is>
          <t>Phenix Groupe</t>
        </is>
      </c>
      <c r="C351" s="11" t="inlineStr">
        <is>
          <t/>
        </is>
      </c>
      <c r="D351" s="12" t="inlineStr">
        <is>
          <t>Phenix</t>
        </is>
      </c>
      <c r="E351" s="13" t="inlineStr">
        <is>
          <t>148774-78</t>
        </is>
      </c>
      <c r="F351" s="14" t="inlineStr">
        <is>
          <t>Provider of media technology and advertising services designed to generate outdoor advertising market. The company's media technology and advertising services consist of trade marketing services, media outdoor advertising and field communications technology service, providing companies with access to outdoor media networks.</t>
        </is>
      </c>
      <c r="G351" s="15" t="inlineStr">
        <is>
          <t>Business Products and Services (B2B)</t>
        </is>
      </c>
      <c r="H351" s="16" t="inlineStr">
        <is>
          <t>Commercial Services</t>
        </is>
      </c>
      <c r="I351" s="17" t="inlineStr">
        <is>
          <t>Consulting Services (B2B)</t>
        </is>
      </c>
      <c r="J351" s="18" t="inlineStr">
        <is>
          <t>Consulting Services (B2B)*; Media and Information Services (B2B)</t>
        </is>
      </c>
      <c r="K351" s="19" t="inlineStr">
        <is>
          <t/>
        </is>
      </c>
      <c r="L351" s="20" t="inlineStr">
        <is>
          <t>Venture Capital-Backed</t>
        </is>
      </c>
      <c r="M351" s="21" t="n">
        <v>13.3</v>
      </c>
      <c r="N351" s="22" t="inlineStr">
        <is>
          <t>Generating Revenue</t>
        </is>
      </c>
      <c r="O351" s="23" t="inlineStr">
        <is>
          <t>Privately Held (backing)</t>
        </is>
      </c>
      <c r="P351" s="24" t="inlineStr">
        <is>
          <t>Venture Capital</t>
        </is>
      </c>
      <c r="Q351" s="25" t="inlineStr">
        <is>
          <t>www.phenixgroupe.com</t>
        </is>
      </c>
      <c r="R351" s="26" t="n">
        <v>360.0</v>
      </c>
      <c r="S351" s="27" t="inlineStr">
        <is>
          <t/>
        </is>
      </c>
      <c r="T351" s="28" t="inlineStr">
        <is>
          <t/>
        </is>
      </c>
      <c r="U351" s="29" t="n">
        <v>2012.0</v>
      </c>
      <c r="V351" s="30" t="inlineStr">
        <is>
          <t/>
        </is>
      </c>
      <c r="W351" s="31" t="inlineStr">
        <is>
          <t/>
        </is>
      </c>
      <c r="X351" s="32" t="inlineStr">
        <is>
          <t/>
        </is>
      </c>
      <c r="Y351" s="33" t="n">
        <v>26.99687</v>
      </c>
      <c r="Z351" s="34" t="inlineStr">
        <is>
          <t/>
        </is>
      </c>
      <c r="AA351" s="35" t="inlineStr">
        <is>
          <t/>
        </is>
      </c>
      <c r="AB351" s="36" t="inlineStr">
        <is>
          <t/>
        </is>
      </c>
      <c r="AC351" s="37" t="inlineStr">
        <is>
          <t/>
        </is>
      </c>
      <c r="AD351" s="38" t="inlineStr">
        <is>
          <t>FY 2016</t>
        </is>
      </c>
      <c r="AE351" s="39" t="inlineStr">
        <is>
          <t>58535-92P</t>
        </is>
      </c>
      <c r="AF351" s="40" t="inlineStr">
        <is>
          <t>Sébastien Romelot</t>
        </is>
      </c>
      <c r="AG351" s="41" t="inlineStr">
        <is>
          <t>Co-Founder, Chairman &amp; President</t>
        </is>
      </c>
      <c r="AH351" s="42" t="inlineStr">
        <is>
          <t>sromelot@phenixgroupe.com</t>
        </is>
      </c>
      <c r="AI351" s="43" t="inlineStr">
        <is>
          <t>+33 (0)1 55 46 31 00</t>
        </is>
      </c>
      <c r="AJ351" s="44" t="inlineStr">
        <is>
          <t>Paris, France</t>
        </is>
      </c>
      <c r="AK351" s="45" t="inlineStr">
        <is>
          <t>47/53 rue Raspail</t>
        </is>
      </c>
      <c r="AL351" s="46" t="inlineStr">
        <is>
          <t>Levallois Perret Cedex</t>
        </is>
      </c>
      <c r="AM351" s="47" t="inlineStr">
        <is>
          <t>Paris</t>
        </is>
      </c>
      <c r="AN351" s="48" t="inlineStr">
        <is>
          <t/>
        </is>
      </c>
      <c r="AO351" s="49" t="inlineStr">
        <is>
          <t>92594</t>
        </is>
      </c>
      <c r="AP351" s="50" t="inlineStr">
        <is>
          <t>France</t>
        </is>
      </c>
      <c r="AQ351" s="51" t="inlineStr">
        <is>
          <t>+33 (0)1 55 46 31 00</t>
        </is>
      </c>
      <c r="AR351" s="52" t="inlineStr">
        <is>
          <t/>
        </is>
      </c>
      <c r="AS351" s="53" t="inlineStr">
        <is>
          <t/>
        </is>
      </c>
      <c r="AT351" s="54" t="inlineStr">
        <is>
          <t>Europe</t>
        </is>
      </c>
      <c r="AU351" s="55" t="inlineStr">
        <is>
          <t>Western Europe</t>
        </is>
      </c>
      <c r="AV351" s="56" t="inlineStr">
        <is>
          <t>The company raised EUR 10 million of venture funding in a round led by CM-CIC Investissement on April 3, 2017. The company will use the proceeds from this funding to finance its strong development, including new digital display and digital screens in the downtown area, to pursue strategic acquisitions and tenders and also to finance its technology investments.</t>
        </is>
      </c>
      <c r="AW351" s="57" t="inlineStr">
        <is>
          <t>Audacia, CM-CIC Investissement</t>
        </is>
      </c>
      <c r="AX351" s="58" t="n">
        <v>2.0</v>
      </c>
      <c r="AY351" s="59" t="inlineStr">
        <is>
          <t/>
        </is>
      </c>
      <c r="AZ351" s="60" t="inlineStr">
        <is>
          <t/>
        </is>
      </c>
      <c r="BA351" s="61" t="inlineStr">
        <is>
          <t/>
        </is>
      </c>
      <c r="BB351" s="62" t="inlineStr">
        <is>
          <t>Audacia (www.audacia.fr), CM-CIC Investissement (www.cmcic-investissement.com)</t>
        </is>
      </c>
      <c r="BC351" s="63" t="inlineStr">
        <is>
          <t/>
        </is>
      </c>
      <c r="BD351" s="64" t="inlineStr">
        <is>
          <t/>
        </is>
      </c>
      <c r="BE351" s="65" t="inlineStr">
        <is>
          <t/>
        </is>
      </c>
      <c r="BF351" s="66" t="inlineStr">
        <is>
          <t/>
        </is>
      </c>
      <c r="BG351" s="67" t="n">
        <v>41724.0</v>
      </c>
      <c r="BH351" s="68" t="n">
        <v>2.0</v>
      </c>
      <c r="BI351" s="69" t="inlineStr">
        <is>
          <t>Actual</t>
        </is>
      </c>
      <c r="BJ351" s="70" t="inlineStr">
        <is>
          <t/>
        </is>
      </c>
      <c r="BK351" s="71" t="inlineStr">
        <is>
          <t/>
        </is>
      </c>
      <c r="BL351" s="72" t="inlineStr">
        <is>
          <t>Early Stage VC</t>
        </is>
      </c>
      <c r="BM351" s="73" t="inlineStr">
        <is>
          <t/>
        </is>
      </c>
      <c r="BN351" s="74" t="inlineStr">
        <is>
          <t/>
        </is>
      </c>
      <c r="BO351" s="75" t="inlineStr">
        <is>
          <t>Venture Capital</t>
        </is>
      </c>
      <c r="BP351" s="76" t="inlineStr">
        <is>
          <t/>
        </is>
      </c>
      <c r="BQ351" s="77" t="inlineStr">
        <is>
          <t/>
        </is>
      </c>
      <c r="BR351" s="78" t="inlineStr">
        <is>
          <t/>
        </is>
      </c>
      <c r="BS351" s="79" t="inlineStr">
        <is>
          <t>Completed</t>
        </is>
      </c>
      <c r="BT351" s="80" t="n">
        <v>42828.0</v>
      </c>
      <c r="BU351" s="81" t="n">
        <v>10.0</v>
      </c>
      <c r="BV351" s="82" t="inlineStr">
        <is>
          <t>Actual</t>
        </is>
      </c>
      <c r="BW351" s="83" t="inlineStr">
        <is>
          <t/>
        </is>
      </c>
      <c r="BX351" s="84" t="inlineStr">
        <is>
          <t/>
        </is>
      </c>
      <c r="BY351" s="85" t="inlineStr">
        <is>
          <t>Early Stage VC</t>
        </is>
      </c>
      <c r="BZ351" s="86" t="inlineStr">
        <is>
          <t/>
        </is>
      </c>
      <c r="CA351" s="87" t="inlineStr">
        <is>
          <t/>
        </is>
      </c>
      <c r="CB351" s="88" t="inlineStr">
        <is>
          <t>Venture Capital</t>
        </is>
      </c>
      <c r="CC351" s="89" t="inlineStr">
        <is>
          <t/>
        </is>
      </c>
      <c r="CD351" s="90" t="inlineStr">
        <is>
          <t/>
        </is>
      </c>
      <c r="CE351" s="91" t="inlineStr">
        <is>
          <t/>
        </is>
      </c>
      <c r="CF351" s="92" t="inlineStr">
        <is>
          <t>Completed</t>
        </is>
      </c>
      <c r="CG351" s="93" t="inlineStr">
        <is>
          <t>0,00%</t>
        </is>
      </c>
      <c r="CH351" s="94" t="inlineStr">
        <is>
          <t>23</t>
        </is>
      </c>
      <c r="CI351" s="95" t="inlineStr">
        <is>
          <t>0,00%</t>
        </is>
      </c>
      <c r="CJ351" s="96" t="inlineStr">
        <is>
          <t>0,00%</t>
        </is>
      </c>
      <c r="CK351" s="97" t="inlineStr">
        <is>
          <t>0,00%</t>
        </is>
      </c>
      <c r="CL351" s="98" t="inlineStr">
        <is>
          <t>18</t>
        </is>
      </c>
      <c r="CM351" s="99" t="inlineStr">
        <is>
          <t>0,00%</t>
        </is>
      </c>
      <c r="CN351" s="100" t="inlineStr">
        <is>
          <t>19</t>
        </is>
      </c>
      <c r="CO351" s="101" t="inlineStr">
        <is>
          <t>0,00%</t>
        </is>
      </c>
      <c r="CP351" s="102" t="inlineStr">
        <is>
          <t>26</t>
        </is>
      </c>
      <c r="CQ351" s="103" t="inlineStr">
        <is>
          <t>0,00%</t>
        </is>
      </c>
      <c r="CR351" s="104" t="inlineStr">
        <is>
          <t>13</t>
        </is>
      </c>
      <c r="CS351" s="105" t="inlineStr">
        <is>
          <t>0,00%</t>
        </is>
      </c>
      <c r="CT351" s="106" t="inlineStr">
        <is>
          <t>18</t>
        </is>
      </c>
      <c r="CU351" s="107" t="inlineStr">
        <is>
          <t/>
        </is>
      </c>
      <c r="CV351" s="108" t="inlineStr">
        <is>
          <t/>
        </is>
      </c>
      <c r="CW351" s="109" t="inlineStr">
        <is>
          <t>0,18x</t>
        </is>
      </c>
      <c r="CX351" s="110" t="inlineStr">
        <is>
          <t>16</t>
        </is>
      </c>
      <c r="CY351" s="111" t="inlineStr">
        <is>
          <t>-0,16x</t>
        </is>
      </c>
      <c r="CZ351" s="112" t="inlineStr">
        <is>
          <t>-47,25%</t>
        </is>
      </c>
      <c r="DA351" s="113" t="inlineStr">
        <is>
          <t>0,35x</t>
        </is>
      </c>
      <c r="DB351" s="114" t="inlineStr">
        <is>
          <t>29</t>
        </is>
      </c>
      <c r="DC351" s="115" t="inlineStr">
        <is>
          <t>0,01x</t>
        </is>
      </c>
      <c r="DD351" s="116" t="inlineStr">
        <is>
          <t>2</t>
        </is>
      </c>
      <c r="DE351" s="117" t="inlineStr">
        <is>
          <t>0,31x</t>
        </is>
      </c>
      <c r="DF351" s="118" t="inlineStr">
        <is>
          <t>26</t>
        </is>
      </c>
      <c r="DG351" s="119" t="inlineStr">
        <is>
          <t>0,39x</t>
        </is>
      </c>
      <c r="DH351" s="120" t="inlineStr">
        <is>
          <t>31</t>
        </is>
      </c>
      <c r="DI351" s="121" t="inlineStr">
        <is>
          <t>0,01x</t>
        </is>
      </c>
      <c r="DJ351" s="122" t="inlineStr">
        <is>
          <t>2</t>
        </is>
      </c>
      <c r="DK351" s="123" t="inlineStr">
        <is>
          <t/>
        </is>
      </c>
      <c r="DL351" s="124" t="inlineStr">
        <is>
          <t/>
        </is>
      </c>
      <c r="DM351" s="125" t="inlineStr">
        <is>
          <t>207</t>
        </is>
      </c>
      <c r="DN351" s="126" t="inlineStr">
        <is>
          <t>-44</t>
        </is>
      </c>
      <c r="DO351" s="127" t="inlineStr">
        <is>
          <t>-17,53%</t>
        </is>
      </c>
      <c r="DP351" s="128" t="inlineStr">
        <is>
          <t>11</t>
        </is>
      </c>
      <c r="DQ351" s="129" t="inlineStr">
        <is>
          <t>0</t>
        </is>
      </c>
      <c r="DR351" s="130" t="inlineStr">
        <is>
          <t>0,00%</t>
        </is>
      </c>
      <c r="DS351" s="131" t="inlineStr">
        <is>
          <t>14</t>
        </is>
      </c>
      <c r="DT351" s="132" t="inlineStr">
        <is>
          <t>0</t>
        </is>
      </c>
      <c r="DU351" s="133" t="inlineStr">
        <is>
          <t>0,00%</t>
        </is>
      </c>
      <c r="DV351" s="134" t="inlineStr">
        <is>
          <t/>
        </is>
      </c>
      <c r="DW351" s="135" t="inlineStr">
        <is>
          <t/>
        </is>
      </c>
      <c r="DX351" s="136" t="inlineStr">
        <is>
          <t/>
        </is>
      </c>
      <c r="DY351" s="137" t="inlineStr">
        <is>
          <t>PitchBook Research</t>
        </is>
      </c>
      <c r="DZ351" s="785">
        <f>HYPERLINK("https://my.pitchbook.com?c=148774-78", "View company online")</f>
      </c>
    </row>
    <row r="352">
      <c r="A352" s="139" t="inlineStr">
        <is>
          <t>61348-69</t>
        </is>
      </c>
      <c r="B352" s="140" t="inlineStr">
        <is>
          <t>Pickit</t>
        </is>
      </c>
      <c r="C352" s="141" t="inlineStr">
        <is>
          <t>PicHit.Me</t>
        </is>
      </c>
      <c r="D352" s="142" t="inlineStr">
        <is>
          <t/>
        </is>
      </c>
      <c r="E352" s="143" t="inlineStr">
        <is>
          <t>61348-69</t>
        </is>
      </c>
      <c r="F352" s="144" t="inlineStr">
        <is>
          <t>Developer of an online platform for sharing photos designed to make messages stronger and make work matter. The company's photo sharing platform, Pickit Business, provides an image service hosted on Microsoft Azure for making professionally curated photos, icons and illustrations available inside PowerPoint, Word and Windows 10, enabling users to access a large bank of images.</t>
        </is>
      </c>
      <c r="G352" s="145" t="inlineStr">
        <is>
          <t>Information Technology</t>
        </is>
      </c>
      <c r="H352" s="146" t="inlineStr">
        <is>
          <t>Software</t>
        </is>
      </c>
      <c r="I352" s="147" t="inlineStr">
        <is>
          <t>Social/Platform Software</t>
        </is>
      </c>
      <c r="J352" s="148" t="inlineStr">
        <is>
          <t>Social/Platform Software*</t>
        </is>
      </c>
      <c r="K352" s="149" t="inlineStr">
        <is>
          <t/>
        </is>
      </c>
      <c r="L352" s="150" t="inlineStr">
        <is>
          <t>Venture Capital-Backed</t>
        </is>
      </c>
      <c r="M352" s="151" t="n">
        <v>6.5</v>
      </c>
      <c r="N352" s="152" t="inlineStr">
        <is>
          <t>Generating Revenue</t>
        </is>
      </c>
      <c r="O352" s="153" t="inlineStr">
        <is>
          <t>Privately Held (backing)</t>
        </is>
      </c>
      <c r="P352" s="154" t="inlineStr">
        <is>
          <t>Venture Capital</t>
        </is>
      </c>
      <c r="Q352" s="155" t="inlineStr">
        <is>
          <t>www.pickit.com</t>
        </is>
      </c>
      <c r="R352" s="156" t="n">
        <v>25.0</v>
      </c>
      <c r="S352" s="157" t="inlineStr">
        <is>
          <t/>
        </is>
      </c>
      <c r="T352" s="158" t="inlineStr">
        <is>
          <t/>
        </is>
      </c>
      <c r="U352" s="159" t="n">
        <v>2012.0</v>
      </c>
      <c r="V352" s="160" t="inlineStr">
        <is>
          <t/>
        </is>
      </c>
      <c r="W352" s="161" t="inlineStr">
        <is>
          <t/>
        </is>
      </c>
      <c r="X352" s="162" t="inlineStr">
        <is>
          <t/>
        </is>
      </c>
      <c r="Y352" s="163" t="n">
        <v>0.147</v>
      </c>
      <c r="Z352" s="164" t="inlineStr">
        <is>
          <t/>
        </is>
      </c>
      <c r="AA352" s="165" t="n">
        <v>-1.24947</v>
      </c>
      <c r="AB352" s="166" t="inlineStr">
        <is>
          <t/>
        </is>
      </c>
      <c r="AC352" s="167" t="n">
        <v>-1.24947</v>
      </c>
      <c r="AD352" s="168" t="inlineStr">
        <is>
          <t>FY 2015</t>
        </is>
      </c>
      <c r="AE352" s="169" t="inlineStr">
        <is>
          <t>60706-36P</t>
        </is>
      </c>
      <c r="AF352" s="170" t="inlineStr">
        <is>
          <t>Henrik Bergqvist</t>
        </is>
      </c>
      <c r="AG352" s="171" t="inlineStr">
        <is>
          <t>Co-Chief Executive Officer and Co-Founder</t>
        </is>
      </c>
      <c r="AH352" s="172" t="inlineStr">
        <is>
          <t>henrik.bergqvist@pickit.com</t>
        </is>
      </c>
      <c r="AI352" s="173" t="inlineStr">
        <is>
          <t/>
        </is>
      </c>
      <c r="AJ352" s="174" t="inlineStr">
        <is>
          <t>Visby, Sweden</t>
        </is>
      </c>
      <c r="AK352" s="175" t="inlineStr">
        <is>
          <t>Södra Kyrkogatan 3</t>
        </is>
      </c>
      <c r="AL352" s="176" t="inlineStr">
        <is>
          <t/>
        </is>
      </c>
      <c r="AM352" s="177" t="inlineStr">
        <is>
          <t>Visby</t>
        </is>
      </c>
      <c r="AN352" s="178" t="inlineStr">
        <is>
          <t/>
        </is>
      </c>
      <c r="AO352" s="179" t="inlineStr">
        <is>
          <t>621 56</t>
        </is>
      </c>
      <c r="AP352" s="180" t="inlineStr">
        <is>
          <t>Sweden</t>
        </is>
      </c>
      <c r="AQ352" s="181" t="inlineStr">
        <is>
          <t/>
        </is>
      </c>
      <c r="AR352" s="182" t="inlineStr">
        <is>
          <t/>
        </is>
      </c>
      <c r="AS352" s="183" t="inlineStr">
        <is>
          <t>hello@pichit.me</t>
        </is>
      </c>
      <c r="AT352" s="184" t="inlineStr">
        <is>
          <t>Europe</t>
        </is>
      </c>
      <c r="AU352" s="185" t="inlineStr">
        <is>
          <t>Northern Europe</t>
        </is>
      </c>
      <c r="AV352" s="186" t="inlineStr">
        <is>
          <t>The company raised $4.6 million of Series A venture funding from Microsoft Ventures and other undisclosed investors on March 1, 2017. The company intends to use the funds to expand operations and to build out a dedicated image bank for Microsoft Office users.</t>
        </is>
      </c>
      <c r="AW352" s="187" t="inlineStr">
        <is>
          <t>Almi Invest, Mecom Mobile, Microsoft BizSpark, Microsoft Ventures, Seraph Group</t>
        </is>
      </c>
      <c r="AX352" s="188" t="n">
        <v>5.0</v>
      </c>
      <c r="AY352" s="189" t="inlineStr">
        <is>
          <t/>
        </is>
      </c>
      <c r="AZ352" s="190" t="inlineStr">
        <is>
          <t/>
        </is>
      </c>
      <c r="BA352" s="191" t="inlineStr">
        <is>
          <t/>
        </is>
      </c>
      <c r="BB352" s="192" t="inlineStr">
        <is>
          <t>Mecom Mobile (www.mecommobile.com), Microsoft BizSpark (bizspark.microsoft.com), Microsoft Ventures (www.microsoftventures.com), Seraph Group (www.seraphgroup.net)</t>
        </is>
      </c>
      <c r="BC352" s="193" t="inlineStr">
        <is>
          <t/>
        </is>
      </c>
      <c r="BD352" s="194" t="inlineStr">
        <is>
          <t/>
        </is>
      </c>
      <c r="BE352" s="195" t="inlineStr">
        <is>
          <t/>
        </is>
      </c>
      <c r="BF352" s="196" t="inlineStr">
        <is>
          <t>Synch Advokat (Legal Advisor)</t>
        </is>
      </c>
      <c r="BG352" s="197" t="n">
        <v>41674.0</v>
      </c>
      <c r="BH352" s="198" t="n">
        <v>2.2</v>
      </c>
      <c r="BI352" s="199" t="inlineStr">
        <is>
          <t>Actual</t>
        </is>
      </c>
      <c r="BJ352" s="200" t="inlineStr">
        <is>
          <t/>
        </is>
      </c>
      <c r="BK352" s="201" t="inlineStr">
        <is>
          <t/>
        </is>
      </c>
      <c r="BL352" s="202" t="inlineStr">
        <is>
          <t>Early Stage VC</t>
        </is>
      </c>
      <c r="BM352" s="203" t="inlineStr">
        <is>
          <t/>
        </is>
      </c>
      <c r="BN352" s="204" t="inlineStr">
        <is>
          <t/>
        </is>
      </c>
      <c r="BO352" s="205" t="inlineStr">
        <is>
          <t>Venture Capital</t>
        </is>
      </c>
      <c r="BP352" s="206" t="inlineStr">
        <is>
          <t/>
        </is>
      </c>
      <c r="BQ352" s="207" t="inlineStr">
        <is>
          <t/>
        </is>
      </c>
      <c r="BR352" s="208" t="inlineStr">
        <is>
          <t/>
        </is>
      </c>
      <c r="BS352" s="209" t="inlineStr">
        <is>
          <t>Completed</t>
        </is>
      </c>
      <c r="BT352" s="210" t="n">
        <v>42795.0</v>
      </c>
      <c r="BU352" s="211" t="n">
        <v>4.3</v>
      </c>
      <c r="BV352" s="212" t="inlineStr">
        <is>
          <t>Actual</t>
        </is>
      </c>
      <c r="BW352" s="213" t="inlineStr">
        <is>
          <t/>
        </is>
      </c>
      <c r="BX352" s="214" t="inlineStr">
        <is>
          <t/>
        </is>
      </c>
      <c r="BY352" s="215" t="inlineStr">
        <is>
          <t>Early Stage VC</t>
        </is>
      </c>
      <c r="BZ352" s="216" t="inlineStr">
        <is>
          <t>Series A</t>
        </is>
      </c>
      <c r="CA352" s="217" t="inlineStr">
        <is>
          <t/>
        </is>
      </c>
      <c r="CB352" s="218" t="inlineStr">
        <is>
          <t>Venture Capital</t>
        </is>
      </c>
      <c r="CC352" s="219" t="inlineStr">
        <is>
          <t/>
        </is>
      </c>
      <c r="CD352" s="220" t="inlineStr">
        <is>
          <t/>
        </is>
      </c>
      <c r="CE352" s="221" t="inlineStr">
        <is>
          <t/>
        </is>
      </c>
      <c r="CF352" s="222" t="inlineStr">
        <is>
          <t>Completed</t>
        </is>
      </c>
      <c r="CG352" s="223" t="inlineStr">
        <is>
          <t>0,37%</t>
        </is>
      </c>
      <c r="CH352" s="224" t="inlineStr">
        <is>
          <t>82</t>
        </is>
      </c>
      <c r="CI352" s="225" t="inlineStr">
        <is>
          <t>0,00%</t>
        </is>
      </c>
      <c r="CJ352" s="226" t="inlineStr">
        <is>
          <t>1,20%</t>
        </is>
      </c>
      <c r="CK352" s="227" t="inlineStr">
        <is>
          <t>0,78%</t>
        </is>
      </c>
      <c r="CL352" s="228" t="inlineStr">
        <is>
          <t>86</t>
        </is>
      </c>
      <c r="CM352" s="229" t="inlineStr">
        <is>
          <t>-0,04%</t>
        </is>
      </c>
      <c r="CN352" s="230" t="inlineStr">
        <is>
          <t>9</t>
        </is>
      </c>
      <c r="CO352" s="231" t="inlineStr">
        <is>
          <t>0,78%</t>
        </is>
      </c>
      <c r="CP352" s="232" t="inlineStr">
        <is>
          <t>83</t>
        </is>
      </c>
      <c r="CQ352" s="233" t="inlineStr">
        <is>
          <t/>
        </is>
      </c>
      <c r="CR352" s="234" t="inlineStr">
        <is>
          <t/>
        </is>
      </c>
      <c r="CS352" s="235" t="inlineStr">
        <is>
          <t>-0,03%</t>
        </is>
      </c>
      <c r="CT352" s="236" t="inlineStr">
        <is>
          <t>10</t>
        </is>
      </c>
      <c r="CU352" s="237" t="inlineStr">
        <is>
          <t>-0,05%</t>
        </is>
      </c>
      <c r="CV352" s="238" t="inlineStr">
        <is>
          <t>12</t>
        </is>
      </c>
      <c r="CW352" s="239" t="inlineStr">
        <is>
          <t>61,88x</t>
        </is>
      </c>
      <c r="CX352" s="240" t="inlineStr">
        <is>
          <t>96</t>
        </is>
      </c>
      <c r="CY352" s="241" t="inlineStr">
        <is>
          <t>27,98x</t>
        </is>
      </c>
      <c r="CZ352" s="242" t="inlineStr">
        <is>
          <t>82,55%</t>
        </is>
      </c>
      <c r="DA352" s="243" t="inlineStr">
        <is>
          <t>13,59x</t>
        </is>
      </c>
      <c r="DB352" s="244" t="inlineStr">
        <is>
          <t>90</t>
        </is>
      </c>
      <c r="DC352" s="245" t="inlineStr">
        <is>
          <t>110,17x</t>
        </is>
      </c>
      <c r="DD352" s="246" t="inlineStr">
        <is>
          <t>97</t>
        </is>
      </c>
      <c r="DE352" s="247" t="inlineStr">
        <is>
          <t>13,59x</t>
        </is>
      </c>
      <c r="DF352" s="248" t="inlineStr">
        <is>
          <t>86</t>
        </is>
      </c>
      <c r="DG352" s="249" t="inlineStr">
        <is>
          <t/>
        </is>
      </c>
      <c r="DH352" s="250" t="inlineStr">
        <is>
          <t/>
        </is>
      </c>
      <c r="DI352" s="251" t="inlineStr">
        <is>
          <t>165,03x</t>
        </is>
      </c>
      <c r="DJ352" s="252" t="inlineStr">
        <is>
          <t>97</t>
        </is>
      </c>
      <c r="DK352" s="253" t="inlineStr">
        <is>
          <t>55,30x</t>
        </is>
      </c>
      <c r="DL352" s="254" t="inlineStr">
        <is>
          <t>96</t>
        </is>
      </c>
      <c r="DM352" s="255" t="inlineStr">
        <is>
          <t>8.291</t>
        </is>
      </c>
      <c r="DN352" s="256" t="inlineStr">
        <is>
          <t>194</t>
        </is>
      </c>
      <c r="DO352" s="257" t="inlineStr">
        <is>
          <t>2,40%</t>
        </is>
      </c>
      <c r="DP352" s="258" t="inlineStr">
        <is>
          <t>131.872</t>
        </is>
      </c>
      <c r="DQ352" s="259" t="inlineStr">
        <is>
          <t>-50</t>
        </is>
      </c>
      <c r="DR352" s="260" t="inlineStr">
        <is>
          <t>-0,04%</t>
        </is>
      </c>
      <c r="DS352" s="261" t="inlineStr">
        <is>
          <t/>
        </is>
      </c>
      <c r="DT352" s="262" t="inlineStr">
        <is>
          <t/>
        </is>
      </c>
      <c r="DU352" s="263" t="inlineStr">
        <is>
          <t/>
        </is>
      </c>
      <c r="DV352" s="264" t="inlineStr">
        <is>
          <t>18.968</t>
        </is>
      </c>
      <c r="DW352" s="265" t="inlineStr">
        <is>
          <t>-10</t>
        </is>
      </c>
      <c r="DX352" s="266" t="inlineStr">
        <is>
          <t>-0,05%</t>
        </is>
      </c>
      <c r="DY352" s="267" t="inlineStr">
        <is>
          <t>PitchBook Research</t>
        </is>
      </c>
      <c r="DZ352" s="786">
        <f>HYPERLINK("https://my.pitchbook.com?c=61348-69", "View company online")</f>
      </c>
    </row>
    <row r="353">
      <c r="A353" s="9" t="inlineStr">
        <is>
          <t>179124-31</t>
        </is>
      </c>
      <c r="B353" s="10" t="inlineStr">
        <is>
          <t>Picnic (platform software)</t>
        </is>
      </c>
      <c r="C353" s="11" t="inlineStr">
        <is>
          <t/>
        </is>
      </c>
      <c r="D353" s="12" t="inlineStr">
        <is>
          <t>Picnic</t>
        </is>
      </c>
      <c r="E353" s="13" t="inlineStr">
        <is>
          <t>179124-31</t>
        </is>
      </c>
      <c r="F353" s="14" t="inlineStr">
        <is>
          <t>Operator of an online grocery supermarket created to provide groceries at lowest prices. The company's grocery delivery services offers its services via electric vehicles, enabling customers to order all of their groceries at the lowest price, free home.</t>
        </is>
      </c>
      <c r="G353" s="15" t="inlineStr">
        <is>
          <t>Information Technology</t>
        </is>
      </c>
      <c r="H353" s="16" t="inlineStr">
        <is>
          <t>Software</t>
        </is>
      </c>
      <c r="I353" s="17" t="inlineStr">
        <is>
          <t>Social/Platform Software</t>
        </is>
      </c>
      <c r="J353" s="18" t="inlineStr">
        <is>
          <t>Social/Platform Software*; Food Products; Internet Retail</t>
        </is>
      </c>
      <c r="K353" s="19" t="inlineStr">
        <is>
          <t>E-Commerce, Mobile</t>
        </is>
      </c>
      <c r="L353" s="20" t="inlineStr">
        <is>
          <t>Venture Capital-Backed</t>
        </is>
      </c>
      <c r="M353" s="21" t="n">
        <v>101.98</v>
      </c>
      <c r="N353" s="22" t="inlineStr">
        <is>
          <t>Generating Revenue</t>
        </is>
      </c>
      <c r="O353" s="23" t="inlineStr">
        <is>
          <t>Privately Held (backing)</t>
        </is>
      </c>
      <c r="P353" s="24" t="inlineStr">
        <is>
          <t>Venture Capital</t>
        </is>
      </c>
      <c r="Q353" s="25" t="inlineStr">
        <is>
          <t>www.picnic.nl</t>
        </is>
      </c>
      <c r="R353" s="26" t="inlineStr">
        <is>
          <t/>
        </is>
      </c>
      <c r="S353" s="27" t="inlineStr">
        <is>
          <t/>
        </is>
      </c>
      <c r="T353" s="28" t="inlineStr">
        <is>
          <t/>
        </is>
      </c>
      <c r="U353" s="29" t="n">
        <v>2015.0</v>
      </c>
      <c r="V353" s="30" t="inlineStr">
        <is>
          <t/>
        </is>
      </c>
      <c r="W353" s="31" t="inlineStr">
        <is>
          <t/>
        </is>
      </c>
      <c r="X353" s="32" t="inlineStr">
        <is>
          <t/>
        </is>
      </c>
      <c r="Y353" s="33" t="inlineStr">
        <is>
          <t/>
        </is>
      </c>
      <c r="Z353" s="34" t="inlineStr">
        <is>
          <t/>
        </is>
      </c>
      <c r="AA353" s="35" t="inlineStr">
        <is>
          <t/>
        </is>
      </c>
      <c r="AB353" s="36" t="inlineStr">
        <is>
          <t/>
        </is>
      </c>
      <c r="AC353" s="37" t="inlineStr">
        <is>
          <t/>
        </is>
      </c>
      <c r="AD353" s="38" t="inlineStr">
        <is>
          <t/>
        </is>
      </c>
      <c r="AE353" s="39" t="inlineStr">
        <is>
          <t>111406-24P</t>
        </is>
      </c>
      <c r="AF353" s="40" t="inlineStr">
        <is>
          <t>Joris Beckers</t>
        </is>
      </c>
      <c r="AG353" s="41" t="inlineStr">
        <is>
          <t>Co-Founder</t>
        </is>
      </c>
      <c r="AH353" s="42" t="inlineStr">
        <is>
          <t>joris.beckers@picnic.nl</t>
        </is>
      </c>
      <c r="AI353" s="43" t="inlineStr">
        <is>
          <t/>
        </is>
      </c>
      <c r="AJ353" s="44" t="inlineStr">
        <is>
          <t>Amsterdam, Netherlands</t>
        </is>
      </c>
      <c r="AK353" s="45" t="inlineStr">
        <is>
          <t/>
        </is>
      </c>
      <c r="AL353" s="46" t="inlineStr">
        <is>
          <t/>
        </is>
      </c>
      <c r="AM353" s="47" t="inlineStr">
        <is>
          <t>Amsterdam</t>
        </is>
      </c>
      <c r="AN353" s="48" t="inlineStr">
        <is>
          <t/>
        </is>
      </c>
      <c r="AO353" s="49" t="inlineStr">
        <is>
          <t/>
        </is>
      </c>
      <c r="AP353" s="50" t="inlineStr">
        <is>
          <t>Netherlands</t>
        </is>
      </c>
      <c r="AQ353" s="51" t="inlineStr">
        <is>
          <t/>
        </is>
      </c>
      <c r="AR353" s="52" t="inlineStr">
        <is>
          <t/>
        </is>
      </c>
      <c r="AS353" s="53" t="inlineStr">
        <is>
          <t/>
        </is>
      </c>
      <c r="AT353" s="54" t="inlineStr">
        <is>
          <t>Europe</t>
        </is>
      </c>
      <c r="AU353" s="55" t="inlineStr">
        <is>
          <t>Western Europe</t>
        </is>
      </c>
      <c r="AV353" s="56" t="inlineStr">
        <is>
          <t>The company raised $109 million of series B venture funding led by NPM Capital on March 28, 2017. De Hoge Dennen, Hoyberg and Finci also participated in this round. The company will invest the new funds in further expansion around the Netherlands.</t>
        </is>
      </c>
      <c r="AW353" s="57" t="inlineStr">
        <is>
          <t>De Hoge Dennen Capital, Finci, Hoyberg, NPM Capital</t>
        </is>
      </c>
      <c r="AX353" s="58" t="n">
        <v>4.0</v>
      </c>
      <c r="AY353" s="59" t="inlineStr">
        <is>
          <t/>
        </is>
      </c>
      <c r="AZ353" s="60" t="inlineStr">
        <is>
          <t/>
        </is>
      </c>
      <c r="BA353" s="61" t="inlineStr">
        <is>
          <t/>
        </is>
      </c>
      <c r="BB353" s="62" t="inlineStr">
        <is>
          <t>De Hoge Dennen Capital (www.dehogedennencapital.nl), Finci (www.bonisupermarkt.nl), NPM Capital (www.npm-capital.com)</t>
        </is>
      </c>
      <c r="BC353" s="63" t="inlineStr">
        <is>
          <t/>
        </is>
      </c>
      <c r="BD353" s="64" t="inlineStr">
        <is>
          <t/>
        </is>
      </c>
      <c r="BE353" s="65" t="inlineStr">
        <is>
          <t/>
        </is>
      </c>
      <c r="BF353" s="66" t="inlineStr">
        <is>
          <t/>
        </is>
      </c>
      <c r="BG353" s="67" t="n">
        <v>42822.0</v>
      </c>
      <c r="BH353" s="68" t="n">
        <v>101.98</v>
      </c>
      <c r="BI353" s="69" t="inlineStr">
        <is>
          <t>Actual</t>
        </is>
      </c>
      <c r="BJ353" s="70" t="inlineStr">
        <is>
          <t/>
        </is>
      </c>
      <c r="BK353" s="71" t="inlineStr">
        <is>
          <t/>
        </is>
      </c>
      <c r="BL353" s="72" t="inlineStr">
        <is>
          <t>Early Stage VC</t>
        </is>
      </c>
      <c r="BM353" s="73" t="inlineStr">
        <is>
          <t>Series B</t>
        </is>
      </c>
      <c r="BN353" s="74" t="inlineStr">
        <is>
          <t/>
        </is>
      </c>
      <c r="BO353" s="75" t="inlineStr">
        <is>
          <t>Venture Capital</t>
        </is>
      </c>
      <c r="BP353" s="76" t="inlineStr">
        <is>
          <t/>
        </is>
      </c>
      <c r="BQ353" s="77" t="inlineStr">
        <is>
          <t/>
        </is>
      </c>
      <c r="BR353" s="78" t="inlineStr">
        <is>
          <t/>
        </is>
      </c>
      <c r="BS353" s="79" t="inlineStr">
        <is>
          <t>Completed</t>
        </is>
      </c>
      <c r="BT353" s="80" t="n">
        <v>42822.0</v>
      </c>
      <c r="BU353" s="81" t="n">
        <v>101.98</v>
      </c>
      <c r="BV353" s="82" t="inlineStr">
        <is>
          <t>Actual</t>
        </is>
      </c>
      <c r="BW353" s="83" t="inlineStr">
        <is>
          <t/>
        </is>
      </c>
      <c r="BX353" s="84" t="inlineStr">
        <is>
          <t/>
        </is>
      </c>
      <c r="BY353" s="85" t="inlineStr">
        <is>
          <t>Early Stage VC</t>
        </is>
      </c>
      <c r="BZ353" s="86" t="inlineStr">
        <is>
          <t>Series B</t>
        </is>
      </c>
      <c r="CA353" s="87" t="inlineStr">
        <is>
          <t/>
        </is>
      </c>
      <c r="CB353" s="88" t="inlineStr">
        <is>
          <t>Venture Capital</t>
        </is>
      </c>
      <c r="CC353" s="89" t="inlineStr">
        <is>
          <t/>
        </is>
      </c>
      <c r="CD353" s="90" t="inlineStr">
        <is>
          <t/>
        </is>
      </c>
      <c r="CE353" s="91" t="inlineStr">
        <is>
          <t/>
        </is>
      </c>
      <c r="CF353" s="92" t="inlineStr">
        <is>
          <t>Completed</t>
        </is>
      </c>
      <c r="CG353" s="93" t="inlineStr">
        <is>
          <t>-0,69%</t>
        </is>
      </c>
      <c r="CH353" s="94" t="inlineStr">
        <is>
          <t>7</t>
        </is>
      </c>
      <c r="CI353" s="95" t="inlineStr">
        <is>
          <t>-0,07%</t>
        </is>
      </c>
      <c r="CJ353" s="96" t="inlineStr">
        <is>
          <t>-10,41%</t>
        </is>
      </c>
      <c r="CK353" s="97" t="inlineStr">
        <is>
          <t>-2,80%</t>
        </is>
      </c>
      <c r="CL353" s="98" t="inlineStr">
        <is>
          <t>3</t>
        </is>
      </c>
      <c r="CM353" s="99" t="inlineStr">
        <is>
          <t>1,43%</t>
        </is>
      </c>
      <c r="CN353" s="100" t="inlineStr">
        <is>
          <t>98</t>
        </is>
      </c>
      <c r="CO353" s="101" t="inlineStr">
        <is>
          <t>-6,28%</t>
        </is>
      </c>
      <c r="CP353" s="102" t="inlineStr">
        <is>
          <t>5</t>
        </is>
      </c>
      <c r="CQ353" s="103" t="inlineStr">
        <is>
          <t>0,67%</t>
        </is>
      </c>
      <c r="CR353" s="104" t="inlineStr">
        <is>
          <t>87</t>
        </is>
      </c>
      <c r="CS353" s="105" t="inlineStr">
        <is>
          <t>2,12%</t>
        </is>
      </c>
      <c r="CT353" s="106" t="inlineStr">
        <is>
          <t>98</t>
        </is>
      </c>
      <c r="CU353" s="107" t="inlineStr">
        <is>
          <t>0,74%</t>
        </is>
      </c>
      <c r="CV353" s="108" t="inlineStr">
        <is>
          <t>95</t>
        </is>
      </c>
      <c r="CW353" s="109" t="inlineStr">
        <is>
          <t>22,22x</t>
        </is>
      </c>
      <c r="CX353" s="110" t="inlineStr">
        <is>
          <t>92</t>
        </is>
      </c>
      <c r="CY353" s="111" t="inlineStr">
        <is>
          <t>0,45x</t>
        </is>
      </c>
      <c r="CZ353" s="112" t="inlineStr">
        <is>
          <t>2,08%</t>
        </is>
      </c>
      <c r="DA353" s="113" t="inlineStr">
        <is>
          <t>19,70x</t>
        </is>
      </c>
      <c r="DB353" s="114" t="inlineStr">
        <is>
          <t>92</t>
        </is>
      </c>
      <c r="DC353" s="115" t="inlineStr">
        <is>
          <t>24,73x</t>
        </is>
      </c>
      <c r="DD353" s="116" t="inlineStr">
        <is>
          <t>91</t>
        </is>
      </c>
      <c r="DE353" s="117" t="inlineStr">
        <is>
          <t>29,80x</t>
        </is>
      </c>
      <c r="DF353" s="118" t="inlineStr">
        <is>
          <t>91</t>
        </is>
      </c>
      <c r="DG353" s="119" t="inlineStr">
        <is>
          <t>9,61x</t>
        </is>
      </c>
      <c r="DH353" s="120" t="inlineStr">
        <is>
          <t>86</t>
        </is>
      </c>
      <c r="DI353" s="121" t="inlineStr">
        <is>
          <t>43,47x</t>
        </is>
      </c>
      <c r="DJ353" s="122" t="inlineStr">
        <is>
          <t>92</t>
        </is>
      </c>
      <c r="DK353" s="123" t="inlineStr">
        <is>
          <t>6,00x</t>
        </is>
      </c>
      <c r="DL353" s="124" t="inlineStr">
        <is>
          <t>80</t>
        </is>
      </c>
      <c r="DM353" s="125" t="inlineStr">
        <is>
          <t>18.947</t>
        </is>
      </c>
      <c r="DN353" s="126" t="inlineStr">
        <is>
          <t>-1.864</t>
        </is>
      </c>
      <c r="DO353" s="127" t="inlineStr">
        <is>
          <t>-8,96%</t>
        </is>
      </c>
      <c r="DP353" s="128" t="inlineStr">
        <is>
          <t>34.552</t>
        </is>
      </c>
      <c r="DQ353" s="129" t="inlineStr">
        <is>
          <t>365</t>
        </is>
      </c>
      <c r="DR353" s="130" t="inlineStr">
        <is>
          <t>1,07%</t>
        </is>
      </c>
      <c r="DS353" s="131" t="inlineStr">
        <is>
          <t>346</t>
        </is>
      </c>
      <c r="DT353" s="132" t="inlineStr">
        <is>
          <t>-1</t>
        </is>
      </c>
      <c r="DU353" s="133" t="inlineStr">
        <is>
          <t>-0,29%</t>
        </is>
      </c>
      <c r="DV353" s="134" t="inlineStr">
        <is>
          <t>2.050</t>
        </is>
      </c>
      <c r="DW353" s="135" t="inlineStr">
        <is>
          <t>16</t>
        </is>
      </c>
      <c r="DX353" s="136" t="inlineStr">
        <is>
          <t>0,79%</t>
        </is>
      </c>
      <c r="DY353" s="137" t="inlineStr">
        <is>
          <t>PitchBook Research</t>
        </is>
      </c>
      <c r="DZ353" s="785">
        <f>HYPERLINK("https://my.pitchbook.com?c=179124-31", "View company online")</f>
      </c>
    </row>
    <row r="354">
      <c r="A354" s="139" t="inlineStr">
        <is>
          <t>167168-62</t>
        </is>
      </c>
      <c r="B354" s="140" t="inlineStr">
        <is>
          <t>Plantui</t>
        </is>
      </c>
      <c r="C354" s="141" t="inlineStr">
        <is>
          <t/>
        </is>
      </c>
      <c r="D354" s="142" t="inlineStr">
        <is>
          <t/>
        </is>
      </c>
      <c r="E354" s="143" t="inlineStr">
        <is>
          <t>167168-62</t>
        </is>
      </c>
      <c r="F354" s="144" t="inlineStr">
        <is>
          <t>Developer of an equipment for indoor gardening of plants and herbs. The company provides an indoor gardening device which enables users to grow plants and herbs with an intelligent light system.</t>
        </is>
      </c>
      <c r="G354" s="145" t="inlineStr">
        <is>
          <t>Consumer Products and Services (B2C)</t>
        </is>
      </c>
      <c r="H354" s="146" t="inlineStr">
        <is>
          <t>Consumer Durables</t>
        </is>
      </c>
      <c r="I354" s="147" t="inlineStr">
        <is>
          <t>Electronics (B2C)</t>
        </is>
      </c>
      <c r="J354" s="148" t="inlineStr">
        <is>
          <t>Electronics (B2C)*</t>
        </is>
      </c>
      <c r="K354" s="149" t="inlineStr">
        <is>
          <t/>
        </is>
      </c>
      <c r="L354" s="150" t="inlineStr">
        <is>
          <t>Venture Capital-Backed</t>
        </is>
      </c>
      <c r="M354" s="151" t="n">
        <v>10.25</v>
      </c>
      <c r="N354" s="152" t="inlineStr">
        <is>
          <t>Generating Revenue</t>
        </is>
      </c>
      <c r="O354" s="153" t="inlineStr">
        <is>
          <t>Privately Held (backing)</t>
        </is>
      </c>
      <c r="P354" s="154" t="inlineStr">
        <is>
          <t>Venture Capital</t>
        </is>
      </c>
      <c r="Q354" s="155" t="inlineStr">
        <is>
          <t>www.plantui.com</t>
        </is>
      </c>
      <c r="R354" s="156" t="n">
        <v>8.0</v>
      </c>
      <c r="S354" s="157" t="inlineStr">
        <is>
          <t/>
        </is>
      </c>
      <c r="T354" s="158" t="inlineStr">
        <is>
          <t/>
        </is>
      </c>
      <c r="U354" s="159" t="n">
        <v>2012.0</v>
      </c>
      <c r="V354" s="160" t="inlineStr">
        <is>
          <t/>
        </is>
      </c>
      <c r="W354" s="161" t="inlineStr">
        <is>
          <t/>
        </is>
      </c>
      <c r="X354" s="162" t="inlineStr">
        <is>
          <t/>
        </is>
      </c>
      <c r="Y354" s="163" t="n">
        <v>5.30262</v>
      </c>
      <c r="Z354" s="164" t="inlineStr">
        <is>
          <t/>
        </is>
      </c>
      <c r="AA354" s="165" t="inlineStr">
        <is>
          <t/>
        </is>
      </c>
      <c r="AB354" s="166" t="inlineStr">
        <is>
          <t/>
        </is>
      </c>
      <c r="AC354" s="167" t="inlineStr">
        <is>
          <t/>
        </is>
      </c>
      <c r="AD354" s="168" t="inlineStr">
        <is>
          <t>FY 2016</t>
        </is>
      </c>
      <c r="AE354" s="169" t="inlineStr">
        <is>
          <t>147762-10P</t>
        </is>
      </c>
      <c r="AF354" s="170" t="inlineStr">
        <is>
          <t>Karri Andersson</t>
        </is>
      </c>
      <c r="AG354" s="171" t="inlineStr">
        <is>
          <t>Chief Executive Officer</t>
        </is>
      </c>
      <c r="AH354" s="172" t="inlineStr">
        <is>
          <t>kari.andersson@plantui.com</t>
        </is>
      </c>
      <c r="AI354" s="173" t="inlineStr">
        <is>
          <t>+358 (0)50 371 8882</t>
        </is>
      </c>
      <c r="AJ354" s="174" t="inlineStr">
        <is>
          <t>Turku, Finland</t>
        </is>
      </c>
      <c r="AK354" s="175" t="inlineStr">
        <is>
          <t>Logomo Konttori</t>
        </is>
      </c>
      <c r="AL354" s="176" t="inlineStr">
        <is>
          <t>Köydenpunojankatu 14</t>
        </is>
      </c>
      <c r="AM354" s="177" t="inlineStr">
        <is>
          <t>Turku</t>
        </is>
      </c>
      <c r="AN354" s="178" t="inlineStr">
        <is>
          <t/>
        </is>
      </c>
      <c r="AO354" s="179" t="inlineStr">
        <is>
          <t>20100</t>
        </is>
      </c>
      <c r="AP354" s="180" t="inlineStr">
        <is>
          <t>Finland</t>
        </is>
      </c>
      <c r="AQ354" s="181" t="inlineStr">
        <is>
          <t/>
        </is>
      </c>
      <c r="AR354" s="182" t="inlineStr">
        <is>
          <t/>
        </is>
      </c>
      <c r="AS354" s="183" t="inlineStr">
        <is>
          <t/>
        </is>
      </c>
      <c r="AT354" s="184" t="inlineStr">
        <is>
          <t>Europe</t>
        </is>
      </c>
      <c r="AU354" s="185" t="inlineStr">
        <is>
          <t>Northern Europe</t>
        </is>
      </c>
      <c r="AV354" s="186" t="inlineStr">
        <is>
          <t>The company raised EUR 200,000 of Series C venture funding from Innovestor in September 2016. Previously, the company raised EUR 700,000 of Series B venture funding from Innovestor in March 2016.</t>
        </is>
      </c>
      <c r="AW354" s="187" t="inlineStr">
        <is>
          <t>Innovestor, Timo Ketonen</t>
        </is>
      </c>
      <c r="AX354" s="188" t="n">
        <v>2.0</v>
      </c>
      <c r="AY354" s="189" t="inlineStr">
        <is>
          <t/>
        </is>
      </c>
      <c r="AZ354" s="190" t="inlineStr">
        <is>
          <t/>
        </is>
      </c>
      <c r="BA354" s="191" t="inlineStr">
        <is>
          <t/>
        </is>
      </c>
      <c r="BB354" s="192" t="inlineStr">
        <is>
          <t>Innovestor (www.innovestorgroup.com)</t>
        </is>
      </c>
      <c r="BC354" s="193" t="inlineStr">
        <is>
          <t/>
        </is>
      </c>
      <c r="BD354" s="194" t="inlineStr">
        <is>
          <t/>
        </is>
      </c>
      <c r="BE354" s="195" t="inlineStr">
        <is>
          <t/>
        </is>
      </c>
      <c r="BF354" s="196" t="inlineStr">
        <is>
          <t>Tekes, Indiegogo (Lead Manager or Arranger)</t>
        </is>
      </c>
      <c r="BG354" s="197" t="n">
        <v>42005.0</v>
      </c>
      <c r="BH354" s="198" t="n">
        <v>0.01</v>
      </c>
      <c r="BI354" s="199" t="inlineStr">
        <is>
          <t>Actual</t>
        </is>
      </c>
      <c r="BJ354" s="200" t="inlineStr">
        <is>
          <t/>
        </is>
      </c>
      <c r="BK354" s="201" t="inlineStr">
        <is>
          <t/>
        </is>
      </c>
      <c r="BL354" s="202" t="inlineStr">
        <is>
          <t>Product Crowdfunding</t>
        </is>
      </c>
      <c r="BM354" s="203" t="inlineStr">
        <is>
          <t/>
        </is>
      </c>
      <c r="BN354" s="204" t="inlineStr">
        <is>
          <t/>
        </is>
      </c>
      <c r="BO354" s="205" t="inlineStr">
        <is>
          <t>Individual</t>
        </is>
      </c>
      <c r="BP354" s="206" t="inlineStr">
        <is>
          <t/>
        </is>
      </c>
      <c r="BQ354" s="207" t="inlineStr">
        <is>
          <t/>
        </is>
      </c>
      <c r="BR354" s="208" t="inlineStr">
        <is>
          <t/>
        </is>
      </c>
      <c r="BS354" s="209" t="inlineStr">
        <is>
          <t>Failed/Cancelled</t>
        </is>
      </c>
      <c r="BT354" s="210" t="n">
        <v>42614.0</v>
      </c>
      <c r="BU354" s="211" t="n">
        <v>0.2</v>
      </c>
      <c r="BV354" s="212" t="inlineStr">
        <is>
          <t>Actual</t>
        </is>
      </c>
      <c r="BW354" s="213" t="inlineStr">
        <is>
          <t/>
        </is>
      </c>
      <c r="BX354" s="214" t="inlineStr">
        <is>
          <t/>
        </is>
      </c>
      <c r="BY354" s="215" t="inlineStr">
        <is>
          <t>Later Stage VC</t>
        </is>
      </c>
      <c r="BZ354" s="216" t="inlineStr">
        <is>
          <t>Series C</t>
        </is>
      </c>
      <c r="CA354" s="217" t="inlineStr">
        <is>
          <t/>
        </is>
      </c>
      <c r="CB354" s="218" t="inlineStr">
        <is>
          <t>Venture Capital</t>
        </is>
      </c>
      <c r="CC354" s="219" t="inlineStr">
        <is>
          <t/>
        </is>
      </c>
      <c r="CD354" s="220" t="inlineStr">
        <is>
          <t/>
        </is>
      </c>
      <c r="CE354" s="221" t="inlineStr">
        <is>
          <t/>
        </is>
      </c>
      <c r="CF354" s="222" t="inlineStr">
        <is>
          <t>Completed</t>
        </is>
      </c>
      <c r="CG354" s="223" t="inlineStr">
        <is>
          <t>-1,16%</t>
        </is>
      </c>
      <c r="CH354" s="224" t="inlineStr">
        <is>
          <t>5</t>
        </is>
      </c>
      <c r="CI354" s="225" t="inlineStr">
        <is>
          <t>-0,01%</t>
        </is>
      </c>
      <c r="CJ354" s="226" t="inlineStr">
        <is>
          <t>-0,93%</t>
        </is>
      </c>
      <c r="CK354" s="227" t="inlineStr">
        <is>
          <t>-2,47%</t>
        </is>
      </c>
      <c r="CL354" s="228" t="inlineStr">
        <is>
          <t>4</t>
        </is>
      </c>
      <c r="CM354" s="229" t="inlineStr">
        <is>
          <t>0,15%</t>
        </is>
      </c>
      <c r="CN354" s="230" t="inlineStr">
        <is>
          <t>67</t>
        </is>
      </c>
      <c r="CO354" s="231" t="inlineStr">
        <is>
          <t>-4,94%</t>
        </is>
      </c>
      <c r="CP354" s="232" t="inlineStr">
        <is>
          <t>7</t>
        </is>
      </c>
      <c r="CQ354" s="233" t="inlineStr">
        <is>
          <t>0,00%</t>
        </is>
      </c>
      <c r="CR354" s="234" t="inlineStr">
        <is>
          <t>13</t>
        </is>
      </c>
      <c r="CS354" s="235" t="inlineStr">
        <is>
          <t>0,15%</t>
        </is>
      </c>
      <c r="CT354" s="236" t="inlineStr">
        <is>
          <t>65</t>
        </is>
      </c>
      <c r="CU354" s="237" t="inlineStr">
        <is>
          <t>0,16%</t>
        </is>
      </c>
      <c r="CV354" s="238" t="inlineStr">
        <is>
          <t>74</t>
        </is>
      </c>
      <c r="CW354" s="239" t="inlineStr">
        <is>
          <t>3,35x</t>
        </is>
      </c>
      <c r="CX354" s="240" t="inlineStr">
        <is>
          <t>73</t>
        </is>
      </c>
      <c r="CY354" s="241" t="inlineStr">
        <is>
          <t>0,07x</t>
        </is>
      </c>
      <c r="CZ354" s="242" t="inlineStr">
        <is>
          <t>2,01%</t>
        </is>
      </c>
      <c r="DA354" s="243" t="inlineStr">
        <is>
          <t>1,59x</t>
        </is>
      </c>
      <c r="DB354" s="244" t="inlineStr">
        <is>
          <t>62</t>
        </is>
      </c>
      <c r="DC354" s="245" t="inlineStr">
        <is>
          <t>5,11x</t>
        </is>
      </c>
      <c r="DD354" s="246" t="inlineStr">
        <is>
          <t>76</t>
        </is>
      </c>
      <c r="DE354" s="247" t="inlineStr">
        <is>
          <t>1,40x</t>
        </is>
      </c>
      <c r="DF354" s="248" t="inlineStr">
        <is>
          <t>57</t>
        </is>
      </c>
      <c r="DG354" s="249" t="inlineStr">
        <is>
          <t>1,78x</t>
        </is>
      </c>
      <c r="DH354" s="250" t="inlineStr">
        <is>
          <t>62</t>
        </is>
      </c>
      <c r="DI354" s="251" t="inlineStr">
        <is>
          <t>8,36x</t>
        </is>
      </c>
      <c r="DJ354" s="252" t="inlineStr">
        <is>
          <t>80</t>
        </is>
      </c>
      <c r="DK354" s="253" t="inlineStr">
        <is>
          <t>1,86x</t>
        </is>
      </c>
      <c r="DL354" s="254" t="inlineStr">
        <is>
          <t>62</t>
        </is>
      </c>
      <c r="DM354" s="255" t="inlineStr">
        <is>
          <t>940</t>
        </is>
      </c>
      <c r="DN354" s="256" t="inlineStr">
        <is>
          <t>-243</t>
        </is>
      </c>
      <c r="DO354" s="257" t="inlineStr">
        <is>
          <t>-20,54%</t>
        </is>
      </c>
      <c r="DP354" s="258" t="inlineStr">
        <is>
          <t>6.683</t>
        </is>
      </c>
      <c r="DQ354" s="259" t="inlineStr">
        <is>
          <t>12</t>
        </is>
      </c>
      <c r="DR354" s="260" t="inlineStr">
        <is>
          <t>0,18%</t>
        </is>
      </c>
      <c r="DS354" s="261" t="inlineStr">
        <is>
          <t>64</t>
        </is>
      </c>
      <c r="DT354" s="262" t="inlineStr">
        <is>
          <t>1</t>
        </is>
      </c>
      <c r="DU354" s="263" t="inlineStr">
        <is>
          <t>1,59%</t>
        </is>
      </c>
      <c r="DV354" s="264" t="inlineStr">
        <is>
          <t>639</t>
        </is>
      </c>
      <c r="DW354" s="265" t="inlineStr">
        <is>
          <t>2</t>
        </is>
      </c>
      <c r="DX354" s="266" t="inlineStr">
        <is>
          <t>0,31%</t>
        </is>
      </c>
      <c r="DY354" s="267" t="inlineStr">
        <is>
          <t>PitchBook Research</t>
        </is>
      </c>
      <c r="DZ354" s="786">
        <f>HYPERLINK("https://my.pitchbook.com?c=167168-62", "View company online")</f>
      </c>
    </row>
    <row r="355">
      <c r="A355" s="9" t="inlineStr">
        <is>
          <t>137840-59</t>
        </is>
      </c>
      <c r="B355" s="10" t="inlineStr">
        <is>
          <t>PlayFusion</t>
        </is>
      </c>
      <c r="C355" s="11" t="inlineStr">
        <is>
          <t/>
        </is>
      </c>
      <c r="D355" s="12" t="inlineStr">
        <is>
          <t/>
        </is>
      </c>
      <c r="E355" s="13" t="inlineStr">
        <is>
          <t>137840-59</t>
        </is>
      </c>
      <c r="F355" s="14" t="inlineStr">
        <is>
          <t>Developer of a next generation interactive entertainment technology platform designed to connect virtual worlds to the real world. The company's platform uses augmented reality technology and the Internet of things to connect players with the video games that can be used across multiple forms of media, enabling players to enjoy the deeper connected play experience.</t>
        </is>
      </c>
      <c r="G355" s="15" t="inlineStr">
        <is>
          <t>Information Technology</t>
        </is>
      </c>
      <c r="H355" s="16" t="inlineStr">
        <is>
          <t>Software</t>
        </is>
      </c>
      <c r="I355" s="17" t="inlineStr">
        <is>
          <t>Entertainment Software</t>
        </is>
      </c>
      <c r="J355" s="18" t="inlineStr">
        <is>
          <t>Entertainment Software*; Application Software</t>
        </is>
      </c>
      <c r="K355" s="19" t="inlineStr">
        <is>
          <t>Mobile</t>
        </is>
      </c>
      <c r="L355" s="20" t="inlineStr">
        <is>
          <t>Venture Capital-Backed</t>
        </is>
      </c>
      <c r="M355" s="21" t="n">
        <v>7.57</v>
      </c>
      <c r="N355" s="22" t="inlineStr">
        <is>
          <t>Startup</t>
        </is>
      </c>
      <c r="O355" s="23" t="inlineStr">
        <is>
          <t>Privately Held (backing)</t>
        </is>
      </c>
      <c r="P355" s="24" t="inlineStr">
        <is>
          <t>Venture Capital</t>
        </is>
      </c>
      <c r="Q355" s="25" t="inlineStr">
        <is>
          <t>www.playfusion.com</t>
        </is>
      </c>
      <c r="R355" s="26" t="inlineStr">
        <is>
          <t/>
        </is>
      </c>
      <c r="S355" s="27" t="inlineStr">
        <is>
          <t/>
        </is>
      </c>
      <c r="T355" s="28" t="inlineStr">
        <is>
          <t/>
        </is>
      </c>
      <c r="U355" s="29" t="n">
        <v>2015.0</v>
      </c>
      <c r="V355" s="30" t="inlineStr">
        <is>
          <t/>
        </is>
      </c>
      <c r="W355" s="31" t="inlineStr">
        <is>
          <t/>
        </is>
      </c>
      <c r="X355" s="32" t="inlineStr">
        <is>
          <t/>
        </is>
      </c>
      <c r="Y355" s="33" t="inlineStr">
        <is>
          <t/>
        </is>
      </c>
      <c r="Z355" s="34" t="inlineStr">
        <is>
          <t/>
        </is>
      </c>
      <c r="AA355" s="35" t="inlineStr">
        <is>
          <t/>
        </is>
      </c>
      <c r="AB355" s="36" t="inlineStr">
        <is>
          <t/>
        </is>
      </c>
      <c r="AC355" s="37" t="inlineStr">
        <is>
          <t/>
        </is>
      </c>
      <c r="AD355" s="38" t="inlineStr">
        <is>
          <t/>
        </is>
      </c>
      <c r="AE355" s="39" t="inlineStr">
        <is>
          <t>38893-15P</t>
        </is>
      </c>
      <c r="AF355" s="40" t="inlineStr">
        <is>
          <t>Mark Gerhard</t>
        </is>
      </c>
      <c r="AG355" s="41" t="inlineStr">
        <is>
          <t>Co-Founder, Board Member &amp; Chief Executive Officer</t>
        </is>
      </c>
      <c r="AH355" s="42" t="inlineStr">
        <is>
          <t>mark@playfusion.com</t>
        </is>
      </c>
      <c r="AI355" s="43" t="inlineStr">
        <is>
          <t/>
        </is>
      </c>
      <c r="AJ355" s="44" t="inlineStr">
        <is>
          <t>Cambridge, United Kingdom</t>
        </is>
      </c>
      <c r="AK355" s="45" t="inlineStr">
        <is>
          <t>St. Johns Innovation Centre</t>
        </is>
      </c>
      <c r="AL355" s="46" t="inlineStr">
        <is>
          <t>Cowley Road, Cambridgeshire</t>
        </is>
      </c>
      <c r="AM355" s="47" t="inlineStr">
        <is>
          <t>Cambridge</t>
        </is>
      </c>
      <c r="AN355" s="48" t="inlineStr">
        <is>
          <t>England</t>
        </is>
      </c>
      <c r="AO355" s="49" t="inlineStr">
        <is>
          <t>CB4 0WS</t>
        </is>
      </c>
      <c r="AP355" s="50" t="inlineStr">
        <is>
          <t>United Kingdom</t>
        </is>
      </c>
      <c r="AQ355" s="51" t="inlineStr">
        <is>
          <t/>
        </is>
      </c>
      <c r="AR355" s="52" t="inlineStr">
        <is>
          <t/>
        </is>
      </c>
      <c r="AS355" s="53" t="inlineStr">
        <is>
          <t>contact@playfusion.com</t>
        </is>
      </c>
      <c r="AT355" s="54" t="inlineStr">
        <is>
          <t>Europe</t>
        </is>
      </c>
      <c r="AU355" s="55" t="inlineStr">
        <is>
          <t>Western Europe</t>
        </is>
      </c>
      <c r="AV355" s="56" t="inlineStr">
        <is>
          <t>The company raised GBP 8.04 million of Series A venture funding in a deal led by Nexon Korea, subsidiary of Nexon on March 1, 2017, putting the company's pre-money valuation at GBP 76.7 million. London Venture Partners, Tomy International and other undisclosed investors also participated in this round. As a part of the transaction Nexon entered into a partnership with the company. Previously, the company raised $227,660 of product crowdfunding via Kickstarter on November 4, 2016.</t>
        </is>
      </c>
      <c r="AW355" s="57" t="inlineStr">
        <is>
          <t>London Venture Partners, NEXON MOBILE, Tomy International</t>
        </is>
      </c>
      <c r="AX355" s="58" t="n">
        <v>3.0</v>
      </c>
      <c r="AY355" s="59" t="inlineStr">
        <is>
          <t/>
        </is>
      </c>
      <c r="AZ355" s="60" t="inlineStr">
        <is>
          <t/>
        </is>
      </c>
      <c r="BA355" s="61" t="inlineStr">
        <is>
          <t/>
        </is>
      </c>
      <c r="BB355" s="62" t="inlineStr">
        <is>
          <t>London Venture Partners (www.londonvp.com), NEXON MOBILE (smart.nexon.com), Tomy International (www.tomy.com)</t>
        </is>
      </c>
      <c r="BC355" s="63" t="inlineStr">
        <is>
          <t/>
        </is>
      </c>
      <c r="BD355" s="64" t="inlineStr">
        <is>
          <t/>
        </is>
      </c>
      <c r="BE355" s="65" t="inlineStr">
        <is>
          <t/>
        </is>
      </c>
      <c r="BF355" s="66" t="inlineStr">
        <is>
          <t>Kickstarter (Lead Manager or Arranger)</t>
        </is>
      </c>
      <c r="BG355" s="67" t="n">
        <v>42613.0</v>
      </c>
      <c r="BH355" s="68" t="n">
        <v>0.04</v>
      </c>
      <c r="BI355" s="69" t="inlineStr">
        <is>
          <t>Actual</t>
        </is>
      </c>
      <c r="BJ355" s="70" t="n">
        <v>20.73</v>
      </c>
      <c r="BK355" s="71" t="inlineStr">
        <is>
          <t>Actual</t>
        </is>
      </c>
      <c r="BL355" s="72" t="inlineStr">
        <is>
          <t>Early Stage VC</t>
        </is>
      </c>
      <c r="BM355" s="73" t="inlineStr">
        <is>
          <t/>
        </is>
      </c>
      <c r="BN355" s="74" t="inlineStr">
        <is>
          <t/>
        </is>
      </c>
      <c r="BO355" s="75" t="inlineStr">
        <is>
          <t>Venture Capital</t>
        </is>
      </c>
      <c r="BP355" s="76" t="inlineStr">
        <is>
          <t/>
        </is>
      </c>
      <c r="BQ355" s="77" t="inlineStr">
        <is>
          <t/>
        </is>
      </c>
      <c r="BR355" s="78" t="inlineStr">
        <is>
          <t/>
        </is>
      </c>
      <c r="BS355" s="79" t="inlineStr">
        <is>
          <t>Completed</t>
        </is>
      </c>
      <c r="BT355" s="80" t="n">
        <v>42795.0</v>
      </c>
      <c r="BU355" s="81" t="n">
        <v>7.52</v>
      </c>
      <c r="BV355" s="82" t="inlineStr">
        <is>
          <t>Actual</t>
        </is>
      </c>
      <c r="BW355" s="83" t="n">
        <v>79.34</v>
      </c>
      <c r="BX355" s="84" t="inlineStr">
        <is>
          <t>Actual</t>
        </is>
      </c>
      <c r="BY355" s="85" t="inlineStr">
        <is>
          <t>Early Stage VC</t>
        </is>
      </c>
      <c r="BZ355" s="86" t="inlineStr">
        <is>
          <t>Series A</t>
        </is>
      </c>
      <c r="CA355" s="87" t="inlineStr">
        <is>
          <t/>
        </is>
      </c>
      <c r="CB355" s="88" t="inlineStr">
        <is>
          <t>Venture Capital</t>
        </is>
      </c>
      <c r="CC355" s="89" t="inlineStr">
        <is>
          <t/>
        </is>
      </c>
      <c r="CD355" s="90" t="inlineStr">
        <is>
          <t/>
        </is>
      </c>
      <c r="CE355" s="91" t="inlineStr">
        <is>
          <t/>
        </is>
      </c>
      <c r="CF355" s="92" t="inlineStr">
        <is>
          <t>Completed</t>
        </is>
      </c>
      <c r="CG355" s="93" t="inlineStr">
        <is>
          <t>-0,15%</t>
        </is>
      </c>
      <c r="CH355" s="94" t="inlineStr">
        <is>
          <t>13</t>
        </is>
      </c>
      <c r="CI355" s="95" t="inlineStr">
        <is>
          <t>-0,01%</t>
        </is>
      </c>
      <c r="CJ355" s="96" t="inlineStr">
        <is>
          <t>-3,53%</t>
        </is>
      </c>
      <c r="CK355" s="97" t="inlineStr">
        <is>
          <t>-0,77%</t>
        </is>
      </c>
      <c r="CL355" s="98" t="inlineStr">
        <is>
          <t>10</t>
        </is>
      </c>
      <c r="CM355" s="99" t="inlineStr">
        <is>
          <t>0,47%</t>
        </is>
      </c>
      <c r="CN355" s="100" t="inlineStr">
        <is>
          <t>89</t>
        </is>
      </c>
      <c r="CO355" s="101" t="inlineStr">
        <is>
          <t>-1,54%</t>
        </is>
      </c>
      <c r="CP355" s="102" t="inlineStr">
        <is>
          <t>17</t>
        </is>
      </c>
      <c r="CQ355" s="103" t="inlineStr">
        <is>
          <t>0,00%</t>
        </is>
      </c>
      <c r="CR355" s="104" t="inlineStr">
        <is>
          <t>13</t>
        </is>
      </c>
      <c r="CS355" s="105" t="inlineStr">
        <is>
          <t>0,67%</t>
        </is>
      </c>
      <c r="CT355" s="106" t="inlineStr">
        <is>
          <t>91</t>
        </is>
      </c>
      <c r="CU355" s="107" t="inlineStr">
        <is>
          <t>0,27%</t>
        </is>
      </c>
      <c r="CV355" s="108" t="inlineStr">
        <is>
          <t>83</t>
        </is>
      </c>
      <c r="CW355" s="109" t="inlineStr">
        <is>
          <t>3,98x</t>
        </is>
      </c>
      <c r="CX355" s="110" t="inlineStr">
        <is>
          <t>76</t>
        </is>
      </c>
      <c r="CY355" s="111" t="inlineStr">
        <is>
          <t>0,08x</t>
        </is>
      </c>
      <c r="CZ355" s="112" t="inlineStr">
        <is>
          <t>2,12%</t>
        </is>
      </c>
      <c r="DA355" s="113" t="inlineStr">
        <is>
          <t>1,04x</t>
        </is>
      </c>
      <c r="DB355" s="114" t="inlineStr">
        <is>
          <t>53</t>
        </is>
      </c>
      <c r="DC355" s="115" t="inlineStr">
        <is>
          <t>6,93x</t>
        </is>
      </c>
      <c r="DD355" s="116" t="inlineStr">
        <is>
          <t>80</t>
        </is>
      </c>
      <c r="DE355" s="117" t="inlineStr">
        <is>
          <t>1,66x</t>
        </is>
      </c>
      <c r="DF355" s="118" t="inlineStr">
        <is>
          <t>60</t>
        </is>
      </c>
      <c r="DG355" s="119" t="inlineStr">
        <is>
          <t>0,42x</t>
        </is>
      </c>
      <c r="DH355" s="120" t="inlineStr">
        <is>
          <t>32</t>
        </is>
      </c>
      <c r="DI355" s="121" t="inlineStr">
        <is>
          <t>0,29x</t>
        </is>
      </c>
      <c r="DJ355" s="122" t="inlineStr">
        <is>
          <t>29</t>
        </is>
      </c>
      <c r="DK355" s="123" t="inlineStr">
        <is>
          <t>13,57x</t>
        </is>
      </c>
      <c r="DL355" s="124" t="inlineStr">
        <is>
          <t>89</t>
        </is>
      </c>
      <c r="DM355" s="125" t="inlineStr">
        <is>
          <t>1.009</t>
        </is>
      </c>
      <c r="DN355" s="126" t="inlineStr">
        <is>
          <t>32</t>
        </is>
      </c>
      <c r="DO355" s="127" t="inlineStr">
        <is>
          <t>3,28%</t>
        </is>
      </c>
      <c r="DP355" s="128" t="inlineStr">
        <is>
          <t>233</t>
        </is>
      </c>
      <c r="DQ355" s="129" t="inlineStr">
        <is>
          <t>0</t>
        </is>
      </c>
      <c r="DR355" s="130" t="inlineStr">
        <is>
          <t>0,00%</t>
        </is>
      </c>
      <c r="DS355" s="131" t="inlineStr">
        <is>
          <t>15</t>
        </is>
      </c>
      <c r="DT355" s="132" t="inlineStr">
        <is>
          <t>0</t>
        </is>
      </c>
      <c r="DU355" s="133" t="inlineStr">
        <is>
          <t>0,00%</t>
        </is>
      </c>
      <c r="DV355" s="134" t="inlineStr">
        <is>
          <t>4.648</t>
        </is>
      </c>
      <c r="DW355" s="135" t="inlineStr">
        <is>
          <t>19</t>
        </is>
      </c>
      <c r="DX355" s="136" t="inlineStr">
        <is>
          <t>0,41%</t>
        </is>
      </c>
      <c r="DY355" s="137" t="inlineStr">
        <is>
          <t>PitchBook Research</t>
        </is>
      </c>
      <c r="DZ355" s="785">
        <f>HYPERLINK("https://my.pitchbook.com?c=137840-59", "View company online")</f>
      </c>
    </row>
    <row r="356">
      <c r="A356" s="139" t="inlineStr">
        <is>
          <t>61202-35</t>
        </is>
      </c>
      <c r="B356" s="140" t="inlineStr">
        <is>
          <t>PlayRaven</t>
        </is>
      </c>
      <c r="C356" s="141" t="inlineStr">
        <is>
          <t/>
        </is>
      </c>
      <c r="D356" s="142" t="inlineStr">
        <is>
          <t/>
        </is>
      </c>
      <c r="E356" s="143" t="inlineStr">
        <is>
          <t>61202-35</t>
        </is>
      </c>
      <c r="F356" s="144" t="inlineStr">
        <is>
          <t>Operator of a game developer studio. The company is the creator of original strategy games for touch screens, set in the real world and with historical inspiration.</t>
        </is>
      </c>
      <c r="G356" s="145" t="inlineStr">
        <is>
          <t>Information Technology</t>
        </is>
      </c>
      <c r="H356" s="146" t="inlineStr">
        <is>
          <t>Software</t>
        </is>
      </c>
      <c r="I356" s="147" t="inlineStr">
        <is>
          <t>Entertainment Software</t>
        </is>
      </c>
      <c r="J356" s="148" t="inlineStr">
        <is>
          <t>Entertainment Software*</t>
        </is>
      </c>
      <c r="K356" s="149" t="inlineStr">
        <is>
          <t/>
        </is>
      </c>
      <c r="L356" s="150" t="inlineStr">
        <is>
          <t>Venture Capital-Backed</t>
        </is>
      </c>
      <c r="M356" s="151" t="n">
        <v>6.09</v>
      </c>
      <c r="N356" s="152" t="inlineStr">
        <is>
          <t>Generating Revenue/Not Profitable</t>
        </is>
      </c>
      <c r="O356" s="153" t="inlineStr">
        <is>
          <t>Privately Held (backing)</t>
        </is>
      </c>
      <c r="P356" s="154" t="inlineStr">
        <is>
          <t>Venture Capital</t>
        </is>
      </c>
      <c r="Q356" s="155" t="inlineStr">
        <is>
          <t>www.playraven.com</t>
        </is>
      </c>
      <c r="R356" s="156" t="n">
        <v>26.0</v>
      </c>
      <c r="S356" s="157" t="inlineStr">
        <is>
          <t/>
        </is>
      </c>
      <c r="T356" s="158" t="inlineStr">
        <is>
          <t/>
        </is>
      </c>
      <c r="U356" s="159" t="n">
        <v>2013.0</v>
      </c>
      <c r="V356" s="160" t="inlineStr">
        <is>
          <t/>
        </is>
      </c>
      <c r="W356" s="161" t="inlineStr">
        <is>
          <t/>
        </is>
      </c>
      <c r="X356" s="162" t="inlineStr">
        <is>
          <t/>
        </is>
      </c>
      <c r="Y356" s="163" t="n">
        <v>0.04059</v>
      </c>
      <c r="Z356" s="164" t="inlineStr">
        <is>
          <t/>
        </is>
      </c>
      <c r="AA356" s="165" t="n">
        <v>-0.92535</v>
      </c>
      <c r="AB356" s="166" t="inlineStr">
        <is>
          <t/>
        </is>
      </c>
      <c r="AC356" s="167" t="inlineStr">
        <is>
          <t/>
        </is>
      </c>
      <c r="AD356" s="168" t="inlineStr">
        <is>
          <t>FY 2014</t>
        </is>
      </c>
      <c r="AE356" s="169" t="inlineStr">
        <is>
          <t>59938-21P</t>
        </is>
      </c>
      <c r="AF356" s="170" t="inlineStr">
        <is>
          <t>Lasse Seppanen</t>
        </is>
      </c>
      <c r="AG356" s="171" t="inlineStr">
        <is>
          <t>Chief Executive Officer &amp; Co-Founder</t>
        </is>
      </c>
      <c r="AH356" s="172" t="inlineStr">
        <is>
          <t>lasse@playraven.com</t>
        </is>
      </c>
      <c r="AI356" s="173" t="inlineStr">
        <is>
          <t>+358 (0)40 539 8959</t>
        </is>
      </c>
      <c r="AJ356" s="174" t="inlineStr">
        <is>
          <t>Helsinki, Finland</t>
        </is>
      </c>
      <c r="AK356" s="175" t="inlineStr">
        <is>
          <t>Salomonkatu 17 A</t>
        </is>
      </c>
      <c r="AL356" s="176" t="inlineStr">
        <is>
          <t/>
        </is>
      </c>
      <c r="AM356" s="177" t="inlineStr">
        <is>
          <t>Helsinki</t>
        </is>
      </c>
      <c r="AN356" s="178" t="inlineStr">
        <is>
          <t/>
        </is>
      </c>
      <c r="AO356" s="179" t="inlineStr">
        <is>
          <t>00100</t>
        </is>
      </c>
      <c r="AP356" s="180" t="inlineStr">
        <is>
          <t>Finland</t>
        </is>
      </c>
      <c r="AQ356" s="181" t="inlineStr">
        <is>
          <t>+358 (0)40 539 8959</t>
        </is>
      </c>
      <c r="AR356" s="182" t="inlineStr">
        <is>
          <t/>
        </is>
      </c>
      <c r="AS356" s="183" t="inlineStr">
        <is>
          <t>info@playraven.com</t>
        </is>
      </c>
      <c r="AT356" s="184" t="inlineStr">
        <is>
          <t>Europe</t>
        </is>
      </c>
      <c r="AU356" s="185" t="inlineStr">
        <is>
          <t>Northern Europe</t>
        </is>
      </c>
      <c r="AV356" s="186" t="inlineStr">
        <is>
          <t>The company raised $7.5 million of seed funding from Northzone Ventures, London Venture Partners and Creandum on December 11, 2014. Jari Ovaskainen and David Gardner also participated in this round.</t>
        </is>
      </c>
      <c r="AW356" s="187" t="inlineStr">
        <is>
          <t>Creandum, David Gardner, Jari Ovaskainen, London Venture Partners, Northzone Ventures</t>
        </is>
      </c>
      <c r="AX356" s="188" t="n">
        <v>5.0</v>
      </c>
      <c r="AY356" s="189" t="inlineStr">
        <is>
          <t/>
        </is>
      </c>
      <c r="AZ356" s="190" t="inlineStr">
        <is>
          <t/>
        </is>
      </c>
      <c r="BA356" s="191" t="inlineStr">
        <is>
          <t/>
        </is>
      </c>
      <c r="BB356" s="192" t="inlineStr">
        <is>
          <t>Creandum (www.creandum.com), London Venture Partners (www.londonvp.com), Northzone Ventures (www.northzone.com)</t>
        </is>
      </c>
      <c r="BC356" s="193" t="inlineStr">
        <is>
          <t/>
        </is>
      </c>
      <c r="BD356" s="194" t="inlineStr">
        <is>
          <t/>
        </is>
      </c>
      <c r="BE356" s="195" t="inlineStr">
        <is>
          <t/>
        </is>
      </c>
      <c r="BF356" s="196" t="inlineStr">
        <is>
          <t/>
        </is>
      </c>
      <c r="BG356" s="197" t="n">
        <v>41984.0</v>
      </c>
      <c r="BH356" s="198" t="n">
        <v>6.09</v>
      </c>
      <c r="BI356" s="199" t="inlineStr">
        <is>
          <t>Actual</t>
        </is>
      </c>
      <c r="BJ356" s="200" t="inlineStr">
        <is>
          <t/>
        </is>
      </c>
      <c r="BK356" s="201" t="inlineStr">
        <is>
          <t/>
        </is>
      </c>
      <c r="BL356" s="202" t="inlineStr">
        <is>
          <t>Seed Round</t>
        </is>
      </c>
      <c r="BM356" s="203" t="inlineStr">
        <is>
          <t>Seed</t>
        </is>
      </c>
      <c r="BN356" s="204" t="inlineStr">
        <is>
          <t/>
        </is>
      </c>
      <c r="BO356" s="205" t="inlineStr">
        <is>
          <t>Venture Capital</t>
        </is>
      </c>
      <c r="BP356" s="206" t="inlineStr">
        <is>
          <t/>
        </is>
      </c>
      <c r="BQ356" s="207" t="inlineStr">
        <is>
          <t/>
        </is>
      </c>
      <c r="BR356" s="208" t="inlineStr">
        <is>
          <t/>
        </is>
      </c>
      <c r="BS356" s="209" t="inlineStr">
        <is>
          <t>Completed</t>
        </is>
      </c>
      <c r="BT356" s="210" t="n">
        <v>41984.0</v>
      </c>
      <c r="BU356" s="211" t="n">
        <v>6.09</v>
      </c>
      <c r="BV356" s="212" t="inlineStr">
        <is>
          <t>Actual</t>
        </is>
      </c>
      <c r="BW356" s="213" t="inlineStr">
        <is>
          <t/>
        </is>
      </c>
      <c r="BX356" s="214" t="inlineStr">
        <is>
          <t/>
        </is>
      </c>
      <c r="BY356" s="215" t="inlineStr">
        <is>
          <t>Seed Round</t>
        </is>
      </c>
      <c r="BZ356" s="216" t="inlineStr">
        <is>
          <t>Seed</t>
        </is>
      </c>
      <c r="CA356" s="217" t="inlineStr">
        <is>
          <t/>
        </is>
      </c>
      <c r="CB356" s="218" t="inlineStr">
        <is>
          <t>Venture Capital</t>
        </is>
      </c>
      <c r="CC356" s="219" t="inlineStr">
        <is>
          <t/>
        </is>
      </c>
      <c r="CD356" s="220" t="inlineStr">
        <is>
          <t/>
        </is>
      </c>
      <c r="CE356" s="221" t="inlineStr">
        <is>
          <t/>
        </is>
      </c>
      <c r="CF356" s="222" t="inlineStr">
        <is>
          <t>Completed</t>
        </is>
      </c>
      <c r="CG356" s="223" t="inlineStr">
        <is>
          <t>0,46%</t>
        </is>
      </c>
      <c r="CH356" s="224" t="inlineStr">
        <is>
          <t>83</t>
        </is>
      </c>
      <c r="CI356" s="225" t="inlineStr">
        <is>
          <t>0,20%</t>
        </is>
      </c>
      <c r="CJ356" s="226" t="inlineStr">
        <is>
          <t>75,04%</t>
        </is>
      </c>
      <c r="CK356" s="227" t="inlineStr">
        <is>
          <t>0,82%</t>
        </is>
      </c>
      <c r="CL356" s="228" t="inlineStr">
        <is>
          <t>86</t>
        </is>
      </c>
      <c r="CM356" s="229" t="inlineStr">
        <is>
          <t>0,09%</t>
        </is>
      </c>
      <c r="CN356" s="230" t="inlineStr">
        <is>
          <t>59</t>
        </is>
      </c>
      <c r="CO356" s="231" t="inlineStr">
        <is>
          <t>0,00%</t>
        </is>
      </c>
      <c r="CP356" s="232" t="inlineStr">
        <is>
          <t>26</t>
        </is>
      </c>
      <c r="CQ356" s="233" t="inlineStr">
        <is>
          <t>1,64%</t>
        </is>
      </c>
      <c r="CR356" s="234" t="inlineStr">
        <is>
          <t>90</t>
        </is>
      </c>
      <c r="CS356" s="235" t="inlineStr">
        <is>
          <t>-0,02%</t>
        </is>
      </c>
      <c r="CT356" s="236" t="inlineStr">
        <is>
          <t>12</t>
        </is>
      </c>
      <c r="CU356" s="237" t="inlineStr">
        <is>
          <t>0,21%</t>
        </is>
      </c>
      <c r="CV356" s="238" t="inlineStr">
        <is>
          <t>79</t>
        </is>
      </c>
      <c r="CW356" s="239" t="inlineStr">
        <is>
          <t>2,83x</t>
        </is>
      </c>
      <c r="CX356" s="240" t="inlineStr">
        <is>
          <t>70</t>
        </is>
      </c>
      <c r="CY356" s="241" t="inlineStr">
        <is>
          <t>0,12x</t>
        </is>
      </c>
      <c r="CZ356" s="242" t="inlineStr">
        <is>
          <t>4,58%</t>
        </is>
      </c>
      <c r="DA356" s="243" t="inlineStr">
        <is>
          <t>2,47x</t>
        </is>
      </c>
      <c r="DB356" s="244" t="inlineStr">
        <is>
          <t>70</t>
        </is>
      </c>
      <c r="DC356" s="245" t="inlineStr">
        <is>
          <t>3,18x</t>
        </is>
      </c>
      <c r="DD356" s="246" t="inlineStr">
        <is>
          <t>69</t>
        </is>
      </c>
      <c r="DE356" s="247" t="inlineStr">
        <is>
          <t>1,56x</t>
        </is>
      </c>
      <c r="DF356" s="248" t="inlineStr">
        <is>
          <t>59</t>
        </is>
      </c>
      <c r="DG356" s="249" t="inlineStr">
        <is>
          <t>3,39x</t>
        </is>
      </c>
      <c r="DH356" s="250" t="inlineStr">
        <is>
          <t>73</t>
        </is>
      </c>
      <c r="DI356" s="251" t="inlineStr">
        <is>
          <t>1,89x</t>
        </is>
      </c>
      <c r="DJ356" s="252" t="inlineStr">
        <is>
          <t>61</t>
        </is>
      </c>
      <c r="DK356" s="253" t="inlineStr">
        <is>
          <t>4,48x</t>
        </is>
      </c>
      <c r="DL356" s="254" t="inlineStr">
        <is>
          <t>76</t>
        </is>
      </c>
      <c r="DM356" s="255" t="inlineStr">
        <is>
          <t>917</t>
        </is>
      </c>
      <c r="DN356" s="256" t="inlineStr">
        <is>
          <t>117</t>
        </is>
      </c>
      <c r="DO356" s="257" t="inlineStr">
        <is>
          <t>14,63%</t>
        </is>
      </c>
      <c r="DP356" s="258" t="inlineStr">
        <is>
          <t>1.508</t>
        </is>
      </c>
      <c r="DQ356" s="259" t="inlineStr">
        <is>
          <t>0</t>
        </is>
      </c>
      <c r="DR356" s="260" t="inlineStr">
        <is>
          <t>0,00%</t>
        </is>
      </c>
      <c r="DS356" s="261" t="inlineStr">
        <is>
          <t>117</t>
        </is>
      </c>
      <c r="DT356" s="262" t="inlineStr">
        <is>
          <t>8</t>
        </is>
      </c>
      <c r="DU356" s="263" t="inlineStr">
        <is>
          <t>7,34%</t>
        </is>
      </c>
      <c r="DV356" s="264" t="inlineStr">
        <is>
          <t>1.535</t>
        </is>
      </c>
      <c r="DW356" s="265" t="inlineStr">
        <is>
          <t>3</t>
        </is>
      </c>
      <c r="DX356" s="266" t="inlineStr">
        <is>
          <t>0,20%</t>
        </is>
      </c>
      <c r="DY356" s="267" t="inlineStr">
        <is>
          <t>PitchBook Research</t>
        </is>
      </c>
      <c r="DZ356" s="786">
        <f>HYPERLINK("https://my.pitchbook.com?c=61202-35", "View company online")</f>
      </c>
    </row>
    <row r="357">
      <c r="A357" s="9" t="inlineStr">
        <is>
          <t>117408-07</t>
        </is>
      </c>
      <c r="B357" s="10" t="inlineStr">
        <is>
          <t>Plynk</t>
        </is>
      </c>
      <c r="C357" s="11" t="inlineStr">
        <is>
          <t>Bynk</t>
        </is>
      </c>
      <c r="D357" s="12" t="inlineStr">
        <is>
          <t/>
        </is>
      </c>
      <c r="E357" s="13" t="inlineStr">
        <is>
          <t>117408-07</t>
        </is>
      </c>
      <c r="F357" s="14" t="inlineStr">
        <is>
          <t>Provider of an instant money transfer application designed to offer an account and virtual mastercard . The company's instant money transfer application allows user to send money to other users through chat messages with photos and other media and also earn rewards.</t>
        </is>
      </c>
      <c r="G357" s="15" t="inlineStr">
        <is>
          <t>Information Technology</t>
        </is>
      </c>
      <c r="H357" s="16" t="inlineStr">
        <is>
          <t>Software</t>
        </is>
      </c>
      <c r="I357" s="17" t="inlineStr">
        <is>
          <t>Application Software</t>
        </is>
      </c>
      <c r="J357" s="18" t="inlineStr">
        <is>
          <t>Application Software*; Communication Software; Social/Platform Software</t>
        </is>
      </c>
      <c r="K357" s="19" t="inlineStr">
        <is>
          <t>FinTech, Mobile</t>
        </is>
      </c>
      <c r="L357" s="20" t="inlineStr">
        <is>
          <t>Venture Capital-Backed</t>
        </is>
      </c>
      <c r="M357" s="21" t="n">
        <v>25.75</v>
      </c>
      <c r="N357" s="22" t="inlineStr">
        <is>
          <t>Generating Revenue</t>
        </is>
      </c>
      <c r="O357" s="23" t="inlineStr">
        <is>
          <t>Privately Held (backing)</t>
        </is>
      </c>
      <c r="P357" s="24" t="inlineStr">
        <is>
          <t>Venture Capital</t>
        </is>
      </c>
      <c r="Q357" s="25" t="inlineStr">
        <is>
          <t>www.plynk.me</t>
        </is>
      </c>
      <c r="R357" s="26" t="n">
        <v>8.0</v>
      </c>
      <c r="S357" s="27" t="inlineStr">
        <is>
          <t/>
        </is>
      </c>
      <c r="T357" s="28" t="inlineStr">
        <is>
          <t/>
        </is>
      </c>
      <c r="U357" s="29" t="n">
        <v>2015.0</v>
      </c>
      <c r="V357" s="30" t="inlineStr">
        <is>
          <t/>
        </is>
      </c>
      <c r="W357" s="31" t="inlineStr">
        <is>
          <t/>
        </is>
      </c>
      <c r="X357" s="32" t="inlineStr">
        <is>
          <t/>
        </is>
      </c>
      <c r="Y357" s="33" t="inlineStr">
        <is>
          <t/>
        </is>
      </c>
      <c r="Z357" s="34" t="inlineStr">
        <is>
          <t/>
        </is>
      </c>
      <c r="AA357" s="35" t="inlineStr">
        <is>
          <t/>
        </is>
      </c>
      <c r="AB357" s="36" t="inlineStr">
        <is>
          <t/>
        </is>
      </c>
      <c r="AC357" s="37" t="inlineStr">
        <is>
          <t/>
        </is>
      </c>
      <c r="AD357" s="38" t="inlineStr">
        <is>
          <t/>
        </is>
      </c>
      <c r="AE357" s="39" t="inlineStr">
        <is>
          <t>111905-11P</t>
        </is>
      </c>
      <c r="AF357" s="40" t="inlineStr">
        <is>
          <t>Charles Dowd</t>
        </is>
      </c>
      <c r="AG357" s="41" t="inlineStr">
        <is>
          <t>Co-Founder &amp; Chief Executive Officer</t>
        </is>
      </c>
      <c r="AH357" s="42" t="inlineStr">
        <is>
          <t>charles@plynk.me</t>
        </is>
      </c>
      <c r="AI357" s="43" t="inlineStr">
        <is>
          <t/>
        </is>
      </c>
      <c r="AJ357" s="44" t="inlineStr">
        <is>
          <t>Dublin, Ireland</t>
        </is>
      </c>
      <c r="AK357" s="45" t="inlineStr">
        <is>
          <t>5 Avoca Park</t>
        </is>
      </c>
      <c r="AL357" s="46" t="inlineStr">
        <is>
          <t>Blackrock</t>
        </is>
      </c>
      <c r="AM357" s="47" t="inlineStr">
        <is>
          <t>Dublin</t>
        </is>
      </c>
      <c r="AN357" s="48" t="inlineStr">
        <is>
          <t/>
        </is>
      </c>
      <c r="AO357" s="49" t="inlineStr">
        <is>
          <t/>
        </is>
      </c>
      <c r="AP357" s="50" t="inlineStr">
        <is>
          <t>Ireland</t>
        </is>
      </c>
      <c r="AQ357" s="51" t="inlineStr">
        <is>
          <t/>
        </is>
      </c>
      <c r="AR357" s="52" t="inlineStr">
        <is>
          <t/>
        </is>
      </c>
      <c r="AS357" s="53" t="inlineStr">
        <is>
          <t/>
        </is>
      </c>
      <c r="AT357" s="54" t="inlineStr">
        <is>
          <t>Europe</t>
        </is>
      </c>
      <c r="AU357" s="55" t="inlineStr">
        <is>
          <t>Western Europe</t>
        </is>
      </c>
      <c r="AV357" s="56" t="inlineStr">
        <is>
          <t>The company raised EUR 25 million of Series A venture funding in a deal led by Swiss Privée and Irish Venture Capital Association on June 7, 2017. Other undisclosed investors also participated in the round. The funds will be used to expand across Europe, with eyes on Spain and Portugal next, and worldwide, add GBP to the platform, and hire more team members to continue development on the core product and to build more features. Previously, the company raised EUR 725,000 of seed funding from Bank of Ireland, Delta Partners, Enterprise Ireland, NDRC and other undisclosed angel investors on October 17, 2016.</t>
        </is>
      </c>
      <c r="AW357" s="57" t="inlineStr">
        <is>
          <t>Bank of Ireland, Delta Partners, Enterprise Ireland, Irish Venture Capital Association, NDRC, Swiss Privée</t>
        </is>
      </c>
      <c r="AX357" s="58" t="n">
        <v>6.0</v>
      </c>
      <c r="AY357" s="59" t="inlineStr">
        <is>
          <t/>
        </is>
      </c>
      <c r="AZ357" s="60" t="inlineStr">
        <is>
          <t/>
        </is>
      </c>
      <c r="BA357" s="61" t="inlineStr">
        <is>
          <t/>
        </is>
      </c>
      <c r="BB357" s="62" t="inlineStr">
        <is>
          <t>Bank of Ireland (www.bankofireland.com), Delta Partners (www.deltapartners.com), Enterprise Ireland (www.enterprise-ireland.com), Irish Venture Capital Association (www.ivca.ie), NDRC (www.ndrc.ie)</t>
        </is>
      </c>
      <c r="BC357" s="63" t="inlineStr">
        <is>
          <t/>
        </is>
      </c>
      <c r="BD357" s="64" t="inlineStr">
        <is>
          <t/>
        </is>
      </c>
      <c r="BE357" s="65" t="inlineStr">
        <is>
          <t/>
        </is>
      </c>
      <c r="BF357" s="66" t="inlineStr">
        <is>
          <t>William Fry (Legal Advisor)</t>
        </is>
      </c>
      <c r="BG357" s="67" t="n">
        <v>42093.0</v>
      </c>
      <c r="BH357" s="68" t="n">
        <v>0.02</v>
      </c>
      <c r="BI357" s="69" t="inlineStr">
        <is>
          <t>Actual</t>
        </is>
      </c>
      <c r="BJ357" s="70" t="inlineStr">
        <is>
          <t/>
        </is>
      </c>
      <c r="BK357" s="71" t="inlineStr">
        <is>
          <t/>
        </is>
      </c>
      <c r="BL357" s="72" t="inlineStr">
        <is>
          <t>Angel (individual)</t>
        </is>
      </c>
      <c r="BM357" s="73" t="inlineStr">
        <is>
          <t>Angel</t>
        </is>
      </c>
      <c r="BN357" s="74" t="inlineStr">
        <is>
          <t/>
        </is>
      </c>
      <c r="BO357" s="75" t="inlineStr">
        <is>
          <t>Individual</t>
        </is>
      </c>
      <c r="BP357" s="76" t="inlineStr">
        <is>
          <t/>
        </is>
      </c>
      <c r="BQ357" s="77" t="inlineStr">
        <is>
          <t/>
        </is>
      </c>
      <c r="BR357" s="78" t="inlineStr">
        <is>
          <t/>
        </is>
      </c>
      <c r="BS357" s="79" t="inlineStr">
        <is>
          <t>Completed</t>
        </is>
      </c>
      <c r="BT357" s="80" t="n">
        <v>42893.0</v>
      </c>
      <c r="BU357" s="81" t="n">
        <v>25.0</v>
      </c>
      <c r="BV357" s="82" t="inlineStr">
        <is>
          <t>Actual</t>
        </is>
      </c>
      <c r="BW357" s="83" t="inlineStr">
        <is>
          <t/>
        </is>
      </c>
      <c r="BX357" s="84" t="inlineStr">
        <is>
          <t/>
        </is>
      </c>
      <c r="BY357" s="85" t="inlineStr">
        <is>
          <t>Early Stage VC</t>
        </is>
      </c>
      <c r="BZ357" s="86" t="inlineStr">
        <is>
          <t>Series A</t>
        </is>
      </c>
      <c r="CA357" s="87" t="inlineStr">
        <is>
          <t/>
        </is>
      </c>
      <c r="CB357" s="88" t="inlineStr">
        <is>
          <t>Venture Capital</t>
        </is>
      </c>
      <c r="CC357" s="89" t="inlineStr">
        <is>
          <t/>
        </is>
      </c>
      <c r="CD357" s="90" t="inlineStr">
        <is>
          <t/>
        </is>
      </c>
      <c r="CE357" s="91" t="inlineStr">
        <is>
          <t/>
        </is>
      </c>
      <c r="CF357" s="92" t="inlineStr">
        <is>
          <t>Completed</t>
        </is>
      </c>
      <c r="CG357" s="93" t="inlineStr">
        <is>
          <t>-3,81%</t>
        </is>
      </c>
      <c r="CH357" s="94" t="inlineStr">
        <is>
          <t>1</t>
        </is>
      </c>
      <c r="CI357" s="95" t="inlineStr">
        <is>
          <t>0,01%</t>
        </is>
      </c>
      <c r="CJ357" s="96" t="inlineStr">
        <is>
          <t>0,26%</t>
        </is>
      </c>
      <c r="CK357" s="97" t="inlineStr">
        <is>
          <t>-8,24%</t>
        </is>
      </c>
      <c r="CL357" s="98" t="inlineStr">
        <is>
          <t>1</t>
        </is>
      </c>
      <c r="CM357" s="99" t="inlineStr">
        <is>
          <t>0,63%</t>
        </is>
      </c>
      <c r="CN357" s="100" t="inlineStr">
        <is>
          <t>92</t>
        </is>
      </c>
      <c r="CO357" s="101" t="inlineStr">
        <is>
          <t>-16,49%</t>
        </is>
      </c>
      <c r="CP357" s="102" t="inlineStr">
        <is>
          <t>1</t>
        </is>
      </c>
      <c r="CQ357" s="103" t="inlineStr">
        <is>
          <t>0,01%</t>
        </is>
      </c>
      <c r="CR357" s="104" t="inlineStr">
        <is>
          <t>82</t>
        </is>
      </c>
      <c r="CS357" s="105" t="inlineStr">
        <is>
          <t>0,53%</t>
        </is>
      </c>
      <c r="CT357" s="106" t="inlineStr">
        <is>
          <t>88</t>
        </is>
      </c>
      <c r="CU357" s="107" t="inlineStr">
        <is>
          <t>0,73%</t>
        </is>
      </c>
      <c r="CV357" s="108" t="inlineStr">
        <is>
          <t>95</t>
        </is>
      </c>
      <c r="CW357" s="109" t="inlineStr">
        <is>
          <t>1,57x</t>
        </is>
      </c>
      <c r="CX357" s="110" t="inlineStr">
        <is>
          <t>59</t>
        </is>
      </c>
      <c r="CY357" s="111" t="inlineStr">
        <is>
          <t>0,05x</t>
        </is>
      </c>
      <c r="CZ357" s="112" t="inlineStr">
        <is>
          <t>3,59%</t>
        </is>
      </c>
      <c r="DA357" s="113" t="inlineStr">
        <is>
          <t>1,81x</t>
        </is>
      </c>
      <c r="DB357" s="114" t="inlineStr">
        <is>
          <t>64</t>
        </is>
      </c>
      <c r="DC357" s="115" t="inlineStr">
        <is>
          <t>1,34x</t>
        </is>
      </c>
      <c r="DD357" s="116" t="inlineStr">
        <is>
          <t>54</t>
        </is>
      </c>
      <c r="DE357" s="117" t="inlineStr">
        <is>
          <t>1,28x</t>
        </is>
      </c>
      <c r="DF357" s="118" t="inlineStr">
        <is>
          <t>55</t>
        </is>
      </c>
      <c r="DG357" s="119" t="inlineStr">
        <is>
          <t>2,33x</t>
        </is>
      </c>
      <c r="DH357" s="120" t="inlineStr">
        <is>
          <t>67</t>
        </is>
      </c>
      <c r="DI357" s="121" t="inlineStr">
        <is>
          <t>0,70x</t>
        </is>
      </c>
      <c r="DJ357" s="122" t="inlineStr">
        <is>
          <t>44</t>
        </is>
      </c>
      <c r="DK357" s="123" t="inlineStr">
        <is>
          <t>1,97x</t>
        </is>
      </c>
      <c r="DL357" s="124" t="inlineStr">
        <is>
          <t>63</t>
        </is>
      </c>
      <c r="DM357" s="125" t="inlineStr">
        <is>
          <t>829</t>
        </is>
      </c>
      <c r="DN357" s="126" t="inlineStr">
        <is>
          <t>-123</t>
        </is>
      </c>
      <c r="DO357" s="127" t="inlineStr">
        <is>
          <t>-12,92%</t>
        </is>
      </c>
      <c r="DP357" s="128" t="inlineStr">
        <is>
          <t>556</t>
        </is>
      </c>
      <c r="DQ357" s="129" t="inlineStr">
        <is>
          <t>5</t>
        </is>
      </c>
      <c r="DR357" s="130" t="inlineStr">
        <is>
          <t>0,91%</t>
        </is>
      </c>
      <c r="DS357" s="131" t="inlineStr">
        <is>
          <t>82</t>
        </is>
      </c>
      <c r="DT357" s="132" t="inlineStr">
        <is>
          <t>0</t>
        </is>
      </c>
      <c r="DU357" s="133" t="inlineStr">
        <is>
          <t>0,00%</t>
        </is>
      </c>
      <c r="DV357" s="134" t="inlineStr">
        <is>
          <t>672</t>
        </is>
      </c>
      <c r="DW357" s="135" t="inlineStr">
        <is>
          <t>2</t>
        </is>
      </c>
      <c r="DX357" s="136" t="inlineStr">
        <is>
          <t>0,30%</t>
        </is>
      </c>
      <c r="DY357" s="137" t="inlineStr">
        <is>
          <t>PitchBook Research</t>
        </is>
      </c>
      <c r="DZ357" s="785">
        <f>HYPERLINK("https://my.pitchbook.com?c=117408-07", "View company online")</f>
      </c>
    </row>
    <row r="358">
      <c r="A358" s="139" t="inlineStr">
        <is>
          <t>154158-58</t>
        </is>
      </c>
      <c r="B358" s="140" t="inlineStr">
        <is>
          <t>Precision Ocular</t>
        </is>
      </c>
      <c r="C358" s="141" t="inlineStr">
        <is>
          <t/>
        </is>
      </c>
      <c r="D358" s="142" t="inlineStr">
        <is>
          <t/>
        </is>
      </c>
      <c r="E358" s="143" t="inlineStr">
        <is>
          <t>154158-58</t>
        </is>
      </c>
      <c r="F358" s="144" t="inlineStr">
        <is>
          <t>Developer of a drug-based treatment for retinal diseases. The company provides a treatment for retinal diseases, including age-related macular degeneration (AMD), diabetic macular edema (DME), retinal vein occlusion (RVO), uveitis and cystoid macular edema (CME).</t>
        </is>
      </c>
      <c r="G358" s="145" t="inlineStr">
        <is>
          <t>Healthcare</t>
        </is>
      </c>
      <c r="H358" s="146" t="inlineStr">
        <is>
          <t>Pharmaceuticals and Biotechnology</t>
        </is>
      </c>
      <c r="I358" s="147" t="inlineStr">
        <is>
          <t>Drug Delivery</t>
        </is>
      </c>
      <c r="J358" s="148" t="inlineStr">
        <is>
          <t>Drug Delivery*; Therapeutic Devices; Drug Discovery</t>
        </is>
      </c>
      <c r="K358" s="149" t="inlineStr">
        <is>
          <t>Life Sciences</t>
        </is>
      </c>
      <c r="L358" s="150" t="inlineStr">
        <is>
          <t>Venture Capital-Backed</t>
        </is>
      </c>
      <c r="M358" s="151" t="n">
        <v>18.43</v>
      </c>
      <c r="N358" s="152" t="inlineStr">
        <is>
          <t>Pre-Clinical Trials</t>
        </is>
      </c>
      <c r="O358" s="153" t="inlineStr">
        <is>
          <t>Privately Held (backing)</t>
        </is>
      </c>
      <c r="P358" s="154" t="inlineStr">
        <is>
          <t>Venture Capital</t>
        </is>
      </c>
      <c r="Q358" s="155" t="inlineStr">
        <is>
          <t/>
        </is>
      </c>
      <c r="R358" s="156" t="inlineStr">
        <is>
          <t/>
        </is>
      </c>
      <c r="S358" s="157" t="inlineStr">
        <is>
          <t/>
        </is>
      </c>
      <c r="T358" s="158" t="inlineStr">
        <is>
          <t/>
        </is>
      </c>
      <c r="U358" s="159" t="n">
        <v>2014.0</v>
      </c>
      <c r="V358" s="160" t="inlineStr">
        <is>
          <t/>
        </is>
      </c>
      <c r="W358" s="161" t="inlineStr">
        <is>
          <t/>
        </is>
      </c>
      <c r="X358" s="162" t="inlineStr">
        <is>
          <t/>
        </is>
      </c>
      <c r="Y358" s="163" t="inlineStr">
        <is>
          <t/>
        </is>
      </c>
      <c r="Z358" s="164" t="inlineStr">
        <is>
          <t/>
        </is>
      </c>
      <c r="AA358" s="165" t="inlineStr">
        <is>
          <t/>
        </is>
      </c>
      <c r="AB358" s="166" t="inlineStr">
        <is>
          <t/>
        </is>
      </c>
      <c r="AC358" s="167" t="inlineStr">
        <is>
          <t/>
        </is>
      </c>
      <c r="AD358" s="168" t="inlineStr">
        <is>
          <t/>
        </is>
      </c>
      <c r="AE358" s="169" t="inlineStr">
        <is>
          <t>36236-35P</t>
        </is>
      </c>
      <c r="AF358" s="170" t="inlineStr">
        <is>
          <t>Thomas Cavanagh</t>
        </is>
      </c>
      <c r="AG358" s="171" t="inlineStr">
        <is>
          <t>Co-Founder &amp; Chief Executive Officer &amp; Board Member</t>
        </is>
      </c>
      <c r="AH358" s="172" t="inlineStr">
        <is>
          <t/>
        </is>
      </c>
      <c r="AI358" s="173" t="inlineStr">
        <is>
          <t/>
        </is>
      </c>
      <c r="AJ358" s="174" t="inlineStr">
        <is>
          <t>London, United Kingdom</t>
        </is>
      </c>
      <c r="AK358" s="175" t="inlineStr">
        <is>
          <t>Riverbank House</t>
        </is>
      </c>
      <c r="AL358" s="176" t="inlineStr">
        <is>
          <t>2 Swan Lane</t>
        </is>
      </c>
      <c r="AM358" s="177" t="inlineStr">
        <is>
          <t>London</t>
        </is>
      </c>
      <c r="AN358" s="178" t="inlineStr">
        <is>
          <t>England</t>
        </is>
      </c>
      <c r="AO358" s="179" t="inlineStr">
        <is>
          <t>EC4R 3TT</t>
        </is>
      </c>
      <c r="AP358" s="180" t="inlineStr">
        <is>
          <t>United Kingdom</t>
        </is>
      </c>
      <c r="AQ358" s="181" t="inlineStr">
        <is>
          <t/>
        </is>
      </c>
      <c r="AR358" s="182" t="inlineStr">
        <is>
          <t/>
        </is>
      </c>
      <c r="AS358" s="183" t="inlineStr">
        <is>
          <t/>
        </is>
      </c>
      <c r="AT358" s="184" t="inlineStr">
        <is>
          <t>Europe</t>
        </is>
      </c>
      <c r="AU358" s="185" t="inlineStr">
        <is>
          <t>Western Europe</t>
        </is>
      </c>
      <c r="AV358" s="186" t="inlineStr">
        <is>
          <t>The company raised GBP 15.5 million of Series A venture funding in a deal led by Imperial Innovations Group on July 19, 2016, putting the pre-money valuation at GBP 16.25 million. Consort Medical, V-Bio Ventures, NeoMed Management and Hovione also participated in the round. The company will use funds to develop programmes to treat retinal diseases such as age related macular degeneration and diabetic macular oedema, as well as rare and orphan indications. The funds will also enable the development of our next generation ocular drug delivery systems.</t>
        </is>
      </c>
      <c r="AW358" s="187" t="inlineStr">
        <is>
          <t>Consort Medical, Hovione, NeoMed Management, Touchstone Innovations, V-Bio Ventures</t>
        </is>
      </c>
      <c r="AX358" s="188" t="n">
        <v>5.0</v>
      </c>
      <c r="AY358" s="189" t="inlineStr">
        <is>
          <t/>
        </is>
      </c>
      <c r="AZ358" s="190" t="inlineStr">
        <is>
          <t/>
        </is>
      </c>
      <c r="BA358" s="191" t="inlineStr">
        <is>
          <t/>
        </is>
      </c>
      <c r="BB358" s="192" t="inlineStr">
        <is>
          <t>Consort Medical (www.consortmedical.com), Hovione (hovione.com), NeoMed Management (www.neomed.net), Touchstone Innovations (www.touchstoneinnovations.com)</t>
        </is>
      </c>
      <c r="BC358" s="193" t="inlineStr">
        <is>
          <t/>
        </is>
      </c>
      <c r="BD358" s="194" t="inlineStr">
        <is>
          <t/>
        </is>
      </c>
      <c r="BE358" s="195" t="inlineStr">
        <is>
          <t/>
        </is>
      </c>
      <c r="BF358" s="196" t="inlineStr">
        <is>
          <t>FTI Consulting (Advisor)</t>
        </is>
      </c>
      <c r="BG358" s="197" t="n">
        <v>42570.0</v>
      </c>
      <c r="BH358" s="198" t="n">
        <v>18.43</v>
      </c>
      <c r="BI358" s="199" t="inlineStr">
        <is>
          <t>Actual</t>
        </is>
      </c>
      <c r="BJ358" s="200" t="n">
        <v>30.3</v>
      </c>
      <c r="BK358" s="201" t="inlineStr">
        <is>
          <t>Actual</t>
        </is>
      </c>
      <c r="BL358" s="202" t="inlineStr">
        <is>
          <t>Early Stage VC</t>
        </is>
      </c>
      <c r="BM358" s="203" t="inlineStr">
        <is>
          <t>Series A</t>
        </is>
      </c>
      <c r="BN358" s="204" t="inlineStr">
        <is>
          <t/>
        </is>
      </c>
      <c r="BO358" s="205" t="inlineStr">
        <is>
          <t>Venture Capital</t>
        </is>
      </c>
      <c r="BP358" s="206" t="inlineStr">
        <is>
          <t>Convertible Debt</t>
        </is>
      </c>
      <c r="BQ358" s="207" t="inlineStr">
        <is>
          <t/>
        </is>
      </c>
      <c r="BR358" s="208" t="inlineStr">
        <is>
          <t/>
        </is>
      </c>
      <c r="BS358" s="209" t="inlineStr">
        <is>
          <t>Completed</t>
        </is>
      </c>
      <c r="BT358" s="210" t="n">
        <v>42570.0</v>
      </c>
      <c r="BU358" s="211" t="n">
        <v>18.43</v>
      </c>
      <c r="BV358" s="212" t="inlineStr">
        <is>
          <t>Actual</t>
        </is>
      </c>
      <c r="BW358" s="213" t="n">
        <v>30.3</v>
      </c>
      <c r="BX358" s="214" t="inlineStr">
        <is>
          <t>Actual</t>
        </is>
      </c>
      <c r="BY358" s="215" t="inlineStr">
        <is>
          <t>Early Stage VC</t>
        </is>
      </c>
      <c r="BZ358" s="216" t="inlineStr">
        <is>
          <t>Series A</t>
        </is>
      </c>
      <c r="CA358" s="217" t="inlineStr">
        <is>
          <t/>
        </is>
      </c>
      <c r="CB358" s="218" t="inlineStr">
        <is>
          <t>Venture Capital</t>
        </is>
      </c>
      <c r="CC358" s="219" t="inlineStr">
        <is>
          <t>Convertible Debt</t>
        </is>
      </c>
      <c r="CD358" s="220" t="inlineStr">
        <is>
          <t/>
        </is>
      </c>
      <c r="CE358" s="221" t="inlineStr">
        <is>
          <t/>
        </is>
      </c>
      <c r="CF358" s="222" t="inlineStr">
        <is>
          <t>Completed</t>
        </is>
      </c>
      <c r="CG358" s="223" t="inlineStr">
        <is>
          <t/>
        </is>
      </c>
      <c r="CH358" s="224" t="inlineStr">
        <is>
          <t/>
        </is>
      </c>
      <c r="CI358" s="225" t="inlineStr">
        <is>
          <t/>
        </is>
      </c>
      <c r="CJ358" s="226" t="inlineStr">
        <is>
          <t/>
        </is>
      </c>
      <c r="CK358" s="227" t="inlineStr">
        <is>
          <t/>
        </is>
      </c>
      <c r="CL358" s="228" t="inlineStr">
        <is>
          <t/>
        </is>
      </c>
      <c r="CM358" s="229" t="inlineStr">
        <is>
          <t/>
        </is>
      </c>
      <c r="CN358" s="230" t="inlineStr">
        <is>
          <t/>
        </is>
      </c>
      <c r="CO358" s="231" t="inlineStr">
        <is>
          <t/>
        </is>
      </c>
      <c r="CP358" s="232" t="inlineStr">
        <is>
          <t/>
        </is>
      </c>
      <c r="CQ358" s="233" t="inlineStr">
        <is>
          <t/>
        </is>
      </c>
      <c r="CR358" s="234" t="inlineStr">
        <is>
          <t/>
        </is>
      </c>
      <c r="CS358" s="235" t="inlineStr">
        <is>
          <t/>
        </is>
      </c>
      <c r="CT358" s="236" t="inlineStr">
        <is>
          <t/>
        </is>
      </c>
      <c r="CU358" s="237" t="inlineStr">
        <is>
          <t/>
        </is>
      </c>
      <c r="CV358" s="238" t="inlineStr">
        <is>
          <t/>
        </is>
      </c>
      <c r="CW358" s="239" t="inlineStr">
        <is>
          <t/>
        </is>
      </c>
      <c r="CX358" s="240" t="inlineStr">
        <is>
          <t/>
        </is>
      </c>
      <c r="CY358" s="241" t="inlineStr">
        <is>
          <t/>
        </is>
      </c>
      <c r="CZ358" s="242" t="inlineStr">
        <is>
          <t/>
        </is>
      </c>
      <c r="DA358" s="243" t="inlineStr">
        <is>
          <t/>
        </is>
      </c>
      <c r="DB358" s="244" t="inlineStr">
        <is>
          <t/>
        </is>
      </c>
      <c r="DC358" s="245" t="inlineStr">
        <is>
          <t/>
        </is>
      </c>
      <c r="DD358" s="246" t="inlineStr">
        <is>
          <t/>
        </is>
      </c>
      <c r="DE358" s="247" t="inlineStr">
        <is>
          <t/>
        </is>
      </c>
      <c r="DF358" s="248" t="inlineStr">
        <is>
          <t/>
        </is>
      </c>
      <c r="DG358" s="249" t="inlineStr">
        <is>
          <t/>
        </is>
      </c>
      <c r="DH358" s="250" t="inlineStr">
        <is>
          <t/>
        </is>
      </c>
      <c r="DI358" s="251" t="inlineStr">
        <is>
          <t/>
        </is>
      </c>
      <c r="DJ358" s="252" t="inlineStr">
        <is>
          <t/>
        </is>
      </c>
      <c r="DK358" s="253" t="inlineStr">
        <is>
          <t/>
        </is>
      </c>
      <c r="DL358" s="254" t="inlineStr">
        <is>
          <t/>
        </is>
      </c>
      <c r="DM358" s="255" t="inlineStr">
        <is>
          <t/>
        </is>
      </c>
      <c r="DN358" s="256" t="inlineStr">
        <is>
          <t/>
        </is>
      </c>
      <c r="DO358" s="257" t="inlineStr">
        <is>
          <t/>
        </is>
      </c>
      <c r="DP358" s="258" t="inlineStr">
        <is>
          <t/>
        </is>
      </c>
      <c r="DQ358" s="259" t="inlineStr">
        <is>
          <t/>
        </is>
      </c>
      <c r="DR358" s="260" t="inlineStr">
        <is>
          <t/>
        </is>
      </c>
      <c r="DS358" s="261" t="inlineStr">
        <is>
          <t/>
        </is>
      </c>
      <c r="DT358" s="262" t="inlineStr">
        <is>
          <t/>
        </is>
      </c>
      <c r="DU358" s="263" t="inlineStr">
        <is>
          <t/>
        </is>
      </c>
      <c r="DV358" s="264" t="inlineStr">
        <is>
          <t/>
        </is>
      </c>
      <c r="DW358" s="265" t="inlineStr">
        <is>
          <t/>
        </is>
      </c>
      <c r="DX358" s="266" t="inlineStr">
        <is>
          <t/>
        </is>
      </c>
      <c r="DY358" s="267" t="inlineStr">
        <is>
          <t>PitchBook Research</t>
        </is>
      </c>
      <c r="DZ358" s="786">
        <f>HYPERLINK("https://my.pitchbook.com?c=154158-58", "View company online")</f>
      </c>
    </row>
    <row r="359">
      <c r="A359" s="9" t="inlineStr">
        <is>
          <t>126968-14</t>
        </is>
      </c>
      <c r="B359" s="10" t="inlineStr">
        <is>
          <t>PrEP Biopharm</t>
        </is>
      </c>
      <c r="C359" s="11" t="inlineStr">
        <is>
          <t/>
        </is>
      </c>
      <c r="D359" s="12" t="inlineStr">
        <is>
          <t/>
        </is>
      </c>
      <c r="E359" s="13" t="inlineStr">
        <is>
          <t>126968-14</t>
        </is>
      </c>
      <c r="F359" s="14" t="inlineStr">
        <is>
          <t>Developer of drugs designed to address unmet medical needs. The company's PrEP-001 is an immunomodulator that focuses on the cure of common cold and other respiratory diseases including prophylaxis for upper respiratory tract infections, enabling patients to be cured from viral infections at an earliest possible time.</t>
        </is>
      </c>
      <c r="G359" s="15" t="inlineStr">
        <is>
          <t>Healthcare</t>
        </is>
      </c>
      <c r="H359" s="16" t="inlineStr">
        <is>
          <t>Pharmaceuticals and Biotechnology</t>
        </is>
      </c>
      <c r="I359" s="17" t="inlineStr">
        <is>
          <t>Drug Discovery</t>
        </is>
      </c>
      <c r="J359" s="18" t="inlineStr">
        <is>
          <t>Drug Discovery*; Biotechnology</t>
        </is>
      </c>
      <c r="K359" s="19" t="inlineStr">
        <is>
          <t/>
        </is>
      </c>
      <c r="L359" s="20" t="inlineStr">
        <is>
          <t>Venture Capital-Backed</t>
        </is>
      </c>
      <c r="M359" s="21" t="n">
        <v>30.15</v>
      </c>
      <c r="N359" s="22" t="inlineStr">
        <is>
          <t>Startup</t>
        </is>
      </c>
      <c r="O359" s="23" t="inlineStr">
        <is>
          <t>Privately Held (backing)</t>
        </is>
      </c>
      <c r="P359" s="24" t="inlineStr">
        <is>
          <t>Venture Capital</t>
        </is>
      </c>
      <c r="Q359" s="25" t="inlineStr">
        <is>
          <t>www.prepbiopharm.com</t>
        </is>
      </c>
      <c r="R359" s="26" t="n">
        <v>4.0</v>
      </c>
      <c r="S359" s="27" t="inlineStr">
        <is>
          <t/>
        </is>
      </c>
      <c r="T359" s="28" t="inlineStr">
        <is>
          <t/>
        </is>
      </c>
      <c r="U359" s="29" t="n">
        <v>2015.0</v>
      </c>
      <c r="V359" s="30" t="inlineStr">
        <is>
          <t/>
        </is>
      </c>
      <c r="W359" s="31" t="inlineStr">
        <is>
          <t/>
        </is>
      </c>
      <c r="X359" s="32" t="inlineStr">
        <is>
          <t/>
        </is>
      </c>
      <c r="Y359" s="33" t="inlineStr">
        <is>
          <t/>
        </is>
      </c>
      <c r="Z359" s="34" t="inlineStr">
        <is>
          <t/>
        </is>
      </c>
      <c r="AA359" s="35" t="n">
        <v>-13.40358</v>
      </c>
      <c r="AB359" s="36" t="inlineStr">
        <is>
          <t/>
        </is>
      </c>
      <c r="AC359" s="37" t="n">
        <v>-14.86441</v>
      </c>
      <c r="AD359" s="38" t="inlineStr">
        <is>
          <t>FY 2016</t>
        </is>
      </c>
      <c r="AE359" s="39" t="inlineStr">
        <is>
          <t>118643-05P</t>
        </is>
      </c>
      <c r="AF359" s="40" t="inlineStr">
        <is>
          <t>Ryan Muldoon</t>
        </is>
      </c>
      <c r="AG359" s="41" t="inlineStr">
        <is>
          <t>Co-Founder, Chief Executive Officer and Board Member</t>
        </is>
      </c>
      <c r="AH359" s="42" t="inlineStr">
        <is>
          <t/>
        </is>
      </c>
      <c r="AI359" s="43" t="inlineStr">
        <is>
          <t/>
        </is>
      </c>
      <c r="AJ359" s="44" t="inlineStr">
        <is>
          <t>London, United Kingdom</t>
        </is>
      </c>
      <c r="AK359" s="45" t="inlineStr">
        <is>
          <t>Queen Mary Bioenterprises Innovation Centre</t>
        </is>
      </c>
      <c r="AL359" s="46" t="inlineStr">
        <is>
          <t>42 New road</t>
        </is>
      </c>
      <c r="AM359" s="47" t="inlineStr">
        <is>
          <t>London</t>
        </is>
      </c>
      <c r="AN359" s="48" t="inlineStr">
        <is>
          <t>England</t>
        </is>
      </c>
      <c r="AO359" s="49" t="inlineStr">
        <is>
          <t>E1 2AX</t>
        </is>
      </c>
      <c r="AP359" s="50" t="inlineStr">
        <is>
          <t>United Kingdom</t>
        </is>
      </c>
      <c r="AQ359" s="51" t="inlineStr">
        <is>
          <t/>
        </is>
      </c>
      <c r="AR359" s="52" t="inlineStr">
        <is>
          <t/>
        </is>
      </c>
      <c r="AS359" s="53" t="inlineStr">
        <is>
          <t>info@prepbiopharm.com</t>
        </is>
      </c>
      <c r="AT359" s="54" t="inlineStr">
        <is>
          <t>Europe</t>
        </is>
      </c>
      <c r="AU359" s="55" t="inlineStr">
        <is>
          <t>Western Europe</t>
        </is>
      </c>
      <c r="AV359" s="56" t="inlineStr">
        <is>
          <t>The company raised $32.4 million of Series A venture funding from hVIVO, Johnson &amp; Johnson Innovation and other undisclosed investors on November 16, 2015. The company will use the funds to complete ongoing phase 2a development of its lead compound, PrEP-001.</t>
        </is>
      </c>
      <c r="AW359" s="57" t="inlineStr">
        <is>
          <t>hVIVO, Johnson &amp; Johnson Innovation - JJDC</t>
        </is>
      </c>
      <c r="AX359" s="58" t="n">
        <v>2.0</v>
      </c>
      <c r="AY359" s="59" t="inlineStr">
        <is>
          <t/>
        </is>
      </c>
      <c r="AZ359" s="60" t="inlineStr">
        <is>
          <t/>
        </is>
      </c>
      <c r="BA359" s="61" t="inlineStr">
        <is>
          <t/>
        </is>
      </c>
      <c r="BB359" s="62" t="inlineStr">
        <is>
          <t>hVIVO (www.hvivo.com), Johnson &amp; Johnson Innovation - JJDC (www.jnjinnovation.com/jjdc)</t>
        </is>
      </c>
      <c r="BC359" s="63" t="inlineStr">
        <is>
          <t/>
        </is>
      </c>
      <c r="BD359" s="64" t="inlineStr">
        <is>
          <t/>
        </is>
      </c>
      <c r="BE359" s="65" t="inlineStr">
        <is>
          <t/>
        </is>
      </c>
      <c r="BF359" s="66" t="inlineStr">
        <is>
          <t>Bristows (Legal Advisor), Foley Hoag (Legal Advisor)</t>
        </is>
      </c>
      <c r="BG359" s="67" t="n">
        <v>42324.0</v>
      </c>
      <c r="BH359" s="68" t="n">
        <v>30.15</v>
      </c>
      <c r="BI359" s="69" t="inlineStr">
        <is>
          <t>Actual</t>
        </is>
      </c>
      <c r="BJ359" s="70" t="inlineStr">
        <is>
          <t/>
        </is>
      </c>
      <c r="BK359" s="71" t="inlineStr">
        <is>
          <t/>
        </is>
      </c>
      <c r="BL359" s="72" t="inlineStr">
        <is>
          <t>Early Stage VC</t>
        </is>
      </c>
      <c r="BM359" s="73" t="inlineStr">
        <is>
          <t>Series A</t>
        </is>
      </c>
      <c r="BN359" s="74" t="inlineStr">
        <is>
          <t/>
        </is>
      </c>
      <c r="BO359" s="75" t="inlineStr">
        <is>
          <t>Venture Capital</t>
        </is>
      </c>
      <c r="BP359" s="76" t="inlineStr">
        <is>
          <t/>
        </is>
      </c>
      <c r="BQ359" s="77" t="inlineStr">
        <is>
          <t/>
        </is>
      </c>
      <c r="BR359" s="78" t="inlineStr">
        <is>
          <t/>
        </is>
      </c>
      <c r="BS359" s="79" t="inlineStr">
        <is>
          <t>Completed</t>
        </is>
      </c>
      <c r="BT359" s="80" t="n">
        <v>42324.0</v>
      </c>
      <c r="BU359" s="81" t="n">
        <v>30.15</v>
      </c>
      <c r="BV359" s="82" t="inlineStr">
        <is>
          <t>Actual</t>
        </is>
      </c>
      <c r="BW359" s="83" t="inlineStr">
        <is>
          <t/>
        </is>
      </c>
      <c r="BX359" s="84" t="inlineStr">
        <is>
          <t/>
        </is>
      </c>
      <c r="BY359" s="85" t="inlineStr">
        <is>
          <t>Early Stage VC</t>
        </is>
      </c>
      <c r="BZ359" s="86" t="inlineStr">
        <is>
          <t>Series A</t>
        </is>
      </c>
      <c r="CA359" s="87" t="inlineStr">
        <is>
          <t/>
        </is>
      </c>
      <c r="CB359" s="88" t="inlineStr">
        <is>
          <t>Venture Capital</t>
        </is>
      </c>
      <c r="CC359" s="89" t="inlineStr">
        <is>
          <t/>
        </is>
      </c>
      <c r="CD359" s="90" t="inlineStr">
        <is>
          <t/>
        </is>
      </c>
      <c r="CE359" s="91" t="inlineStr">
        <is>
          <t/>
        </is>
      </c>
      <c r="CF359" s="92" t="inlineStr">
        <is>
          <t>Completed</t>
        </is>
      </c>
      <c r="CG359" s="93" t="inlineStr">
        <is>
          <t>0,00%</t>
        </is>
      </c>
      <c r="CH359" s="94" t="inlineStr">
        <is>
          <t>23</t>
        </is>
      </c>
      <c r="CI359" s="95" t="inlineStr">
        <is>
          <t>0,00%</t>
        </is>
      </c>
      <c r="CJ359" s="96" t="inlineStr">
        <is>
          <t>0,00%</t>
        </is>
      </c>
      <c r="CK359" s="97" t="inlineStr">
        <is>
          <t>0,00%</t>
        </is>
      </c>
      <c r="CL359" s="98" t="inlineStr">
        <is>
          <t>18</t>
        </is>
      </c>
      <c r="CM359" s="99" t="inlineStr">
        <is>
          <t/>
        </is>
      </c>
      <c r="CN359" s="100" t="inlineStr">
        <is>
          <t/>
        </is>
      </c>
      <c r="CO359" s="101" t="inlineStr">
        <is>
          <t/>
        </is>
      </c>
      <c r="CP359" s="102" t="inlineStr">
        <is>
          <t/>
        </is>
      </c>
      <c r="CQ359" s="103" t="inlineStr">
        <is>
          <t>0,00%</t>
        </is>
      </c>
      <c r="CR359" s="104" t="inlineStr">
        <is>
          <t>13</t>
        </is>
      </c>
      <c r="CS359" s="105" t="inlineStr">
        <is>
          <t/>
        </is>
      </c>
      <c r="CT359" s="106" t="inlineStr">
        <is>
          <t/>
        </is>
      </c>
      <c r="CU359" s="107" t="inlineStr">
        <is>
          <t/>
        </is>
      </c>
      <c r="CV359" s="108" t="inlineStr">
        <is>
          <t/>
        </is>
      </c>
      <c r="CW359" s="109" t="inlineStr">
        <is>
          <t>0,14x</t>
        </is>
      </c>
      <c r="CX359" s="110" t="inlineStr">
        <is>
          <t>12</t>
        </is>
      </c>
      <c r="CY359" s="111" t="inlineStr">
        <is>
          <t>0,00x</t>
        </is>
      </c>
      <c r="CZ359" s="112" t="inlineStr">
        <is>
          <t>2,78%</t>
        </is>
      </c>
      <c r="DA359" s="113" t="inlineStr">
        <is>
          <t>0,14x</t>
        </is>
      </c>
      <c r="DB359" s="114" t="inlineStr">
        <is>
          <t>14</t>
        </is>
      </c>
      <c r="DC359" s="115" t="inlineStr">
        <is>
          <t/>
        </is>
      </c>
      <c r="DD359" s="116" t="inlineStr">
        <is>
          <t/>
        </is>
      </c>
      <c r="DE359" s="117" t="inlineStr">
        <is>
          <t/>
        </is>
      </c>
      <c r="DF359" s="118" t="inlineStr">
        <is>
          <t/>
        </is>
      </c>
      <c r="DG359" s="119" t="inlineStr">
        <is>
          <t>0,14x</t>
        </is>
      </c>
      <c r="DH359" s="120" t="inlineStr">
        <is>
          <t>15</t>
        </is>
      </c>
      <c r="DI359" s="121" t="inlineStr">
        <is>
          <t/>
        </is>
      </c>
      <c r="DJ359" s="122" t="inlineStr">
        <is>
          <t/>
        </is>
      </c>
      <c r="DK359" s="123" t="inlineStr">
        <is>
          <t/>
        </is>
      </c>
      <c r="DL359" s="124" t="inlineStr">
        <is>
          <t/>
        </is>
      </c>
      <c r="DM359" s="125" t="inlineStr">
        <is>
          <t>135</t>
        </is>
      </c>
      <c r="DN359" s="126" t="inlineStr">
        <is>
          <t>3</t>
        </is>
      </c>
      <c r="DO359" s="127" t="inlineStr">
        <is>
          <t>2,27%</t>
        </is>
      </c>
      <c r="DP359" s="128" t="inlineStr">
        <is>
          <t/>
        </is>
      </c>
      <c r="DQ359" s="129" t="inlineStr">
        <is>
          <t/>
        </is>
      </c>
      <c r="DR359" s="130" t="inlineStr">
        <is>
          <t/>
        </is>
      </c>
      <c r="DS359" s="131" t="inlineStr">
        <is>
          <t>5</t>
        </is>
      </c>
      <c r="DT359" s="132" t="inlineStr">
        <is>
          <t>0</t>
        </is>
      </c>
      <c r="DU359" s="133" t="inlineStr">
        <is>
          <t>0,00%</t>
        </is>
      </c>
      <c r="DV359" s="134" t="inlineStr">
        <is>
          <t/>
        </is>
      </c>
      <c r="DW359" s="135" t="inlineStr">
        <is>
          <t/>
        </is>
      </c>
      <c r="DX359" s="136" t="inlineStr">
        <is>
          <t/>
        </is>
      </c>
      <c r="DY359" s="137" t="inlineStr">
        <is>
          <t>PitchBook Research</t>
        </is>
      </c>
      <c r="DZ359" s="785">
        <f>HYPERLINK("https://my.pitchbook.com?c=126968-14", "View company online")</f>
      </c>
    </row>
    <row r="360">
      <c r="A360" s="139" t="inlineStr">
        <is>
          <t>64607-50</t>
        </is>
      </c>
      <c r="B360" s="140" t="inlineStr">
        <is>
          <t>Prexton Therapeutics</t>
        </is>
      </c>
      <c r="C360" s="141" t="inlineStr">
        <is>
          <t/>
        </is>
      </c>
      <c r="D360" s="142" t="inlineStr">
        <is>
          <t>PD, Prexton</t>
        </is>
      </c>
      <c r="E360" s="143" t="inlineStr">
        <is>
          <t>64607-50</t>
        </is>
      </c>
      <c r="F360" s="144" t="inlineStr">
        <is>
          <t>Developer of medical drugs and therapeutics created for the treatment of brain disorders. The company's medical drugs and therapeutics offers alternatives to the stimulation of the dopaminergic system through a novel molecule mGluR4 PAM series which enables people to treat Parkinson's disease and other brain disorders.</t>
        </is>
      </c>
      <c r="G360" s="145" t="inlineStr">
        <is>
          <t>Healthcare</t>
        </is>
      </c>
      <c r="H360" s="146" t="inlineStr">
        <is>
          <t>Pharmaceuticals and Biotechnology</t>
        </is>
      </c>
      <c r="I360" s="147" t="inlineStr">
        <is>
          <t>Drug Discovery</t>
        </is>
      </c>
      <c r="J360" s="148" t="inlineStr">
        <is>
          <t>Drug Discovery*; Therapeutic Devices; Biotechnology</t>
        </is>
      </c>
      <c r="K360" s="149" t="inlineStr">
        <is>
          <t/>
        </is>
      </c>
      <c r="L360" s="150" t="inlineStr">
        <is>
          <t>Venture Capital-Backed</t>
        </is>
      </c>
      <c r="M360" s="151" t="n">
        <v>39.8</v>
      </c>
      <c r="N360" s="152" t="inlineStr">
        <is>
          <t>Startup</t>
        </is>
      </c>
      <c r="O360" s="153" t="inlineStr">
        <is>
          <t>Privately Held (backing)</t>
        </is>
      </c>
      <c r="P360" s="154" t="inlineStr">
        <is>
          <t>Venture Capital</t>
        </is>
      </c>
      <c r="Q360" s="155" t="inlineStr">
        <is>
          <t>www.prextontherapeutics.com</t>
        </is>
      </c>
      <c r="R360" s="156" t="n">
        <v>5.0</v>
      </c>
      <c r="S360" s="157" t="inlineStr">
        <is>
          <t/>
        </is>
      </c>
      <c r="T360" s="158" t="inlineStr">
        <is>
          <t/>
        </is>
      </c>
      <c r="U360" s="159" t="n">
        <v>2012.0</v>
      </c>
      <c r="V360" s="160" t="inlineStr">
        <is>
          <t/>
        </is>
      </c>
      <c r="W360" s="161" t="inlineStr">
        <is>
          <t/>
        </is>
      </c>
      <c r="X360" s="162" t="inlineStr">
        <is>
          <t/>
        </is>
      </c>
      <c r="Y360" s="163" t="inlineStr">
        <is>
          <t/>
        </is>
      </c>
      <c r="Z360" s="164" t="inlineStr">
        <is>
          <t/>
        </is>
      </c>
      <c r="AA360" s="165" t="inlineStr">
        <is>
          <t/>
        </is>
      </c>
      <c r="AB360" s="166" t="inlineStr">
        <is>
          <t/>
        </is>
      </c>
      <c r="AC360" s="167" t="inlineStr">
        <is>
          <t/>
        </is>
      </c>
      <c r="AD360" s="168" t="inlineStr">
        <is>
          <t/>
        </is>
      </c>
      <c r="AE360" s="169" t="inlineStr">
        <is>
          <t>71783-29P</t>
        </is>
      </c>
      <c r="AF360" s="170" t="inlineStr">
        <is>
          <t>François Conquet</t>
        </is>
      </c>
      <c r="AG360" s="171" t="inlineStr">
        <is>
          <t>Chief Executive Officer, Founder &amp; Board Member</t>
        </is>
      </c>
      <c r="AH360" s="172" t="inlineStr">
        <is>
          <t>francois.conquet@prextontherapeutics.com</t>
        </is>
      </c>
      <c r="AI360" s="173" t="inlineStr">
        <is>
          <t>+41 (0)22 706 9010</t>
        </is>
      </c>
      <c r="AJ360" s="174" t="inlineStr">
        <is>
          <t>Geneva, Switzerland</t>
        </is>
      </c>
      <c r="AK360" s="175" t="inlineStr">
        <is>
          <t>14 chemin des Aulx</t>
        </is>
      </c>
      <c r="AL360" s="176" t="inlineStr">
        <is>
          <t>Plan les Ouates</t>
        </is>
      </c>
      <c r="AM360" s="177" t="inlineStr">
        <is>
          <t>Geneva</t>
        </is>
      </c>
      <c r="AN360" s="178" t="inlineStr">
        <is>
          <t/>
        </is>
      </c>
      <c r="AO360" s="179" t="inlineStr">
        <is>
          <t>1228</t>
        </is>
      </c>
      <c r="AP360" s="180" t="inlineStr">
        <is>
          <t>Switzerland</t>
        </is>
      </c>
      <c r="AQ360" s="181" t="inlineStr">
        <is>
          <t>+41 (0)22 706 9010</t>
        </is>
      </c>
      <c r="AR360" s="182" t="inlineStr">
        <is>
          <t/>
        </is>
      </c>
      <c r="AS360" s="183" t="inlineStr">
        <is>
          <t>info@prextontherapeutics.com</t>
        </is>
      </c>
      <c r="AT360" s="184" t="inlineStr">
        <is>
          <t>Europe</t>
        </is>
      </c>
      <c r="AU360" s="185" t="inlineStr">
        <is>
          <t>Western Europe</t>
        </is>
      </c>
      <c r="AV360" s="186" t="inlineStr">
        <is>
          <t>The company raised EUR 29 million of Series B venture funding in a deal led by Forbion Capital Partners and Seroba Life Sciences on February 7, 2017. Merck Ventures, Ysios Capital Partners and Sunstone Capital also participated in the round. The company will use the funds to finance two phase II studies of its lead product, Foliglurax in Parkinson's disease.</t>
        </is>
      </c>
      <c r="AW360" s="187" t="inlineStr">
        <is>
          <t>Forbion Capital Partners, Merck Ventures, Seroba Life Sciences, Sunstone Capital, Ysios Capital</t>
        </is>
      </c>
      <c r="AX360" s="188" t="n">
        <v>5.0</v>
      </c>
      <c r="AY360" s="189" t="inlineStr">
        <is>
          <t/>
        </is>
      </c>
      <c r="AZ360" s="190" t="inlineStr">
        <is>
          <t/>
        </is>
      </c>
      <c r="BA360" s="191" t="inlineStr">
        <is>
          <t/>
        </is>
      </c>
      <c r="BB360" s="192" t="inlineStr">
        <is>
          <t>Forbion Capital Partners (www.forbion.com), Merck Ventures (www.merck-ventures.com), Seroba Life Sciences (www.seroba-lifesciences.com), Sunstone Capital (www.sunstone.eu), Ysios Capital (www.ysioscapital.com)</t>
        </is>
      </c>
      <c r="BC360" s="193" t="inlineStr">
        <is>
          <t/>
        </is>
      </c>
      <c r="BD360" s="194" t="inlineStr">
        <is>
          <t/>
        </is>
      </c>
      <c r="BE360" s="195" t="inlineStr">
        <is>
          <t/>
        </is>
      </c>
      <c r="BF360" s="196" t="inlineStr">
        <is>
          <t/>
        </is>
      </c>
      <c r="BG360" s="197" t="inlineStr">
        <is>
          <t/>
        </is>
      </c>
      <c r="BH360" s="198" t="n">
        <v>2.1</v>
      </c>
      <c r="BI360" s="199" t="inlineStr">
        <is>
          <t>Actual</t>
        </is>
      </c>
      <c r="BJ360" s="200" t="inlineStr">
        <is>
          <t/>
        </is>
      </c>
      <c r="BK360" s="201" t="inlineStr">
        <is>
          <t/>
        </is>
      </c>
      <c r="BL360" s="202" t="inlineStr">
        <is>
          <t>Seed Round</t>
        </is>
      </c>
      <c r="BM360" s="203" t="inlineStr">
        <is>
          <t>Seed</t>
        </is>
      </c>
      <c r="BN360" s="204" t="inlineStr">
        <is>
          <t/>
        </is>
      </c>
      <c r="BO360" s="205" t="inlineStr">
        <is>
          <t>Venture Capital</t>
        </is>
      </c>
      <c r="BP360" s="206" t="inlineStr">
        <is>
          <t/>
        </is>
      </c>
      <c r="BQ360" s="207" t="inlineStr">
        <is>
          <t/>
        </is>
      </c>
      <c r="BR360" s="208" t="inlineStr">
        <is>
          <t/>
        </is>
      </c>
      <c r="BS360" s="209" t="inlineStr">
        <is>
          <t>Completed</t>
        </is>
      </c>
      <c r="BT360" s="210" t="n">
        <v>42773.0</v>
      </c>
      <c r="BU360" s="211" t="n">
        <v>29.0</v>
      </c>
      <c r="BV360" s="212" t="inlineStr">
        <is>
          <t>Actual</t>
        </is>
      </c>
      <c r="BW360" s="213" t="inlineStr">
        <is>
          <t/>
        </is>
      </c>
      <c r="BX360" s="214" t="inlineStr">
        <is>
          <t/>
        </is>
      </c>
      <c r="BY360" s="215" t="inlineStr">
        <is>
          <t>Early Stage VC</t>
        </is>
      </c>
      <c r="BZ360" s="216" t="inlineStr">
        <is>
          <t>Series B</t>
        </is>
      </c>
      <c r="CA360" s="217" t="inlineStr">
        <is>
          <t/>
        </is>
      </c>
      <c r="CB360" s="218" t="inlineStr">
        <is>
          <t>Venture Capital</t>
        </is>
      </c>
      <c r="CC360" s="219" t="inlineStr">
        <is>
          <t/>
        </is>
      </c>
      <c r="CD360" s="220" t="inlineStr">
        <is>
          <t/>
        </is>
      </c>
      <c r="CE360" s="221" t="inlineStr">
        <is>
          <t/>
        </is>
      </c>
      <c r="CF360" s="222" t="inlineStr">
        <is>
          <t>Completed</t>
        </is>
      </c>
      <c r="CG360" s="223" t="inlineStr">
        <is>
          <t>0,00%</t>
        </is>
      </c>
      <c r="CH360" s="224" t="inlineStr">
        <is>
          <t>23</t>
        </is>
      </c>
      <c r="CI360" s="225" t="inlineStr">
        <is>
          <t>0,00%</t>
        </is>
      </c>
      <c r="CJ360" s="226" t="inlineStr">
        <is>
          <t>0,00%</t>
        </is>
      </c>
      <c r="CK360" s="227" t="inlineStr">
        <is>
          <t>0,00%</t>
        </is>
      </c>
      <c r="CL360" s="228" t="inlineStr">
        <is>
          <t>18</t>
        </is>
      </c>
      <c r="CM360" s="229" t="inlineStr">
        <is>
          <t/>
        </is>
      </c>
      <c r="CN360" s="230" t="inlineStr">
        <is>
          <t/>
        </is>
      </c>
      <c r="CO360" s="231" t="inlineStr">
        <is>
          <t>0,00%</t>
        </is>
      </c>
      <c r="CP360" s="232" t="inlineStr">
        <is>
          <t>26</t>
        </is>
      </c>
      <c r="CQ360" s="233" t="inlineStr">
        <is>
          <t>0,00%</t>
        </is>
      </c>
      <c r="CR360" s="234" t="inlineStr">
        <is>
          <t>13</t>
        </is>
      </c>
      <c r="CS360" s="235" t="inlineStr">
        <is>
          <t/>
        </is>
      </c>
      <c r="CT360" s="236" t="inlineStr">
        <is>
          <t/>
        </is>
      </c>
      <c r="CU360" s="237" t="inlineStr">
        <is>
          <t/>
        </is>
      </c>
      <c r="CV360" s="238" t="inlineStr">
        <is>
          <t/>
        </is>
      </c>
      <c r="CW360" s="239" t="inlineStr">
        <is>
          <t>1,12x</t>
        </is>
      </c>
      <c r="CX360" s="240" t="inlineStr">
        <is>
          <t>52</t>
        </is>
      </c>
      <c r="CY360" s="241" t="inlineStr">
        <is>
          <t>0,00x</t>
        </is>
      </c>
      <c r="CZ360" s="242" t="inlineStr">
        <is>
          <t>0,03%</t>
        </is>
      </c>
      <c r="DA360" s="243" t="inlineStr">
        <is>
          <t>1,12x</t>
        </is>
      </c>
      <c r="DB360" s="244" t="inlineStr">
        <is>
          <t>54</t>
        </is>
      </c>
      <c r="DC360" s="245" t="inlineStr">
        <is>
          <t/>
        </is>
      </c>
      <c r="DD360" s="246" t="inlineStr">
        <is>
          <t/>
        </is>
      </c>
      <c r="DE360" s="247" t="inlineStr">
        <is>
          <t>0,21x</t>
        </is>
      </c>
      <c r="DF360" s="248" t="inlineStr">
        <is>
          <t>20</t>
        </is>
      </c>
      <c r="DG360" s="249" t="inlineStr">
        <is>
          <t>2,03x</t>
        </is>
      </c>
      <c r="DH360" s="250" t="inlineStr">
        <is>
          <t>64</t>
        </is>
      </c>
      <c r="DI360" s="251" t="inlineStr">
        <is>
          <t/>
        </is>
      </c>
      <c r="DJ360" s="252" t="inlineStr">
        <is>
          <t/>
        </is>
      </c>
      <c r="DK360" s="253" t="inlineStr">
        <is>
          <t/>
        </is>
      </c>
      <c r="DL360" s="254" t="inlineStr">
        <is>
          <t/>
        </is>
      </c>
      <c r="DM360" s="255" t="inlineStr">
        <is>
          <t>125</t>
        </is>
      </c>
      <c r="DN360" s="256" t="inlineStr">
        <is>
          <t>7</t>
        </is>
      </c>
      <c r="DO360" s="257" t="inlineStr">
        <is>
          <t>5,93%</t>
        </is>
      </c>
      <c r="DP360" s="258" t="inlineStr">
        <is>
          <t/>
        </is>
      </c>
      <c r="DQ360" s="259" t="inlineStr">
        <is>
          <t/>
        </is>
      </c>
      <c r="DR360" s="260" t="inlineStr">
        <is>
          <t/>
        </is>
      </c>
      <c r="DS360" s="261" t="inlineStr">
        <is>
          <t>73</t>
        </is>
      </c>
      <c r="DT360" s="262" t="inlineStr">
        <is>
          <t>-2</t>
        </is>
      </c>
      <c r="DU360" s="263" t="inlineStr">
        <is>
          <t>-2,67%</t>
        </is>
      </c>
      <c r="DV360" s="264" t="inlineStr">
        <is>
          <t/>
        </is>
      </c>
      <c r="DW360" s="265" t="inlineStr">
        <is>
          <t/>
        </is>
      </c>
      <c r="DX360" s="266" t="inlineStr">
        <is>
          <t/>
        </is>
      </c>
      <c r="DY360" s="267" t="inlineStr">
        <is>
          <t>PitchBook Research</t>
        </is>
      </c>
      <c r="DZ360" s="786">
        <f>HYPERLINK("https://my.pitchbook.com?c=64607-50", "View company online")</f>
      </c>
    </row>
    <row r="361">
      <c r="A361" s="9" t="inlineStr">
        <is>
          <t>60363-10</t>
        </is>
      </c>
      <c r="B361" s="10" t="inlineStr">
        <is>
          <t>Primum Health IT</t>
        </is>
      </c>
      <c r="C361" s="11" t="inlineStr">
        <is>
          <t/>
        </is>
      </c>
      <c r="D361" s="12" t="inlineStr">
        <is>
          <t/>
        </is>
      </c>
      <c r="E361" s="13" t="inlineStr">
        <is>
          <t>60363-10</t>
        </is>
      </c>
      <c r="F361" s="14" t="inlineStr">
        <is>
          <t>Provider of a telemonitoring system for monitoring patients. The company offers a telemonitoring system for the elder and chronic patients which helps them to improve their quality of life and reduce the healthcare cost.</t>
        </is>
      </c>
      <c r="G361" s="15" t="inlineStr">
        <is>
          <t>Healthcare</t>
        </is>
      </c>
      <c r="H361" s="16" t="inlineStr">
        <is>
          <t>Healthcare Technology Systems</t>
        </is>
      </c>
      <c r="I361" s="17" t="inlineStr">
        <is>
          <t>Enterprise Systems (Healthcare)</t>
        </is>
      </c>
      <c r="J361" s="18" t="inlineStr">
        <is>
          <t>Enterprise Systems (Healthcare)*; Other Healthcare Technology Systems</t>
        </is>
      </c>
      <c r="K361" s="19" t="inlineStr">
        <is>
          <t>HealthTech</t>
        </is>
      </c>
      <c r="L361" s="20" t="inlineStr">
        <is>
          <t>Venture Capital-Backed</t>
        </is>
      </c>
      <c r="M361" s="21" t="n">
        <v>7.5</v>
      </c>
      <c r="N361" s="22" t="inlineStr">
        <is>
          <t>Startup</t>
        </is>
      </c>
      <c r="O361" s="23" t="inlineStr">
        <is>
          <t>Privately Held (backing)</t>
        </is>
      </c>
      <c r="P361" s="24" t="inlineStr">
        <is>
          <t>Venture Capital</t>
        </is>
      </c>
      <c r="Q361" s="25" t="inlineStr">
        <is>
          <t>www.primum.es</t>
        </is>
      </c>
      <c r="R361" s="26" t="n">
        <v>3.0</v>
      </c>
      <c r="S361" s="27" t="inlineStr">
        <is>
          <t/>
        </is>
      </c>
      <c r="T361" s="28" t="inlineStr">
        <is>
          <t/>
        </is>
      </c>
      <c r="U361" s="29" t="n">
        <v>2012.0</v>
      </c>
      <c r="V361" s="30" t="inlineStr">
        <is>
          <t/>
        </is>
      </c>
      <c r="W361" s="31" t="inlineStr">
        <is>
          <t/>
        </is>
      </c>
      <c r="X361" s="32" t="inlineStr">
        <is>
          <t/>
        </is>
      </c>
      <c r="Y361" s="33" t="inlineStr">
        <is>
          <t/>
        </is>
      </c>
      <c r="Z361" s="34" t="inlineStr">
        <is>
          <t/>
        </is>
      </c>
      <c r="AA361" s="35" t="inlineStr">
        <is>
          <t/>
        </is>
      </c>
      <c r="AB361" s="36" t="inlineStr">
        <is>
          <t/>
        </is>
      </c>
      <c r="AC361" s="37" t="inlineStr">
        <is>
          <t/>
        </is>
      </c>
      <c r="AD361" s="38" t="inlineStr">
        <is>
          <t/>
        </is>
      </c>
      <c r="AE361" s="39" t="inlineStr">
        <is>
          <t>60999-49P</t>
        </is>
      </c>
      <c r="AF361" s="40" t="inlineStr">
        <is>
          <t>David De Mena</t>
        </is>
      </c>
      <c r="AG361" s="41" t="inlineStr">
        <is>
          <t>Co-Founder &amp; Chief Executive Officer</t>
        </is>
      </c>
      <c r="AH361" s="42" t="inlineStr">
        <is>
          <t>david@primum.es</t>
        </is>
      </c>
      <c r="AI361" s="43" t="inlineStr">
        <is>
          <t>+34 64 626 8722</t>
        </is>
      </c>
      <c r="AJ361" s="44" t="inlineStr">
        <is>
          <t>Seville, Spain</t>
        </is>
      </c>
      <c r="AK361" s="45" t="inlineStr">
        <is>
          <t>Calle Alcalde Isacio</t>
        </is>
      </c>
      <c r="AL361" s="46" t="inlineStr">
        <is>
          <t>Contreras, 2 B - Local 6</t>
        </is>
      </c>
      <c r="AM361" s="47" t="inlineStr">
        <is>
          <t>Seville</t>
        </is>
      </c>
      <c r="AN361" s="48" t="inlineStr">
        <is>
          <t/>
        </is>
      </c>
      <c r="AO361" s="49" t="inlineStr">
        <is>
          <t>41003</t>
        </is>
      </c>
      <c r="AP361" s="50" t="inlineStr">
        <is>
          <t>Spain</t>
        </is>
      </c>
      <c r="AQ361" s="51" t="inlineStr">
        <is>
          <t>+34 64 626 8722</t>
        </is>
      </c>
      <c r="AR361" s="52" t="inlineStr">
        <is>
          <t/>
        </is>
      </c>
      <c r="AS361" s="53" t="inlineStr">
        <is>
          <t>info@primumhealth.com</t>
        </is>
      </c>
      <c r="AT361" s="54" t="inlineStr">
        <is>
          <t>Europe</t>
        </is>
      </c>
      <c r="AU361" s="55" t="inlineStr">
        <is>
          <t>Southern Europe</t>
        </is>
      </c>
      <c r="AV361" s="56" t="inlineStr">
        <is>
          <t>The company raised EUR 7.5 million of venture funding from Caixa Capital Risc and Empresa Nacional de Innovation on October 16, 2012.</t>
        </is>
      </c>
      <c r="AW361" s="57" t="inlineStr">
        <is>
          <t>Caixa Capital Risc, Empresa Nacional de Innovación, Programa Minerva</t>
        </is>
      </c>
      <c r="AX361" s="58" t="n">
        <v>3.0</v>
      </c>
      <c r="AY361" s="59" t="inlineStr">
        <is>
          <t/>
        </is>
      </c>
      <c r="AZ361" s="60" t="inlineStr">
        <is>
          <t/>
        </is>
      </c>
      <c r="BA361" s="61" t="inlineStr">
        <is>
          <t/>
        </is>
      </c>
      <c r="BB361" s="62" t="inlineStr">
        <is>
          <t>Caixa Capital Risc (www.caixacapitalrisc.es), Empresa Nacional de Innovación (www.enisa.es), Programa Minerva (www.programaminerva.es)</t>
        </is>
      </c>
      <c r="BC361" s="63" t="inlineStr">
        <is>
          <t/>
        </is>
      </c>
      <c r="BD361" s="64" t="inlineStr">
        <is>
          <t/>
        </is>
      </c>
      <c r="BE361" s="65" t="inlineStr">
        <is>
          <t/>
        </is>
      </c>
      <c r="BF361" s="66" t="inlineStr">
        <is>
          <t/>
        </is>
      </c>
      <c r="BG361" s="67" t="n">
        <v>41198.0</v>
      </c>
      <c r="BH361" s="68" t="n">
        <v>7.5</v>
      </c>
      <c r="BI361" s="69" t="inlineStr">
        <is>
          <t>Actual</t>
        </is>
      </c>
      <c r="BJ361" s="70" t="inlineStr">
        <is>
          <t/>
        </is>
      </c>
      <c r="BK361" s="71" t="inlineStr">
        <is>
          <t/>
        </is>
      </c>
      <c r="BL361" s="72" t="inlineStr">
        <is>
          <t>Early Stage VC</t>
        </is>
      </c>
      <c r="BM361" s="73" t="inlineStr">
        <is>
          <t/>
        </is>
      </c>
      <c r="BN361" s="74" t="inlineStr">
        <is>
          <t/>
        </is>
      </c>
      <c r="BO361" s="75" t="inlineStr">
        <is>
          <t>Venture Capital</t>
        </is>
      </c>
      <c r="BP361" s="76" t="inlineStr">
        <is>
          <t/>
        </is>
      </c>
      <c r="BQ361" s="77" t="inlineStr">
        <is>
          <t/>
        </is>
      </c>
      <c r="BR361" s="78" t="inlineStr">
        <is>
          <t/>
        </is>
      </c>
      <c r="BS361" s="79" t="inlineStr">
        <is>
          <t>Completed</t>
        </is>
      </c>
      <c r="BT361" s="80" t="n">
        <v>41198.0</v>
      </c>
      <c r="BU361" s="81" t="n">
        <v>7.5</v>
      </c>
      <c r="BV361" s="82" t="inlineStr">
        <is>
          <t>Actual</t>
        </is>
      </c>
      <c r="BW361" s="83" t="inlineStr">
        <is>
          <t/>
        </is>
      </c>
      <c r="BX361" s="84" t="inlineStr">
        <is>
          <t/>
        </is>
      </c>
      <c r="BY361" s="85" t="inlineStr">
        <is>
          <t>Early Stage VC</t>
        </is>
      </c>
      <c r="BZ361" s="86" t="inlineStr">
        <is>
          <t/>
        </is>
      </c>
      <c r="CA361" s="87" t="inlineStr">
        <is>
          <t/>
        </is>
      </c>
      <c r="CB361" s="88" t="inlineStr">
        <is>
          <t>Venture Capital</t>
        </is>
      </c>
      <c r="CC361" s="89" t="inlineStr">
        <is>
          <t/>
        </is>
      </c>
      <c r="CD361" s="90" t="inlineStr">
        <is>
          <t/>
        </is>
      </c>
      <c r="CE361" s="91" t="inlineStr">
        <is>
          <t/>
        </is>
      </c>
      <c r="CF361" s="92" t="inlineStr">
        <is>
          <t>Completed</t>
        </is>
      </c>
      <c r="CG361" s="93" t="inlineStr">
        <is>
          <t>0,02%</t>
        </is>
      </c>
      <c r="CH361" s="94" t="inlineStr">
        <is>
          <t>66</t>
        </is>
      </c>
      <c r="CI361" s="95" t="inlineStr">
        <is>
          <t>0,00%</t>
        </is>
      </c>
      <c r="CJ361" s="96" t="inlineStr">
        <is>
          <t>0,00%</t>
        </is>
      </c>
      <c r="CK361" s="97" t="inlineStr">
        <is>
          <t>0,00%</t>
        </is>
      </c>
      <c r="CL361" s="98" t="inlineStr">
        <is>
          <t>18</t>
        </is>
      </c>
      <c r="CM361" s="99" t="inlineStr">
        <is>
          <t>0,03%</t>
        </is>
      </c>
      <c r="CN361" s="100" t="inlineStr">
        <is>
          <t>48</t>
        </is>
      </c>
      <c r="CO361" s="101" t="inlineStr">
        <is>
          <t/>
        </is>
      </c>
      <c r="CP361" s="102" t="inlineStr">
        <is>
          <t/>
        </is>
      </c>
      <c r="CQ361" s="103" t="inlineStr">
        <is>
          <t>0,00%</t>
        </is>
      </c>
      <c r="CR361" s="104" t="inlineStr">
        <is>
          <t>13</t>
        </is>
      </c>
      <c r="CS361" s="105" t="inlineStr">
        <is>
          <t/>
        </is>
      </c>
      <c r="CT361" s="106" t="inlineStr">
        <is>
          <t/>
        </is>
      </c>
      <c r="CU361" s="107" t="inlineStr">
        <is>
          <t>0,03%</t>
        </is>
      </c>
      <c r="CV361" s="108" t="inlineStr">
        <is>
          <t>58</t>
        </is>
      </c>
      <c r="CW361" s="109" t="inlineStr">
        <is>
          <t>1,60x</t>
        </is>
      </c>
      <c r="CX361" s="110" t="inlineStr">
        <is>
          <t>60</t>
        </is>
      </c>
      <c r="CY361" s="111" t="inlineStr">
        <is>
          <t>0,04x</t>
        </is>
      </c>
      <c r="CZ361" s="112" t="inlineStr">
        <is>
          <t>2,28%</t>
        </is>
      </c>
      <c r="DA361" s="113" t="inlineStr">
        <is>
          <t>1,06x</t>
        </is>
      </c>
      <c r="DB361" s="114" t="inlineStr">
        <is>
          <t>53</t>
        </is>
      </c>
      <c r="DC361" s="115" t="inlineStr">
        <is>
          <t>2,14x</t>
        </is>
      </c>
      <c r="DD361" s="116" t="inlineStr">
        <is>
          <t>63</t>
        </is>
      </c>
      <c r="DE361" s="117" t="inlineStr">
        <is>
          <t/>
        </is>
      </c>
      <c r="DF361" s="118" t="inlineStr">
        <is>
          <t/>
        </is>
      </c>
      <c r="DG361" s="119" t="inlineStr">
        <is>
          <t>1,06x</t>
        </is>
      </c>
      <c r="DH361" s="120" t="inlineStr">
        <is>
          <t>51</t>
        </is>
      </c>
      <c r="DI361" s="121" t="inlineStr">
        <is>
          <t/>
        </is>
      </c>
      <c r="DJ361" s="122" t="inlineStr">
        <is>
          <t/>
        </is>
      </c>
      <c r="DK361" s="123" t="inlineStr">
        <is>
          <t>2,14x</t>
        </is>
      </c>
      <c r="DL361" s="124" t="inlineStr">
        <is>
          <t>64</t>
        </is>
      </c>
      <c r="DM361" s="125" t="inlineStr">
        <is>
          <t/>
        </is>
      </c>
      <c r="DN361" s="126" t="inlineStr">
        <is>
          <t/>
        </is>
      </c>
      <c r="DO361" s="127" t="inlineStr">
        <is>
          <t/>
        </is>
      </c>
      <c r="DP361" s="128" t="inlineStr">
        <is>
          <t/>
        </is>
      </c>
      <c r="DQ361" s="129" t="inlineStr">
        <is>
          <t/>
        </is>
      </c>
      <c r="DR361" s="130" t="inlineStr">
        <is>
          <t/>
        </is>
      </c>
      <c r="DS361" s="131" t="inlineStr">
        <is>
          <t>38</t>
        </is>
      </c>
      <c r="DT361" s="132" t="inlineStr">
        <is>
          <t>0</t>
        </is>
      </c>
      <c r="DU361" s="133" t="inlineStr">
        <is>
          <t>0,00%</t>
        </is>
      </c>
      <c r="DV361" s="134" t="inlineStr">
        <is>
          <t>733</t>
        </is>
      </c>
      <c r="DW361" s="135" t="inlineStr">
        <is>
          <t>0</t>
        </is>
      </c>
      <c r="DX361" s="136" t="inlineStr">
        <is>
          <t>0,00%</t>
        </is>
      </c>
      <c r="DY361" s="137" t="inlineStr">
        <is>
          <t>PitchBook Research</t>
        </is>
      </c>
      <c r="DZ361" s="785">
        <f>HYPERLINK("https://my.pitchbook.com?c=60363-10", "View company online")</f>
      </c>
    </row>
    <row r="362">
      <c r="A362" s="139" t="inlineStr">
        <is>
          <t>113075-29</t>
        </is>
      </c>
      <c r="B362" s="140" t="inlineStr">
        <is>
          <t>Privitar</t>
        </is>
      </c>
      <c r="C362" s="141" t="inlineStr">
        <is>
          <t/>
        </is>
      </c>
      <c r="D362" s="142" t="inlineStr">
        <is>
          <t/>
        </is>
      </c>
      <c r="E362" s="143" t="inlineStr">
        <is>
          <t>113075-29</t>
        </is>
      </c>
      <c r="F362" s="144" t="inlineStr">
        <is>
          <t>Provider of privacy preserving data analytics software designed to offer tools to help organizations keep that data private. The company's privacy preserving data analytics software helps to facilitate the ethical and safe use of valuable data assets to help companies get maximum value from data while preserving customer's privacy, enabling customers to innovate and leverage data with an uncompromising approach to data privacy.</t>
        </is>
      </c>
      <c r="G362" s="145" t="inlineStr">
        <is>
          <t>Information Technology</t>
        </is>
      </c>
      <c r="H362" s="146" t="inlineStr">
        <is>
          <t>Software</t>
        </is>
      </c>
      <c r="I362" s="147" t="inlineStr">
        <is>
          <t>Social/Platform Software</t>
        </is>
      </c>
      <c r="J362" s="148" t="inlineStr">
        <is>
          <t>Social/Platform Software*; Network Management Software</t>
        </is>
      </c>
      <c r="K362" s="149" t="inlineStr">
        <is>
          <t>Big Data, Cybersecurity, Internet of Things</t>
        </is>
      </c>
      <c r="L362" s="150" t="inlineStr">
        <is>
          <t>Venture Capital-Backed</t>
        </is>
      </c>
      <c r="M362" s="151" t="n">
        <v>19.02</v>
      </c>
      <c r="N362" s="152" t="inlineStr">
        <is>
          <t>Startup</t>
        </is>
      </c>
      <c r="O362" s="153" t="inlineStr">
        <is>
          <t>Privately Held (backing)</t>
        </is>
      </c>
      <c r="P362" s="154" t="inlineStr">
        <is>
          <t>Venture Capital</t>
        </is>
      </c>
      <c r="Q362" s="155" t="inlineStr">
        <is>
          <t>www.privitar.com</t>
        </is>
      </c>
      <c r="R362" s="156" t="n">
        <v>13.0</v>
      </c>
      <c r="S362" s="157" t="inlineStr">
        <is>
          <t/>
        </is>
      </c>
      <c r="T362" s="158" t="inlineStr">
        <is>
          <t/>
        </is>
      </c>
      <c r="U362" s="159" t="n">
        <v>2014.0</v>
      </c>
      <c r="V362" s="160" t="inlineStr">
        <is>
          <t/>
        </is>
      </c>
      <c r="W362" s="161" t="inlineStr">
        <is>
          <t/>
        </is>
      </c>
      <c r="X362" s="162" t="inlineStr">
        <is>
          <t/>
        </is>
      </c>
      <c r="Y362" s="163" t="inlineStr">
        <is>
          <t/>
        </is>
      </c>
      <c r="Z362" s="164" t="inlineStr">
        <is>
          <t/>
        </is>
      </c>
      <c r="AA362" s="165" t="inlineStr">
        <is>
          <t/>
        </is>
      </c>
      <c r="AB362" s="166" t="inlineStr">
        <is>
          <t/>
        </is>
      </c>
      <c r="AC362" s="167" t="inlineStr">
        <is>
          <t/>
        </is>
      </c>
      <c r="AD362" s="168" t="inlineStr">
        <is>
          <t/>
        </is>
      </c>
      <c r="AE362" s="169" t="inlineStr">
        <is>
          <t>100545-04P</t>
        </is>
      </c>
      <c r="AF362" s="170" t="inlineStr">
        <is>
          <t>Anthony Preez</t>
        </is>
      </c>
      <c r="AG362" s="171" t="inlineStr">
        <is>
          <t>Co-Founder, Board Member, Chief Executive Officer &amp; Managing Director</t>
        </is>
      </c>
      <c r="AH362" s="172" t="inlineStr">
        <is>
          <t/>
        </is>
      </c>
      <c r="AI362" s="173" t="inlineStr">
        <is>
          <t>+44 (0)20 3282 7136</t>
        </is>
      </c>
      <c r="AJ362" s="174" t="inlineStr">
        <is>
          <t>London, United Kingdom</t>
        </is>
      </c>
      <c r="AK362" s="175" t="inlineStr">
        <is>
          <t>Level 8, Capital Tower</t>
        </is>
      </c>
      <c r="AL362" s="176" t="inlineStr">
        <is>
          <t>91 Waterloo Road</t>
        </is>
      </c>
      <c r="AM362" s="177" t="inlineStr">
        <is>
          <t>London</t>
        </is>
      </c>
      <c r="AN362" s="178" t="inlineStr">
        <is>
          <t>England</t>
        </is>
      </c>
      <c r="AO362" s="179" t="inlineStr">
        <is>
          <t>SE1 8RT</t>
        </is>
      </c>
      <c r="AP362" s="180" t="inlineStr">
        <is>
          <t>United Kingdom</t>
        </is>
      </c>
      <c r="AQ362" s="181" t="inlineStr">
        <is>
          <t>+44 (0)20 3282 7136</t>
        </is>
      </c>
      <c r="AR362" s="182" t="inlineStr">
        <is>
          <t/>
        </is>
      </c>
      <c r="AS362" s="183" t="inlineStr">
        <is>
          <t>info@privitar.com</t>
        </is>
      </c>
      <c r="AT362" s="184" t="inlineStr">
        <is>
          <t>Europe</t>
        </is>
      </c>
      <c r="AU362" s="185" t="inlineStr">
        <is>
          <t>Western Europe</t>
        </is>
      </c>
      <c r="AV362" s="186" t="inlineStr">
        <is>
          <t>The company raised $16 million of Series A venture funding in a deal led by Partech Ventures on June 30, 2017. CME Ventures, Salesforce Ventures, IQ Capital Partners, 24Haymarket and Illuminate Financial Management also participated in this round. The funds will be used to accelerate the delivery of its product roadmap and core IP and to build on sales success in Europe with expansion to the United States and other key geographies. The company has raised total $21 in funding to date.</t>
        </is>
      </c>
      <c r="AW362" s="187" t="inlineStr">
        <is>
          <t>24Haymarket, Cambridge Angels, CME Ventures, David Cleevely Freng, David Gammon, Illuminate Financial Management, Individual Investor, IQ Capital Partners, Partech Ventures, Rockspring, Salesforce Ventures, Sir Peter, Thomas Glocer</t>
        </is>
      </c>
      <c r="AX362" s="188" t="n">
        <v>13.0</v>
      </c>
      <c r="AY362" s="189" t="inlineStr">
        <is>
          <t/>
        </is>
      </c>
      <c r="AZ362" s="190" t="inlineStr">
        <is>
          <t/>
        </is>
      </c>
      <c r="BA362" s="191" t="inlineStr">
        <is>
          <t/>
        </is>
      </c>
      <c r="BB362" s="192" t="inlineStr">
        <is>
          <t>24Haymarket (www.24haymarket.com), Cambridge Angels (www.cambridgeangels.com), Illuminate Financial Management (www.illuminatefinancial.com), IQ Capital Partners (www.iqcapital.vc), Partech Ventures (www.partechventures.com), Rockspring (www.rockspring.co.uk), Thomas Glocer (www.tomglocer.com)</t>
        </is>
      </c>
      <c r="BC362" s="193" t="inlineStr">
        <is>
          <t/>
        </is>
      </c>
      <c r="BD362" s="194" t="inlineStr">
        <is>
          <t/>
        </is>
      </c>
      <c r="BE362" s="195" t="inlineStr">
        <is>
          <t/>
        </is>
      </c>
      <c r="BF362" s="196" t="inlineStr">
        <is>
          <t>Mazars (Advisor)</t>
        </is>
      </c>
      <c r="BG362" s="197" t="n">
        <v>42199.0</v>
      </c>
      <c r="BH362" s="198" t="n">
        <v>0.96</v>
      </c>
      <c r="BI362" s="199" t="inlineStr">
        <is>
          <t>Actual</t>
        </is>
      </c>
      <c r="BJ362" s="200" t="n">
        <v>3.79</v>
      </c>
      <c r="BK362" s="201" t="inlineStr">
        <is>
          <t>Actual</t>
        </is>
      </c>
      <c r="BL362" s="202" t="inlineStr">
        <is>
          <t>Seed Round</t>
        </is>
      </c>
      <c r="BM362" s="203" t="inlineStr">
        <is>
          <t>Seed</t>
        </is>
      </c>
      <c r="BN362" s="204" t="inlineStr">
        <is>
          <t/>
        </is>
      </c>
      <c r="BO362" s="205" t="inlineStr">
        <is>
          <t>Venture Capital</t>
        </is>
      </c>
      <c r="BP362" s="206" t="inlineStr">
        <is>
          <t/>
        </is>
      </c>
      <c r="BQ362" s="207" t="inlineStr">
        <is>
          <t/>
        </is>
      </c>
      <c r="BR362" s="208" t="inlineStr">
        <is>
          <t/>
        </is>
      </c>
      <c r="BS362" s="209" t="inlineStr">
        <is>
          <t>Completed</t>
        </is>
      </c>
      <c r="BT362" s="210" t="n">
        <v>42916.0</v>
      </c>
      <c r="BU362" s="211" t="n">
        <v>14.26</v>
      </c>
      <c r="BV362" s="212" t="inlineStr">
        <is>
          <t>Actual</t>
        </is>
      </c>
      <c r="BW362" s="213" t="inlineStr">
        <is>
          <t/>
        </is>
      </c>
      <c r="BX362" s="214" t="inlineStr">
        <is>
          <t/>
        </is>
      </c>
      <c r="BY362" s="215" t="inlineStr">
        <is>
          <t>Early Stage VC</t>
        </is>
      </c>
      <c r="BZ362" s="216" t="inlineStr">
        <is>
          <t>Series A</t>
        </is>
      </c>
      <c r="CA362" s="217" t="inlineStr">
        <is>
          <t/>
        </is>
      </c>
      <c r="CB362" s="218" t="inlineStr">
        <is>
          <t>Venture Capital</t>
        </is>
      </c>
      <c r="CC362" s="219" t="inlineStr">
        <is>
          <t/>
        </is>
      </c>
      <c r="CD362" s="220" t="inlineStr">
        <is>
          <t/>
        </is>
      </c>
      <c r="CE362" s="221" t="inlineStr">
        <is>
          <t/>
        </is>
      </c>
      <c r="CF362" s="222" t="inlineStr">
        <is>
          <t>Completed</t>
        </is>
      </c>
      <c r="CG362" s="223" t="inlineStr">
        <is>
          <t>5,02%</t>
        </is>
      </c>
      <c r="CH362" s="224" t="inlineStr">
        <is>
          <t>98</t>
        </is>
      </c>
      <c r="CI362" s="225" t="inlineStr">
        <is>
          <t>0,03%</t>
        </is>
      </c>
      <c r="CJ362" s="226" t="inlineStr">
        <is>
          <t>0,53%</t>
        </is>
      </c>
      <c r="CK362" s="227" t="inlineStr">
        <is>
          <t>8,44%</t>
        </is>
      </c>
      <c r="CL362" s="228" t="inlineStr">
        <is>
          <t>98</t>
        </is>
      </c>
      <c r="CM362" s="229" t="inlineStr">
        <is>
          <t>1,61%</t>
        </is>
      </c>
      <c r="CN362" s="230" t="inlineStr">
        <is>
          <t>98</t>
        </is>
      </c>
      <c r="CO362" s="231" t="inlineStr">
        <is>
          <t>6,94%</t>
        </is>
      </c>
      <c r="CP362" s="232" t="inlineStr">
        <is>
          <t>98</t>
        </is>
      </c>
      <c r="CQ362" s="233" t="inlineStr">
        <is>
          <t>9,94%</t>
        </is>
      </c>
      <c r="CR362" s="234" t="inlineStr">
        <is>
          <t>97</t>
        </is>
      </c>
      <c r="CS362" s="235" t="inlineStr">
        <is>
          <t/>
        </is>
      </c>
      <c r="CT362" s="236" t="inlineStr">
        <is>
          <t/>
        </is>
      </c>
      <c r="CU362" s="237" t="inlineStr">
        <is>
          <t>1,61%</t>
        </is>
      </c>
      <c r="CV362" s="238" t="inlineStr">
        <is>
          <t>99</t>
        </is>
      </c>
      <c r="CW362" s="239" t="inlineStr">
        <is>
          <t>2,90x</t>
        </is>
      </c>
      <c r="CX362" s="240" t="inlineStr">
        <is>
          <t>71</t>
        </is>
      </c>
      <c r="CY362" s="241" t="inlineStr">
        <is>
          <t>0,05x</t>
        </is>
      </c>
      <c r="CZ362" s="242" t="inlineStr">
        <is>
          <t>1,65%</t>
        </is>
      </c>
      <c r="DA362" s="243" t="inlineStr">
        <is>
          <t>4,82x</t>
        </is>
      </c>
      <c r="DB362" s="244" t="inlineStr">
        <is>
          <t>79</t>
        </is>
      </c>
      <c r="DC362" s="245" t="inlineStr">
        <is>
          <t>0,99x</t>
        </is>
      </c>
      <c r="DD362" s="246" t="inlineStr">
        <is>
          <t>48</t>
        </is>
      </c>
      <c r="DE362" s="247" t="inlineStr">
        <is>
          <t>3,60x</t>
        </is>
      </c>
      <c r="DF362" s="248" t="inlineStr">
        <is>
          <t>72</t>
        </is>
      </c>
      <c r="DG362" s="249" t="inlineStr">
        <is>
          <t>6,03x</t>
        </is>
      </c>
      <c r="DH362" s="250" t="inlineStr">
        <is>
          <t>81</t>
        </is>
      </c>
      <c r="DI362" s="251" t="inlineStr">
        <is>
          <t/>
        </is>
      </c>
      <c r="DJ362" s="252" t="inlineStr">
        <is>
          <t/>
        </is>
      </c>
      <c r="DK362" s="253" t="inlineStr">
        <is>
          <t>0,99x</t>
        </is>
      </c>
      <c r="DL362" s="254" t="inlineStr">
        <is>
          <t>50</t>
        </is>
      </c>
      <c r="DM362" s="255" t="inlineStr">
        <is>
          <t>2.187</t>
        </is>
      </c>
      <c r="DN362" s="256" t="inlineStr">
        <is>
          <t>85</t>
        </is>
      </c>
      <c r="DO362" s="257" t="inlineStr">
        <is>
          <t>4,04%</t>
        </is>
      </c>
      <c r="DP362" s="258" t="inlineStr">
        <is>
          <t/>
        </is>
      </c>
      <c r="DQ362" s="259" t="inlineStr">
        <is>
          <t/>
        </is>
      </c>
      <c r="DR362" s="260" t="inlineStr">
        <is>
          <t/>
        </is>
      </c>
      <c r="DS362" s="261" t="inlineStr">
        <is>
          <t>217</t>
        </is>
      </c>
      <c r="DT362" s="262" t="inlineStr">
        <is>
          <t>0</t>
        </is>
      </c>
      <c r="DU362" s="263" t="inlineStr">
        <is>
          <t>0,00%</t>
        </is>
      </c>
      <c r="DV362" s="264" t="inlineStr">
        <is>
          <t>335</t>
        </is>
      </c>
      <c r="DW362" s="265" t="inlineStr">
        <is>
          <t>3</t>
        </is>
      </c>
      <c r="DX362" s="266" t="inlineStr">
        <is>
          <t>0,90%</t>
        </is>
      </c>
      <c r="DY362" s="267" t="inlineStr">
        <is>
          <t>PitchBook Research</t>
        </is>
      </c>
      <c r="DZ362" s="786">
        <f>HYPERLINK("https://my.pitchbook.com?c=113075-29", "View company online")</f>
      </c>
    </row>
    <row r="363">
      <c r="A363" s="9" t="inlineStr">
        <is>
          <t>97243-75</t>
        </is>
      </c>
      <c r="B363" s="10" t="inlineStr">
        <is>
          <t>Property Partner</t>
        </is>
      </c>
      <c r="C363" s="11" t="inlineStr">
        <is>
          <t/>
        </is>
      </c>
      <c r="D363" s="12" t="inlineStr">
        <is>
          <t/>
        </is>
      </c>
      <c r="E363" s="13" t="inlineStr">
        <is>
          <t>97243-75</t>
        </is>
      </c>
      <c r="F363" s="14" t="inlineStr">
        <is>
          <t>Operator of a online crowdfunding platform for investments in residential properties. The company provides services that includes investments in property, rental income service &amp; management, list of various property with photos, third party reports &amp; financial data. It also allows users to exit their investment and realize their capital gains.</t>
        </is>
      </c>
      <c r="G363" s="15" t="inlineStr">
        <is>
          <t>Consumer Products and Services (B2C)</t>
        </is>
      </c>
      <c r="H363" s="16" t="inlineStr">
        <is>
          <t>Services (Non-Financial)</t>
        </is>
      </c>
      <c r="I363" s="17" t="inlineStr">
        <is>
          <t>Real Estate Services (B2C)</t>
        </is>
      </c>
      <c r="J363" s="18" t="inlineStr">
        <is>
          <t>Real Estate Services (B2C)*; Other Financial Services; Financial Software</t>
        </is>
      </c>
      <c r="K363" s="19" t="inlineStr">
        <is>
          <t>FinTech, SaaS</t>
        </is>
      </c>
      <c r="L363" s="20" t="inlineStr">
        <is>
          <t>Venture Capital-Backed</t>
        </is>
      </c>
      <c r="M363" s="21" t="n">
        <v>29.31</v>
      </c>
      <c r="N363" s="22" t="inlineStr">
        <is>
          <t>Product Development</t>
        </is>
      </c>
      <c r="O363" s="23" t="inlineStr">
        <is>
          <t>Privately Held (backing)</t>
        </is>
      </c>
      <c r="P363" s="24" t="inlineStr">
        <is>
          <t>Venture Capital</t>
        </is>
      </c>
      <c r="Q363" s="25" t="inlineStr">
        <is>
          <t>www.propertypartner.co</t>
        </is>
      </c>
      <c r="R363" s="26" t="n">
        <v>31.0</v>
      </c>
      <c r="S363" s="27" t="inlineStr">
        <is>
          <t/>
        </is>
      </c>
      <c r="T363" s="28" t="inlineStr">
        <is>
          <t/>
        </is>
      </c>
      <c r="U363" s="29" t="n">
        <v>2014.0</v>
      </c>
      <c r="V363" s="30" t="inlineStr">
        <is>
          <t/>
        </is>
      </c>
      <c r="W363" s="31" t="inlineStr">
        <is>
          <t/>
        </is>
      </c>
      <c r="X363" s="32" t="inlineStr">
        <is>
          <t/>
        </is>
      </c>
      <c r="Y363" s="33" t="n">
        <v>0.63392</v>
      </c>
      <c r="Z363" s="34" t="inlineStr">
        <is>
          <t/>
        </is>
      </c>
      <c r="AA363" s="35" t="n">
        <v>-5.85231</v>
      </c>
      <c r="AB363" s="36" t="inlineStr">
        <is>
          <t/>
        </is>
      </c>
      <c r="AC363" s="37" t="n">
        <v>-5.7145</v>
      </c>
      <c r="AD363" s="38" t="inlineStr">
        <is>
          <t>FY 2015</t>
        </is>
      </c>
      <c r="AE363" s="39" t="inlineStr">
        <is>
          <t>78329-08P</t>
        </is>
      </c>
      <c r="AF363" s="40" t="inlineStr">
        <is>
          <t>Daniel Gandesha</t>
        </is>
      </c>
      <c r="AG363" s="41" t="inlineStr">
        <is>
          <t>Founder, Board Member &amp; Chief Executive Officer</t>
        </is>
      </c>
      <c r="AH363" s="42" t="inlineStr">
        <is>
          <t>daniel@propertypartner.com</t>
        </is>
      </c>
      <c r="AI363" s="43" t="inlineStr">
        <is>
          <t>+44 (0)20 3696 5600</t>
        </is>
      </c>
      <c r="AJ363" s="44" t="inlineStr">
        <is>
          <t>London, United Kingdom</t>
        </is>
      </c>
      <c r="AK363" s="45" t="inlineStr">
        <is>
          <t>WeWork Moorgate 5th Floor</t>
        </is>
      </c>
      <c r="AL363" s="46" t="inlineStr">
        <is>
          <t>1 Fore Street</t>
        </is>
      </c>
      <c r="AM363" s="47" t="inlineStr">
        <is>
          <t>London</t>
        </is>
      </c>
      <c r="AN363" s="48" t="inlineStr">
        <is>
          <t>England</t>
        </is>
      </c>
      <c r="AO363" s="49" t="inlineStr">
        <is>
          <t>EC2Y 5EJ</t>
        </is>
      </c>
      <c r="AP363" s="50" t="inlineStr">
        <is>
          <t>United Kingdom</t>
        </is>
      </c>
      <c r="AQ363" s="51" t="inlineStr">
        <is>
          <t>+44 (0)20 3696 5600</t>
        </is>
      </c>
      <c r="AR363" s="52" t="inlineStr">
        <is>
          <t/>
        </is>
      </c>
      <c r="AS363" s="53" t="inlineStr">
        <is>
          <t>hello@propertypartner.com</t>
        </is>
      </c>
      <c r="AT363" s="54" t="inlineStr">
        <is>
          <t>Europe</t>
        </is>
      </c>
      <c r="AU363" s="55" t="inlineStr">
        <is>
          <t>Western Europe</t>
        </is>
      </c>
      <c r="AV363" s="56" t="inlineStr">
        <is>
          <t>The company raised GBP 15.9 million of venture funding through a combination of debt and equity on March 7, 2016. GBP 12.9 million Equity portion of Series B funding was led by Octopus Ventures with participation from Index Ventures and Dawn Capital. A GBP 3 million of venture debt facility was provided by Silicon Valley Bank. The company intends to use the funds for expansion of its team and introduction new products.</t>
        </is>
      </c>
      <c r="AW363" s="57" t="inlineStr">
        <is>
          <t>Andrew Griffith, Carlos Eduardo Espinal, Daniel Quai, Dawn Capital, Edward Wray, Index Ventures (UK), Jonathan Moulton, Octopus Ventures, Seedcamp, Will Neale</t>
        </is>
      </c>
      <c r="AX363" s="58" t="n">
        <v>10.0</v>
      </c>
      <c r="AY363" s="59" t="inlineStr">
        <is>
          <t/>
        </is>
      </c>
      <c r="AZ363" s="60" t="inlineStr">
        <is>
          <t/>
        </is>
      </c>
      <c r="BA363" s="61" t="inlineStr">
        <is>
          <t/>
        </is>
      </c>
      <c r="BB363" s="62" t="inlineStr">
        <is>
          <t>Dawn Capital (www.dawncapital.com), Index Ventures (UK) (www.indexventures.com), Octopus Ventures (www.octopusventures.com), Seedcamp (www.seedcamp.com)</t>
        </is>
      </c>
      <c r="BC363" s="63" t="inlineStr">
        <is>
          <t/>
        </is>
      </c>
      <c r="BD363" s="64" t="inlineStr">
        <is>
          <t/>
        </is>
      </c>
      <c r="BE363" s="65" t="inlineStr">
        <is>
          <t>Nabarro (Legal Advisor), Upscale UK (Consulting), KPMG (Auditor)</t>
        </is>
      </c>
      <c r="BF363" s="66" t="inlineStr">
        <is>
          <t>Silicon Valley Bank</t>
        </is>
      </c>
      <c r="BG363" s="67" t="n">
        <v>41671.0</v>
      </c>
      <c r="BH363" s="68" t="n">
        <v>0.18</v>
      </c>
      <c r="BI363" s="69" t="inlineStr">
        <is>
          <t>Actual</t>
        </is>
      </c>
      <c r="BJ363" s="70" t="n">
        <v>1.21</v>
      </c>
      <c r="BK363" s="71" t="inlineStr">
        <is>
          <t>Actual</t>
        </is>
      </c>
      <c r="BL363" s="72" t="inlineStr">
        <is>
          <t>Angel (individual)</t>
        </is>
      </c>
      <c r="BM363" s="73" t="inlineStr">
        <is>
          <t>Angel</t>
        </is>
      </c>
      <c r="BN363" s="74" t="inlineStr">
        <is>
          <t/>
        </is>
      </c>
      <c r="BO363" s="75" t="inlineStr">
        <is>
          <t>Individual</t>
        </is>
      </c>
      <c r="BP363" s="76" t="inlineStr">
        <is>
          <t/>
        </is>
      </c>
      <c r="BQ363" s="77" t="inlineStr">
        <is>
          <t/>
        </is>
      </c>
      <c r="BR363" s="78" t="inlineStr">
        <is>
          <t/>
        </is>
      </c>
      <c r="BS363" s="79" t="inlineStr">
        <is>
          <t>Completed</t>
        </is>
      </c>
      <c r="BT363" s="80" t="n">
        <v>42436.0</v>
      </c>
      <c r="BU363" s="81" t="n">
        <v>20.37</v>
      </c>
      <c r="BV363" s="82" t="inlineStr">
        <is>
          <t>Actual</t>
        </is>
      </c>
      <c r="BW363" s="83" t="inlineStr">
        <is>
          <t/>
        </is>
      </c>
      <c r="BX363" s="84" t="inlineStr">
        <is>
          <t/>
        </is>
      </c>
      <c r="BY363" s="85" t="inlineStr">
        <is>
          <t>Early Stage VC</t>
        </is>
      </c>
      <c r="BZ363" s="86" t="inlineStr">
        <is>
          <t>Series B</t>
        </is>
      </c>
      <c r="CA363" s="87" t="inlineStr">
        <is>
          <t/>
        </is>
      </c>
      <c r="CB363" s="88" t="inlineStr">
        <is>
          <t>Venture Capital</t>
        </is>
      </c>
      <c r="CC363" s="89" t="inlineStr">
        <is>
          <t>Other Debt</t>
        </is>
      </c>
      <c r="CD363" s="90" t="inlineStr">
        <is>
          <t/>
        </is>
      </c>
      <c r="CE363" s="91" t="inlineStr">
        <is>
          <t/>
        </is>
      </c>
      <c r="CF363" s="92" t="inlineStr">
        <is>
          <t>Completed</t>
        </is>
      </c>
      <c r="CG363" s="93" t="inlineStr">
        <is>
          <t>0,02%</t>
        </is>
      </c>
      <c r="CH363" s="94" t="inlineStr">
        <is>
          <t>66</t>
        </is>
      </c>
      <c r="CI363" s="95" t="inlineStr">
        <is>
          <t>0,00%</t>
        </is>
      </c>
      <c r="CJ363" s="96" t="inlineStr">
        <is>
          <t>-8,51%</t>
        </is>
      </c>
      <c r="CK363" s="97" t="inlineStr">
        <is>
          <t>0,01%</t>
        </is>
      </c>
      <c r="CL363" s="98" t="inlineStr">
        <is>
          <t>79</t>
        </is>
      </c>
      <c r="CM363" s="99" t="inlineStr">
        <is>
          <t>0,04%</t>
        </is>
      </c>
      <c r="CN363" s="100" t="inlineStr">
        <is>
          <t>50</t>
        </is>
      </c>
      <c r="CO363" s="101" t="inlineStr">
        <is>
          <t>0,01%</t>
        </is>
      </c>
      <c r="CP363" s="102" t="inlineStr">
        <is>
          <t>78</t>
        </is>
      </c>
      <c r="CQ363" s="103" t="inlineStr">
        <is>
          <t/>
        </is>
      </c>
      <c r="CR363" s="104" t="inlineStr">
        <is>
          <t/>
        </is>
      </c>
      <c r="CS363" s="105" t="inlineStr">
        <is>
          <t>-0,02%</t>
        </is>
      </c>
      <c r="CT363" s="106" t="inlineStr">
        <is>
          <t>12</t>
        </is>
      </c>
      <c r="CU363" s="107" t="inlineStr">
        <is>
          <t>0,10%</t>
        </is>
      </c>
      <c r="CV363" s="108" t="inlineStr">
        <is>
          <t>68</t>
        </is>
      </c>
      <c r="CW363" s="109" t="inlineStr">
        <is>
          <t>28,70x</t>
        </is>
      </c>
      <c r="CX363" s="110" t="inlineStr">
        <is>
          <t>94</t>
        </is>
      </c>
      <c r="CY363" s="111" t="inlineStr">
        <is>
          <t>0,39x</t>
        </is>
      </c>
      <c r="CZ363" s="112" t="inlineStr">
        <is>
          <t>1,38%</t>
        </is>
      </c>
      <c r="DA363" s="113" t="inlineStr">
        <is>
          <t>19,77x</t>
        </is>
      </c>
      <c r="DB363" s="114" t="inlineStr">
        <is>
          <t>92</t>
        </is>
      </c>
      <c r="DC363" s="115" t="inlineStr">
        <is>
          <t>37,63x</t>
        </is>
      </c>
      <c r="DD363" s="116" t="inlineStr">
        <is>
          <t>93</t>
        </is>
      </c>
      <c r="DE363" s="117" t="inlineStr">
        <is>
          <t>19,77x</t>
        </is>
      </c>
      <c r="DF363" s="118" t="inlineStr">
        <is>
          <t>88</t>
        </is>
      </c>
      <c r="DG363" s="119" t="inlineStr">
        <is>
          <t/>
        </is>
      </c>
      <c r="DH363" s="120" t="inlineStr">
        <is>
          <t/>
        </is>
      </c>
      <c r="DI363" s="121" t="inlineStr">
        <is>
          <t>62,28x</t>
        </is>
      </c>
      <c r="DJ363" s="122" t="inlineStr">
        <is>
          <t>94</t>
        </is>
      </c>
      <c r="DK363" s="123" t="inlineStr">
        <is>
          <t>12,99x</t>
        </is>
      </c>
      <c r="DL363" s="124" t="inlineStr">
        <is>
          <t>88</t>
        </is>
      </c>
      <c r="DM363" s="125" t="inlineStr">
        <is>
          <t>12.084</t>
        </is>
      </c>
      <c r="DN363" s="126" t="inlineStr">
        <is>
          <t>217</t>
        </is>
      </c>
      <c r="DO363" s="127" t="inlineStr">
        <is>
          <t>1,83%</t>
        </is>
      </c>
      <c r="DP363" s="128" t="inlineStr">
        <is>
          <t>49.769</t>
        </is>
      </c>
      <c r="DQ363" s="129" t="inlineStr">
        <is>
          <t>-9</t>
        </is>
      </c>
      <c r="DR363" s="130" t="inlineStr">
        <is>
          <t>-0,02%</t>
        </is>
      </c>
      <c r="DS363" s="131" t="inlineStr">
        <is>
          <t/>
        </is>
      </c>
      <c r="DT363" s="132" t="inlineStr">
        <is>
          <t/>
        </is>
      </c>
      <c r="DU363" s="133" t="inlineStr">
        <is>
          <t/>
        </is>
      </c>
      <c r="DV363" s="134" t="inlineStr">
        <is>
          <t>4.449</t>
        </is>
      </c>
      <c r="DW363" s="135" t="inlineStr">
        <is>
          <t>2</t>
        </is>
      </c>
      <c r="DX363" s="136" t="inlineStr">
        <is>
          <t>0,04%</t>
        </is>
      </c>
      <c r="DY363" s="137" t="inlineStr">
        <is>
          <t>PitchBook Research</t>
        </is>
      </c>
      <c r="DZ363" s="785">
        <f>HYPERLINK("https://my.pitchbook.com?c=97243-75", "View company online")</f>
      </c>
    </row>
    <row r="364">
      <c r="A364" s="139" t="inlineStr">
        <is>
          <t>166768-66</t>
        </is>
      </c>
      <c r="B364" s="140" t="inlineStr">
        <is>
          <t>Prowler.io</t>
        </is>
      </c>
      <c r="C364" s="141" t="inlineStr">
        <is>
          <t/>
        </is>
      </c>
      <c r="D364" s="142" t="inlineStr">
        <is>
          <t>Prowler</t>
        </is>
      </c>
      <c r="E364" s="143" t="inlineStr">
        <is>
          <t>166768-66</t>
        </is>
      </c>
      <c r="F364" s="144" t="inlineStr">
        <is>
          <t>Provider of an AI decision making platform designed to transform complex systems design and implementation. The company's decision making platform makes it possible to perceive and affect the ways agents - such as vehicles, drones, robots, characters in games and even people - interact in complex environments, enabling customers to understand, guide and optimize the millions of micro-decisions that can occur in dynamic systems.</t>
        </is>
      </c>
      <c r="G364" s="145" t="inlineStr">
        <is>
          <t>Information Technology</t>
        </is>
      </c>
      <c r="H364" s="146" t="inlineStr">
        <is>
          <t>Software</t>
        </is>
      </c>
      <c r="I364" s="147" t="inlineStr">
        <is>
          <t>Application Software</t>
        </is>
      </c>
      <c r="J364" s="148" t="inlineStr">
        <is>
          <t>Application Software*</t>
        </is>
      </c>
      <c r="K364" s="149" t="inlineStr">
        <is>
          <t>Artificial Intelligence &amp; Machine Learning, Big Data</t>
        </is>
      </c>
      <c r="L364" s="150" t="inlineStr">
        <is>
          <t>Venture Capital-Backed</t>
        </is>
      </c>
      <c r="M364" s="151" t="n">
        <v>12.74</v>
      </c>
      <c r="N364" s="152" t="inlineStr">
        <is>
          <t>Startup</t>
        </is>
      </c>
      <c r="O364" s="153" t="inlineStr">
        <is>
          <t>Privately Held (backing)</t>
        </is>
      </c>
      <c r="P364" s="154" t="inlineStr">
        <is>
          <t>Venture Capital</t>
        </is>
      </c>
      <c r="Q364" s="155" t="inlineStr">
        <is>
          <t>www.prowler.io</t>
        </is>
      </c>
      <c r="R364" s="156" t="n">
        <v>50.0</v>
      </c>
      <c r="S364" s="157" t="inlineStr">
        <is>
          <t/>
        </is>
      </c>
      <c r="T364" s="158" t="inlineStr">
        <is>
          <t/>
        </is>
      </c>
      <c r="U364" s="159" t="n">
        <v>2016.0</v>
      </c>
      <c r="V364" s="160" t="inlineStr">
        <is>
          <t/>
        </is>
      </c>
      <c r="W364" s="161" t="inlineStr">
        <is>
          <t/>
        </is>
      </c>
      <c r="X364" s="162" t="inlineStr">
        <is>
          <r>
            <rPr>
              <b/>
              <color rgb="ff26854d"/>
              <rFont val="Arial"/>
              <sz val="8.0"/>
            </rPr>
            <t>Deal</t>
          </r>
          <r>
            <rPr>
              <color rgb="ff707070"/>
              <rFont val="Arial"/>
              <sz val="7.0"/>
            </rPr>
            <t xml:space="preserve"> NEW  </t>
          </r>
          <r>
            <rPr>
              <color rgb="ff000000"/>
              <rFont val="Arial"/>
              <sz val="8.0"/>
            </rPr>
            <t>Early Stage VC (Series A), 2017</t>
          </r>
          <r>
            <rPr>
              <color rgb="ff707070"/>
              <rFont val="Arial"/>
              <sz val="7.0"/>
            </rPr>
            <t xml:space="preserve"> Completed</t>
          </r>
          <r>
            <rPr>
              <color rgb="ff000000"/>
              <rFont val="Arial"/>
              <sz val="8.0"/>
            </rPr>
            <t xml:space="preserve">
</t>
          </r>
          <r>
            <rPr>
              <b/>
              <color rgb="ff26854d"/>
              <rFont val="Arial"/>
              <sz val="8.0"/>
            </rPr>
            <t>Promotion</t>
          </r>
          <r>
            <rPr>
              <color rgb="ff707070"/>
              <rFont val="Arial"/>
              <sz val="7.0"/>
            </rPr>
            <t xml:space="preserve"> NEW  </t>
          </r>
          <r>
            <rPr>
              <color rgb="ff000000"/>
              <rFont val="Arial"/>
              <sz val="8.0"/>
            </rPr>
            <t>Aleksi Tukiainen, Co-Founder, Machine Learning Engineer &amp; Board Member</t>
          </r>
          <r>
            <rPr>
              <color rgb="ff000000"/>
              <rFont val="Arial"/>
              <sz val="8.0"/>
            </rPr>
            <t xml:space="preserve">
</t>
          </r>
          <r>
            <rPr>
              <b/>
              <color rgb="ff26854d"/>
              <rFont val="Arial"/>
              <sz val="8.0"/>
            </rPr>
            <t>Promotion</t>
          </r>
          <r>
            <rPr>
              <color rgb="ff707070"/>
              <rFont val="Arial"/>
              <sz val="7.0"/>
            </rPr>
            <t xml:space="preserve"> NEW  </t>
          </r>
          <r>
            <rPr>
              <color rgb="ff000000"/>
              <rFont val="Arial"/>
              <sz val="8.0"/>
            </rPr>
            <t>Vishal Chatrath, Co-Founder, Chief Executive Officer &amp; Board Member</t>
          </r>
        </is>
      </c>
      <c r="Y364" s="163" t="inlineStr">
        <is>
          <t/>
        </is>
      </c>
      <c r="Z364" s="164" t="inlineStr">
        <is>
          <t/>
        </is>
      </c>
      <c r="AA364" s="165" t="inlineStr">
        <is>
          <t/>
        </is>
      </c>
      <c r="AB364" s="166" t="inlineStr">
        <is>
          <t/>
        </is>
      </c>
      <c r="AC364" s="167" t="inlineStr">
        <is>
          <t/>
        </is>
      </c>
      <c r="AD364" s="168" t="inlineStr">
        <is>
          <t/>
        </is>
      </c>
      <c r="AE364" s="169" t="inlineStr">
        <is>
          <t>146645-38P</t>
        </is>
      </c>
      <c r="AF364" s="170" t="inlineStr">
        <is>
          <t>Vishal Chatrath</t>
        </is>
      </c>
      <c r="AG364" s="171" t="inlineStr">
        <is>
          <t>Co-Founder, Chief Executive Officer &amp; Board Member</t>
        </is>
      </c>
      <c r="AH364" s="172" t="inlineStr">
        <is>
          <t>vishal@prowler.io</t>
        </is>
      </c>
      <c r="AI364" s="173" t="inlineStr">
        <is>
          <t/>
        </is>
      </c>
      <c r="AJ364" s="174" t="inlineStr">
        <is>
          <t>Cambridge, United Kingdom</t>
        </is>
      </c>
      <c r="AK364" s="175" t="inlineStr">
        <is>
          <t>3rd Floor, Charter House</t>
        </is>
      </c>
      <c r="AL364" s="176" t="inlineStr">
        <is>
          <t>66-68 Hills Road</t>
        </is>
      </c>
      <c r="AM364" s="177" t="inlineStr">
        <is>
          <t>Cambridge</t>
        </is>
      </c>
      <c r="AN364" s="178" t="inlineStr">
        <is>
          <t>England</t>
        </is>
      </c>
      <c r="AO364" s="179" t="inlineStr">
        <is>
          <t>CB2 1LA</t>
        </is>
      </c>
      <c r="AP364" s="180" t="inlineStr">
        <is>
          <t>United Kingdom</t>
        </is>
      </c>
      <c r="AQ364" s="181" t="inlineStr">
        <is>
          <t/>
        </is>
      </c>
      <c r="AR364" s="182" t="inlineStr">
        <is>
          <t/>
        </is>
      </c>
      <c r="AS364" s="183" t="inlineStr">
        <is>
          <t>info@prowler.io</t>
        </is>
      </c>
      <c r="AT364" s="184" t="inlineStr">
        <is>
          <t>Europe</t>
        </is>
      </c>
      <c r="AU364" s="185" t="inlineStr">
        <is>
          <t>Western Europe</t>
        </is>
      </c>
      <c r="AV364" s="186" t="inlineStr">
        <is>
          <t>The company raised GBP 10 million of Series A venture funding from lead investor Cambridge Innovation Capital on September 5, 2017. Atlantic Bridge Capital, Passion Capital, Amadeus Capital Partners and SGInnovate also participated in the round. The funding will be used to expand its world-leading team of academics, developers, enhance its research efforts and continue development and commercialization of its platform. Previously, the company raised GBP 1.5 million of seed funding from Passion Capital, Amadeus Capital Partners and Infocomm Investments on September 30, 2016, putting the pre-money valuation at GBP 3.09 million.</t>
        </is>
      </c>
      <c r="AW364" s="187" t="inlineStr">
        <is>
          <t>Amadeus Capital Partners, Atlantic Bridge Capital, Barclays Eagle Lab, Cambridge Innovation Capital, Passion Capital, SGInnovate</t>
        </is>
      </c>
      <c r="AX364" s="188" t="n">
        <v>6.0</v>
      </c>
      <c r="AY364" s="189" t="inlineStr">
        <is>
          <t/>
        </is>
      </c>
      <c r="AZ364" s="190" t="inlineStr">
        <is>
          <t/>
        </is>
      </c>
      <c r="BA364" s="191" t="inlineStr">
        <is>
          <t/>
        </is>
      </c>
      <c r="BB364" s="192" t="inlineStr">
        <is>
          <t>Amadeus Capital Partners (www.amadeuscapital.com), Atlantic Bridge Capital (www.abven.com), Cambridge Innovation Capital (www.cicplc.co.uk), Passion Capital (www.passioncapital.com), SGInnovate (www.sginnovate.com)</t>
        </is>
      </c>
      <c r="BC364" s="193" t="inlineStr">
        <is>
          <t/>
        </is>
      </c>
      <c r="BD364" s="194" t="inlineStr">
        <is>
          <t/>
        </is>
      </c>
      <c r="BE364" s="195" t="inlineStr">
        <is>
          <t/>
        </is>
      </c>
      <c r="BF364" s="196" t="inlineStr">
        <is>
          <t/>
        </is>
      </c>
      <c r="BG364" s="197" t="inlineStr">
        <is>
          <t/>
        </is>
      </c>
      <c r="BH364" s="198" t="inlineStr">
        <is>
          <t/>
        </is>
      </c>
      <c r="BI364" s="199" t="inlineStr">
        <is>
          <t/>
        </is>
      </c>
      <c r="BJ364" s="200" t="inlineStr">
        <is>
          <t/>
        </is>
      </c>
      <c r="BK364" s="201" t="inlineStr">
        <is>
          <t/>
        </is>
      </c>
      <c r="BL364" s="202" t="inlineStr">
        <is>
          <t>Accelerator/Incubator</t>
        </is>
      </c>
      <c r="BM364" s="203" t="inlineStr">
        <is>
          <t/>
        </is>
      </c>
      <c r="BN364" s="204" t="inlineStr">
        <is>
          <t/>
        </is>
      </c>
      <c r="BO364" s="205" t="inlineStr">
        <is>
          <t>Other</t>
        </is>
      </c>
      <c r="BP364" s="206" t="inlineStr">
        <is>
          <t/>
        </is>
      </c>
      <c r="BQ364" s="207" t="inlineStr">
        <is>
          <t/>
        </is>
      </c>
      <c r="BR364" s="208" t="inlineStr">
        <is>
          <t/>
        </is>
      </c>
      <c r="BS364" s="209" t="inlineStr">
        <is>
          <t>Completed</t>
        </is>
      </c>
      <c r="BT364" s="210" t="n">
        <v>42983.0</v>
      </c>
      <c r="BU364" s="211" t="n">
        <v>10.98</v>
      </c>
      <c r="BV364" s="212" t="inlineStr">
        <is>
          <t>Actual</t>
        </is>
      </c>
      <c r="BW364" s="213" t="n">
        <v>28.89</v>
      </c>
      <c r="BX364" s="214" t="inlineStr">
        <is>
          <t>Actual</t>
        </is>
      </c>
      <c r="BY364" s="215" t="inlineStr">
        <is>
          <t>Early Stage VC</t>
        </is>
      </c>
      <c r="BZ364" s="216" t="inlineStr">
        <is>
          <t>Series A</t>
        </is>
      </c>
      <c r="CA364" s="217" t="inlineStr">
        <is>
          <t/>
        </is>
      </c>
      <c r="CB364" s="218" t="inlineStr">
        <is>
          <t>Venture Capital</t>
        </is>
      </c>
      <c r="CC364" s="219" t="inlineStr">
        <is>
          <t/>
        </is>
      </c>
      <c r="CD364" s="220" t="inlineStr">
        <is>
          <t/>
        </is>
      </c>
      <c r="CE364" s="221" t="inlineStr">
        <is>
          <t/>
        </is>
      </c>
      <c r="CF364" s="222" t="inlineStr">
        <is>
          <t>Completed</t>
        </is>
      </c>
      <c r="CG364" s="223" t="inlineStr">
        <is>
          <t>1,77%</t>
        </is>
      </c>
      <c r="CH364" s="224" t="inlineStr">
        <is>
          <t>93</t>
        </is>
      </c>
      <c r="CI364" s="225" t="inlineStr">
        <is>
          <t>0,25%</t>
        </is>
      </c>
      <c r="CJ364" s="226" t="inlineStr">
        <is>
          <t>16,66%</t>
        </is>
      </c>
      <c r="CK364" s="227" t="inlineStr">
        <is>
          <t>0,68%</t>
        </is>
      </c>
      <c r="CL364" s="228" t="inlineStr">
        <is>
          <t>85</t>
        </is>
      </c>
      <c r="CM364" s="229" t="inlineStr">
        <is>
          <t>2,86%</t>
        </is>
      </c>
      <c r="CN364" s="230" t="inlineStr">
        <is>
          <t>99</t>
        </is>
      </c>
      <c r="CO364" s="231" t="inlineStr">
        <is>
          <t>1,35%</t>
        </is>
      </c>
      <c r="CP364" s="232" t="inlineStr">
        <is>
          <t>86</t>
        </is>
      </c>
      <c r="CQ364" s="233" t="inlineStr">
        <is>
          <t>0,00%</t>
        </is>
      </c>
      <c r="CR364" s="234" t="inlineStr">
        <is>
          <t>13</t>
        </is>
      </c>
      <c r="CS364" s="235" t="inlineStr">
        <is>
          <t/>
        </is>
      </c>
      <c r="CT364" s="236" t="inlineStr">
        <is>
          <t/>
        </is>
      </c>
      <c r="CU364" s="237" t="inlineStr">
        <is>
          <t>2,86%</t>
        </is>
      </c>
      <c r="CV364" s="238" t="inlineStr">
        <is>
          <t>100</t>
        </is>
      </c>
      <c r="CW364" s="239" t="inlineStr">
        <is>
          <t>2,46x</t>
        </is>
      </c>
      <c r="CX364" s="240" t="inlineStr">
        <is>
          <t>68</t>
        </is>
      </c>
      <c r="CY364" s="241" t="inlineStr">
        <is>
          <t>0,22x</t>
        </is>
      </c>
      <c r="CZ364" s="242" t="inlineStr">
        <is>
          <t>9,94%</t>
        </is>
      </c>
      <c r="DA364" s="243" t="inlineStr">
        <is>
          <t>2,55x</t>
        </is>
      </c>
      <c r="DB364" s="244" t="inlineStr">
        <is>
          <t>71</t>
        </is>
      </c>
      <c r="DC364" s="245" t="inlineStr">
        <is>
          <t>2,38x</t>
        </is>
      </c>
      <c r="DD364" s="246" t="inlineStr">
        <is>
          <t>64</t>
        </is>
      </c>
      <c r="DE364" s="247" t="inlineStr">
        <is>
          <t>3,37x</t>
        </is>
      </c>
      <c r="DF364" s="248" t="inlineStr">
        <is>
          <t>71</t>
        </is>
      </c>
      <c r="DG364" s="249" t="inlineStr">
        <is>
          <t>1,72x</t>
        </is>
      </c>
      <c r="DH364" s="250" t="inlineStr">
        <is>
          <t>61</t>
        </is>
      </c>
      <c r="DI364" s="251" t="inlineStr">
        <is>
          <t/>
        </is>
      </c>
      <c r="DJ364" s="252" t="inlineStr">
        <is>
          <t/>
        </is>
      </c>
      <c r="DK364" s="253" t="inlineStr">
        <is>
          <t>2,38x</t>
        </is>
      </c>
      <c r="DL364" s="254" t="inlineStr">
        <is>
          <t>66</t>
        </is>
      </c>
      <c r="DM364" s="255" t="inlineStr">
        <is>
          <t>2.105</t>
        </is>
      </c>
      <c r="DN364" s="256" t="inlineStr">
        <is>
          <t>-96</t>
        </is>
      </c>
      <c r="DO364" s="257" t="inlineStr">
        <is>
          <t>-4,36%</t>
        </is>
      </c>
      <c r="DP364" s="258" t="inlineStr">
        <is>
          <t/>
        </is>
      </c>
      <c r="DQ364" s="259" t="inlineStr">
        <is>
          <t/>
        </is>
      </c>
      <c r="DR364" s="260" t="inlineStr">
        <is>
          <t/>
        </is>
      </c>
      <c r="DS364" s="261" t="inlineStr">
        <is>
          <t>59</t>
        </is>
      </c>
      <c r="DT364" s="262" t="inlineStr">
        <is>
          <t>6</t>
        </is>
      </c>
      <c r="DU364" s="263" t="inlineStr">
        <is>
          <t>11,32%</t>
        </is>
      </c>
      <c r="DV364" s="264" t="inlineStr">
        <is>
          <t>777</t>
        </is>
      </c>
      <c r="DW364" s="265" t="inlineStr">
        <is>
          <t>58</t>
        </is>
      </c>
      <c r="DX364" s="266" t="inlineStr">
        <is>
          <t>8,07%</t>
        </is>
      </c>
      <c r="DY364" s="267" t="inlineStr">
        <is>
          <t>PitchBook Research</t>
        </is>
      </c>
      <c r="DZ364" s="786">
        <f>HYPERLINK("https://my.pitchbook.com?c=166768-66", "View company online")</f>
      </c>
    </row>
    <row r="365">
      <c r="A365" s="9" t="inlineStr">
        <is>
          <t>57313-18</t>
        </is>
      </c>
      <c r="B365" s="10" t="inlineStr">
        <is>
          <t>pureLiFi</t>
        </is>
      </c>
      <c r="C365" s="11" t="inlineStr">
        <is>
          <t>pureVLC</t>
        </is>
      </c>
      <c r="D365" s="12" t="inlineStr">
        <is>
          <t/>
        </is>
      </c>
      <c r="E365" s="13" t="inlineStr">
        <is>
          <t>57313-18</t>
        </is>
      </c>
      <c r="F365" s="14" t="inlineStr">
        <is>
          <t>Developer of light communications technology. The company develops LiFi technology, an alternative to Wi-Fi that uses modulating LED light as a way of sending data from one LiFi-equipped device to another.</t>
        </is>
      </c>
      <c r="G365" s="15" t="inlineStr">
        <is>
          <t>Information Technology</t>
        </is>
      </c>
      <c r="H365" s="16" t="inlineStr">
        <is>
          <t>Communications and Networking</t>
        </is>
      </c>
      <c r="I365" s="17" t="inlineStr">
        <is>
          <t>Wireless Communications Equipment</t>
        </is>
      </c>
      <c r="J365" s="18" t="inlineStr">
        <is>
          <t>Wireless Communications Equipment*; Other Communications and Networking</t>
        </is>
      </c>
      <c r="K365" s="19" t="inlineStr">
        <is>
          <t/>
        </is>
      </c>
      <c r="L365" s="20" t="inlineStr">
        <is>
          <t>Venture Capital-Backed</t>
        </is>
      </c>
      <c r="M365" s="21" t="n">
        <v>9.26</v>
      </c>
      <c r="N365" s="22" t="inlineStr">
        <is>
          <t>Generating Revenue</t>
        </is>
      </c>
      <c r="O365" s="23" t="inlineStr">
        <is>
          <t>Privately Held (backing)</t>
        </is>
      </c>
      <c r="P365" s="24" t="inlineStr">
        <is>
          <t>Venture Capital</t>
        </is>
      </c>
      <c r="Q365" s="25" t="inlineStr">
        <is>
          <t>www.purelifi.com</t>
        </is>
      </c>
      <c r="R365" s="26" t="n">
        <v>17.0</v>
      </c>
      <c r="S365" s="27" t="inlineStr">
        <is>
          <t/>
        </is>
      </c>
      <c r="T365" s="28" t="inlineStr">
        <is>
          <t/>
        </is>
      </c>
      <c r="U365" s="29" t="n">
        <v>2012.0</v>
      </c>
      <c r="V365" s="30" t="inlineStr">
        <is>
          <t/>
        </is>
      </c>
      <c r="W365" s="31" t="inlineStr">
        <is>
          <t/>
        </is>
      </c>
      <c r="X365" s="32" t="inlineStr">
        <is>
          <t/>
        </is>
      </c>
      <c r="Y365" s="33" t="inlineStr">
        <is>
          <t/>
        </is>
      </c>
      <c r="Z365" s="34" t="inlineStr">
        <is>
          <t/>
        </is>
      </c>
      <c r="AA365" s="35" t="inlineStr">
        <is>
          <t/>
        </is>
      </c>
      <c r="AB365" s="36" t="inlineStr">
        <is>
          <t/>
        </is>
      </c>
      <c r="AC365" s="37" t="inlineStr">
        <is>
          <t/>
        </is>
      </c>
      <c r="AD365" s="38" t="inlineStr">
        <is>
          <t/>
        </is>
      </c>
      <c r="AE365" s="39" t="inlineStr">
        <is>
          <t>50149-63P</t>
        </is>
      </c>
      <c r="AF365" s="40" t="inlineStr">
        <is>
          <t>Harald Haas</t>
        </is>
      </c>
      <c r="AG365" s="41" t="inlineStr">
        <is>
          <t>Co-Founder, Board Member &amp; Chief Scientific Officer</t>
        </is>
      </c>
      <c r="AH365" s="42" t="inlineStr">
        <is>
          <t>harald.haas@purelifi.co.uk</t>
        </is>
      </c>
      <c r="AI365" s="43" t="inlineStr">
        <is>
          <t>+44 (0)78 4157 1871</t>
        </is>
      </c>
      <c r="AJ365" s="44" t="inlineStr">
        <is>
          <t>Edinburgh, United Kingdom</t>
        </is>
      </c>
      <c r="AK365" s="45" t="inlineStr">
        <is>
          <t>Edinburgh Technology Transfer Centre</t>
        </is>
      </c>
      <c r="AL365" s="46" t="inlineStr">
        <is>
          <t>Alrick Building Max Born Crescent</t>
        </is>
      </c>
      <c r="AM365" s="47" t="inlineStr">
        <is>
          <t>Edinburgh</t>
        </is>
      </c>
      <c r="AN365" s="48" t="inlineStr">
        <is>
          <t>Scotland</t>
        </is>
      </c>
      <c r="AO365" s="49" t="inlineStr">
        <is>
          <t>EH9 3BF</t>
        </is>
      </c>
      <c r="AP365" s="50" t="inlineStr">
        <is>
          <t>United Kingdom</t>
        </is>
      </c>
      <c r="AQ365" s="51" t="inlineStr">
        <is>
          <t>+44 (0)78 4157 1871</t>
        </is>
      </c>
      <c r="AR365" s="52" t="inlineStr">
        <is>
          <t/>
        </is>
      </c>
      <c r="AS365" s="53" t="inlineStr">
        <is>
          <t>info@purelifi.com</t>
        </is>
      </c>
      <c r="AT365" s="54" t="inlineStr">
        <is>
          <t>Europe</t>
        </is>
      </c>
      <c r="AU365" s="55" t="inlineStr">
        <is>
          <t>Western Europe</t>
        </is>
      </c>
      <c r="AV365" s="56" t="inlineStr">
        <is>
          <t>The company raised around GBP 3.64 million of Series B venture funding in a deal led by Temasek Holdings on July 15, 2016. TRI Cap and other undisclosed investors also participated in the round. It intends to use the funds for development and commercialization of its proprietary technology. Previously, the company raised GBP 1.4 million of venture funding from undisclosed investors on February 23, 2016.</t>
        </is>
      </c>
      <c r="AW365" s="57" t="inlineStr">
        <is>
          <t>Individual Investor, London &amp; Scottish Investment Partners, Old College Capital, Par Equity, Scottish Enterprise, Temasek Holdings, TRI Cap</t>
        </is>
      </c>
      <c r="AX365" s="58" t="n">
        <v>7.0</v>
      </c>
      <c r="AY365" s="59" t="inlineStr">
        <is>
          <t/>
        </is>
      </c>
      <c r="AZ365" s="60" t="inlineStr">
        <is>
          <t/>
        </is>
      </c>
      <c r="BA365" s="61" t="inlineStr">
        <is>
          <t/>
        </is>
      </c>
      <c r="BB365" s="62" t="inlineStr">
        <is>
          <t>London &amp; Scottish Investment Partners (www.lsip.co.uk), Old College Capital (www.oldcollegecapital.co.uk), Par Equity (www.parequity.com), Scottish Enterprise (www.scottish-enterprise.com), Temasek Holdings (www.temasek.com.sg), TRI Cap (www.tricapital.co.uk)</t>
        </is>
      </c>
      <c r="BC365" s="63" t="inlineStr">
        <is>
          <t/>
        </is>
      </c>
      <c r="BD365" s="64" t="inlineStr">
        <is>
          <t/>
        </is>
      </c>
      <c r="BE365" s="65" t="inlineStr">
        <is>
          <t/>
        </is>
      </c>
      <c r="BF365" s="66" t="inlineStr">
        <is>
          <t>Dickson Minto W.S. (Legal Advisor), Quest Corporate (Advisor)</t>
        </is>
      </c>
      <c r="BG365" s="67" t="n">
        <v>40909.0</v>
      </c>
      <c r="BH365" s="68" t="n">
        <v>0.22</v>
      </c>
      <c r="BI365" s="69" t="inlineStr">
        <is>
          <t>Actual</t>
        </is>
      </c>
      <c r="BJ365" s="70" t="inlineStr">
        <is>
          <t/>
        </is>
      </c>
      <c r="BK365" s="71" t="inlineStr">
        <is>
          <t/>
        </is>
      </c>
      <c r="BL365" s="72" t="inlineStr">
        <is>
          <t>Seed Round</t>
        </is>
      </c>
      <c r="BM365" s="73" t="inlineStr">
        <is>
          <t>Seed</t>
        </is>
      </c>
      <c r="BN365" s="74" t="inlineStr">
        <is>
          <t/>
        </is>
      </c>
      <c r="BO365" s="75" t="inlineStr">
        <is>
          <t>Venture Capital</t>
        </is>
      </c>
      <c r="BP365" s="76" t="inlineStr">
        <is>
          <t/>
        </is>
      </c>
      <c r="BQ365" s="77" t="inlineStr">
        <is>
          <t/>
        </is>
      </c>
      <c r="BR365" s="78" t="inlineStr">
        <is>
          <t/>
        </is>
      </c>
      <c r="BS365" s="79" t="inlineStr">
        <is>
          <t>Completed</t>
        </is>
      </c>
      <c r="BT365" s="80" t="n">
        <v>42566.0</v>
      </c>
      <c r="BU365" s="81" t="n">
        <v>4.33</v>
      </c>
      <c r="BV365" s="82" t="inlineStr">
        <is>
          <t>Estimated</t>
        </is>
      </c>
      <c r="BW365" s="83" t="inlineStr">
        <is>
          <t/>
        </is>
      </c>
      <c r="BX365" s="84" t="inlineStr">
        <is>
          <t/>
        </is>
      </c>
      <c r="BY365" s="85" t="inlineStr">
        <is>
          <t>Early Stage VC</t>
        </is>
      </c>
      <c r="BZ365" s="86" t="inlineStr">
        <is>
          <t>Series B</t>
        </is>
      </c>
      <c r="CA365" s="87" t="inlineStr">
        <is>
          <t/>
        </is>
      </c>
      <c r="CB365" s="88" t="inlineStr">
        <is>
          <t>Venture Capital</t>
        </is>
      </c>
      <c r="CC365" s="89" t="inlineStr">
        <is>
          <t/>
        </is>
      </c>
      <c r="CD365" s="90" t="inlineStr">
        <is>
          <t/>
        </is>
      </c>
      <c r="CE365" s="91" t="inlineStr">
        <is>
          <t/>
        </is>
      </c>
      <c r="CF365" s="92" t="inlineStr">
        <is>
          <t>Completed</t>
        </is>
      </c>
      <c r="CG365" s="93" t="inlineStr">
        <is>
          <t>1,00%</t>
        </is>
      </c>
      <c r="CH365" s="94" t="inlineStr">
        <is>
          <t>89</t>
        </is>
      </c>
      <c r="CI365" s="95" t="inlineStr">
        <is>
          <t>-0,45%</t>
        </is>
      </c>
      <c r="CJ365" s="96" t="inlineStr">
        <is>
          <t>-31,28%</t>
        </is>
      </c>
      <c r="CK365" s="97" t="inlineStr">
        <is>
          <t>1,34%</t>
        </is>
      </c>
      <c r="CL365" s="98" t="inlineStr">
        <is>
          <t>88</t>
        </is>
      </c>
      <c r="CM365" s="99" t="inlineStr">
        <is>
          <t>0,66%</t>
        </is>
      </c>
      <c r="CN365" s="100" t="inlineStr">
        <is>
          <t>93</t>
        </is>
      </c>
      <c r="CO365" s="101" t="inlineStr">
        <is>
          <t>1,34%</t>
        </is>
      </c>
      <c r="CP365" s="102" t="inlineStr">
        <is>
          <t>86</t>
        </is>
      </c>
      <c r="CQ365" s="103" t="inlineStr">
        <is>
          <t/>
        </is>
      </c>
      <c r="CR365" s="104" t="inlineStr">
        <is>
          <t/>
        </is>
      </c>
      <c r="CS365" s="105" t="inlineStr">
        <is>
          <t>0,22%</t>
        </is>
      </c>
      <c r="CT365" s="106" t="inlineStr">
        <is>
          <t>72</t>
        </is>
      </c>
      <c r="CU365" s="107" t="inlineStr">
        <is>
          <t>1,11%</t>
        </is>
      </c>
      <c r="CV365" s="108" t="inlineStr">
        <is>
          <t>97</t>
        </is>
      </c>
      <c r="CW365" s="109" t="inlineStr">
        <is>
          <t>9,21x</t>
        </is>
      </c>
      <c r="CX365" s="110" t="inlineStr">
        <is>
          <t>86</t>
        </is>
      </c>
      <c r="CY365" s="111" t="inlineStr">
        <is>
          <t>-0,42x</t>
        </is>
      </c>
      <c r="CZ365" s="112" t="inlineStr">
        <is>
          <t>-4,36%</t>
        </is>
      </c>
      <c r="DA365" s="113" t="inlineStr">
        <is>
          <t>14,55x</t>
        </is>
      </c>
      <c r="DB365" s="114" t="inlineStr">
        <is>
          <t>90</t>
        </is>
      </c>
      <c r="DC365" s="115" t="inlineStr">
        <is>
          <t>3,88x</t>
        </is>
      </c>
      <c r="DD365" s="116" t="inlineStr">
        <is>
          <t>72</t>
        </is>
      </c>
      <c r="DE365" s="117" t="inlineStr">
        <is>
          <t>14,55x</t>
        </is>
      </c>
      <c r="DF365" s="118" t="inlineStr">
        <is>
          <t>86</t>
        </is>
      </c>
      <c r="DG365" s="119" t="inlineStr">
        <is>
          <t/>
        </is>
      </c>
      <c r="DH365" s="120" t="inlineStr">
        <is>
          <t/>
        </is>
      </c>
      <c r="DI365" s="121" t="inlineStr">
        <is>
          <t>2,93x</t>
        </is>
      </c>
      <c r="DJ365" s="122" t="inlineStr">
        <is>
          <t>68</t>
        </is>
      </c>
      <c r="DK365" s="123" t="inlineStr">
        <is>
          <t>4,83x</t>
        </is>
      </c>
      <c r="DL365" s="124" t="inlineStr">
        <is>
          <t>78</t>
        </is>
      </c>
      <c r="DM365" s="125" t="inlineStr">
        <is>
          <t>9.001</t>
        </is>
      </c>
      <c r="DN365" s="126" t="inlineStr">
        <is>
          <t>-156</t>
        </is>
      </c>
      <c r="DO365" s="127" t="inlineStr">
        <is>
          <t>-1,70%</t>
        </is>
      </c>
      <c r="DP365" s="128" t="inlineStr">
        <is>
          <t>2.339</t>
        </is>
      </c>
      <c r="DQ365" s="129" t="inlineStr">
        <is>
          <t>5</t>
        </is>
      </c>
      <c r="DR365" s="130" t="inlineStr">
        <is>
          <t>0,21%</t>
        </is>
      </c>
      <c r="DS365" s="131" t="inlineStr">
        <is>
          <t/>
        </is>
      </c>
      <c r="DT365" s="132" t="inlineStr">
        <is>
          <t/>
        </is>
      </c>
      <c r="DU365" s="133" t="inlineStr">
        <is>
          <t/>
        </is>
      </c>
      <c r="DV365" s="134" t="inlineStr">
        <is>
          <t>1.653</t>
        </is>
      </c>
      <c r="DW365" s="135" t="inlineStr">
        <is>
          <t>8</t>
        </is>
      </c>
      <c r="DX365" s="136" t="inlineStr">
        <is>
          <t>0,49%</t>
        </is>
      </c>
      <c r="DY365" s="137" t="inlineStr">
        <is>
          <t>PitchBook Research</t>
        </is>
      </c>
      <c r="DZ365" s="785">
        <f>HYPERLINK("https://my.pitchbook.com?c=57313-18", "View company online")</f>
      </c>
    </row>
    <row r="366">
      <c r="A366" s="139" t="inlineStr">
        <is>
          <t>63548-02</t>
        </is>
      </c>
      <c r="B366" s="140" t="inlineStr">
        <is>
          <t>Puridify</t>
        </is>
      </c>
      <c r="C366" s="141" t="inlineStr">
        <is>
          <t/>
        </is>
      </c>
      <c r="D366" s="142" t="inlineStr">
        <is>
          <t/>
        </is>
      </c>
      <c r="E366" s="143" t="inlineStr">
        <is>
          <t>63548-02</t>
        </is>
      </c>
      <c r="F366" s="144" t="inlineStr">
        <is>
          <t>Developer of platform purification technology designed to enhance bioprocessing technologies to significantly advance industrial biomolecule manufacture. The company's platform purification technology uses proprietary nanofibre to improve the efficiency of purification in biopharmaceutical production, enabling businesses to avail cost effective biomolecule products.</t>
        </is>
      </c>
      <c r="G366" s="145" t="inlineStr">
        <is>
          <t>Materials and Resources</t>
        </is>
      </c>
      <c r="H366" s="146" t="inlineStr">
        <is>
          <t>Chemicals and Gases</t>
        </is>
      </c>
      <c r="I366" s="147" t="inlineStr">
        <is>
          <t>Industrial Chemicals</t>
        </is>
      </c>
      <c r="J366" s="148" t="inlineStr">
        <is>
          <t>Industrial Chemicals*; Specialty Chemicals</t>
        </is>
      </c>
      <c r="K366" s="149" t="inlineStr">
        <is>
          <t/>
        </is>
      </c>
      <c r="L366" s="150" t="inlineStr">
        <is>
          <t>Venture Capital-Backed</t>
        </is>
      </c>
      <c r="M366" s="151" t="n">
        <v>9.59</v>
      </c>
      <c r="N366" s="152" t="inlineStr">
        <is>
          <t>Startup</t>
        </is>
      </c>
      <c r="O366" s="153" t="inlineStr">
        <is>
          <t>Privately Held (backing)</t>
        </is>
      </c>
      <c r="P366" s="154" t="inlineStr">
        <is>
          <t>Venture Capital</t>
        </is>
      </c>
      <c r="Q366" s="155" t="inlineStr">
        <is>
          <t>www.puridify.com</t>
        </is>
      </c>
      <c r="R366" s="156" t="n">
        <v>15.0</v>
      </c>
      <c r="S366" s="157" t="inlineStr">
        <is>
          <t/>
        </is>
      </c>
      <c r="T366" s="158" t="inlineStr">
        <is>
          <t/>
        </is>
      </c>
      <c r="U366" s="159" t="n">
        <v>2013.0</v>
      </c>
      <c r="V366" s="160" t="inlineStr">
        <is>
          <t/>
        </is>
      </c>
      <c r="W366" s="161" t="inlineStr">
        <is>
          <t/>
        </is>
      </c>
      <c r="X366" s="162" t="inlineStr">
        <is>
          <t/>
        </is>
      </c>
      <c r="Y366" s="163" t="inlineStr">
        <is>
          <t/>
        </is>
      </c>
      <c r="Z366" s="164" t="inlineStr">
        <is>
          <t/>
        </is>
      </c>
      <c r="AA366" s="165" t="inlineStr">
        <is>
          <t/>
        </is>
      </c>
      <c r="AB366" s="166" t="inlineStr">
        <is>
          <t/>
        </is>
      </c>
      <c r="AC366" s="167" t="inlineStr">
        <is>
          <t/>
        </is>
      </c>
      <c r="AD366" s="168" t="inlineStr">
        <is>
          <t/>
        </is>
      </c>
      <c r="AE366" s="169" t="inlineStr">
        <is>
          <t>68473-99P</t>
        </is>
      </c>
      <c r="AF366" s="170" t="inlineStr">
        <is>
          <t>Oliver Hardick</t>
        </is>
      </c>
      <c r="AG366" s="171" t="inlineStr">
        <is>
          <t>Co-Founder, Board Member and Chief Executive Officer</t>
        </is>
      </c>
      <c r="AH366" s="172" t="inlineStr">
        <is>
          <t/>
        </is>
      </c>
      <c r="AI366" s="173" t="inlineStr">
        <is>
          <t>+44 (0)14 3890 6820</t>
        </is>
      </c>
      <c r="AJ366" s="174" t="inlineStr">
        <is>
          <t>Stevenage, United Kingdom</t>
        </is>
      </c>
      <c r="AK366" s="175" t="inlineStr">
        <is>
          <t>Stevenage Bioscience Catalyst</t>
        </is>
      </c>
      <c r="AL366" s="176" t="inlineStr">
        <is>
          <t>Gunnels Wood Road, Herts</t>
        </is>
      </c>
      <c r="AM366" s="177" t="inlineStr">
        <is>
          <t>Stevenage</t>
        </is>
      </c>
      <c r="AN366" s="178" t="inlineStr">
        <is>
          <t>England</t>
        </is>
      </c>
      <c r="AO366" s="179" t="inlineStr">
        <is>
          <t>SG1 2FX</t>
        </is>
      </c>
      <c r="AP366" s="180" t="inlineStr">
        <is>
          <t>United Kingdom</t>
        </is>
      </c>
      <c r="AQ366" s="181" t="inlineStr">
        <is>
          <t>+44 (0)14 3890 6820</t>
        </is>
      </c>
      <c r="AR366" s="182" t="inlineStr">
        <is>
          <t/>
        </is>
      </c>
      <c r="AS366" s="183" t="inlineStr">
        <is>
          <t>enquiries@puridify.com</t>
        </is>
      </c>
      <c r="AT366" s="184" t="inlineStr">
        <is>
          <t>Europe</t>
        </is>
      </c>
      <c r="AU366" s="185" t="inlineStr">
        <is>
          <t>Western Europe</t>
        </is>
      </c>
      <c r="AV366" s="186" t="inlineStr">
        <is>
          <t>The company received an EUR 50,000 million grant from Horizon 2020 on June 20, 2016.</t>
        </is>
      </c>
      <c r="AW366" s="187" t="inlineStr">
        <is>
          <t>Horizon 2020, SR One, Touchstone Innovations, UCL Business, University College London</t>
        </is>
      </c>
      <c r="AX366" s="188" t="n">
        <v>5.0</v>
      </c>
      <c r="AY366" s="189" t="inlineStr">
        <is>
          <t/>
        </is>
      </c>
      <c r="AZ366" s="190" t="inlineStr">
        <is>
          <t/>
        </is>
      </c>
      <c r="BA366" s="191" t="inlineStr">
        <is>
          <t/>
        </is>
      </c>
      <c r="BB366" s="192" t="inlineStr">
        <is>
          <t>SR One (www.srone.com), Touchstone Innovations (www.touchstoneinnovations.com), UCL Business (www.uclb.com), University College London (www.ucl.ac.uk)</t>
        </is>
      </c>
      <c r="BC366" s="193" t="inlineStr">
        <is>
          <t/>
        </is>
      </c>
      <c r="BD366" s="194" t="inlineStr">
        <is>
          <t/>
        </is>
      </c>
      <c r="BE366" s="195" t="inlineStr">
        <is>
          <t/>
        </is>
      </c>
      <c r="BF366" s="196" t="inlineStr">
        <is>
          <t/>
        </is>
      </c>
      <c r="BG366" s="197" t="n">
        <v>41788.0</v>
      </c>
      <c r="BH366" s="198" t="n">
        <v>1.04</v>
      </c>
      <c r="BI366" s="199" t="inlineStr">
        <is>
          <t>Actual</t>
        </is>
      </c>
      <c r="BJ366" s="200" t="inlineStr">
        <is>
          <t/>
        </is>
      </c>
      <c r="BK366" s="201" t="inlineStr">
        <is>
          <t/>
        </is>
      </c>
      <c r="BL366" s="202" t="inlineStr">
        <is>
          <t>Seed Round</t>
        </is>
      </c>
      <c r="BM366" s="203" t="inlineStr">
        <is>
          <t>Seed</t>
        </is>
      </c>
      <c r="BN366" s="204" t="inlineStr">
        <is>
          <t/>
        </is>
      </c>
      <c r="BO366" s="205" t="inlineStr">
        <is>
          <t>Venture Capital</t>
        </is>
      </c>
      <c r="BP366" s="206" t="inlineStr">
        <is>
          <t/>
        </is>
      </c>
      <c r="BQ366" s="207" t="inlineStr">
        <is>
          <t/>
        </is>
      </c>
      <c r="BR366" s="208" t="inlineStr">
        <is>
          <t/>
        </is>
      </c>
      <c r="BS366" s="209" t="inlineStr">
        <is>
          <t>Completed</t>
        </is>
      </c>
      <c r="BT366" s="210" t="n">
        <v>42541.0</v>
      </c>
      <c r="BU366" s="211" t="n">
        <v>0.05</v>
      </c>
      <c r="BV366" s="212" t="inlineStr">
        <is>
          <t>Actual</t>
        </is>
      </c>
      <c r="BW366" s="213" t="inlineStr">
        <is>
          <t/>
        </is>
      </c>
      <c r="BX366" s="214" t="inlineStr">
        <is>
          <t/>
        </is>
      </c>
      <c r="BY366" s="215" t="inlineStr">
        <is>
          <t>Grant</t>
        </is>
      </c>
      <c r="BZ366" s="216" t="inlineStr">
        <is>
          <t/>
        </is>
      </c>
      <c r="CA366" s="217" t="inlineStr">
        <is>
          <t/>
        </is>
      </c>
      <c r="CB366" s="218" t="inlineStr">
        <is>
          <t>Other</t>
        </is>
      </c>
      <c r="CC366" s="219" t="inlineStr">
        <is>
          <t/>
        </is>
      </c>
      <c r="CD366" s="220" t="inlineStr">
        <is>
          <t/>
        </is>
      </c>
      <c r="CE366" s="221" t="inlineStr">
        <is>
          <t/>
        </is>
      </c>
      <c r="CF366" s="222" t="inlineStr">
        <is>
          <t>Completed</t>
        </is>
      </c>
      <c r="CG366" s="223" t="inlineStr">
        <is>
          <t>0,00%</t>
        </is>
      </c>
      <c r="CH366" s="224" t="inlineStr">
        <is>
          <t>23</t>
        </is>
      </c>
      <c r="CI366" s="225" t="inlineStr">
        <is>
          <t>0,00%</t>
        </is>
      </c>
      <c r="CJ366" s="226" t="inlineStr">
        <is>
          <t>0,00%</t>
        </is>
      </c>
      <c r="CK366" s="227" t="inlineStr">
        <is>
          <t>0,00%</t>
        </is>
      </c>
      <c r="CL366" s="228" t="inlineStr">
        <is>
          <t>18</t>
        </is>
      </c>
      <c r="CM366" s="229" t="inlineStr">
        <is>
          <t>0,00%</t>
        </is>
      </c>
      <c r="CN366" s="230" t="inlineStr">
        <is>
          <t>19</t>
        </is>
      </c>
      <c r="CO366" s="231" t="inlineStr">
        <is>
          <t>0,00%</t>
        </is>
      </c>
      <c r="CP366" s="232" t="inlineStr">
        <is>
          <t>26</t>
        </is>
      </c>
      <c r="CQ366" s="233" t="inlineStr">
        <is>
          <t>0,00%</t>
        </is>
      </c>
      <c r="CR366" s="234" t="inlineStr">
        <is>
          <t>13</t>
        </is>
      </c>
      <c r="CS366" s="235" t="inlineStr">
        <is>
          <t/>
        </is>
      </c>
      <c r="CT366" s="236" t="inlineStr">
        <is>
          <t/>
        </is>
      </c>
      <c r="CU366" s="237" t="inlineStr">
        <is>
          <t>0,00%</t>
        </is>
      </c>
      <c r="CV366" s="238" t="inlineStr">
        <is>
          <t>20</t>
        </is>
      </c>
      <c r="CW366" s="239" t="inlineStr">
        <is>
          <t>0,38x</t>
        </is>
      </c>
      <c r="CX366" s="240" t="inlineStr">
        <is>
          <t>28</t>
        </is>
      </c>
      <c r="CY366" s="241" t="inlineStr">
        <is>
          <t>0,01x</t>
        </is>
      </c>
      <c r="CZ366" s="242" t="inlineStr">
        <is>
          <t>2,37%</t>
        </is>
      </c>
      <c r="DA366" s="243" t="inlineStr">
        <is>
          <t>0,40x</t>
        </is>
      </c>
      <c r="DB366" s="244" t="inlineStr">
        <is>
          <t>32</t>
        </is>
      </c>
      <c r="DC366" s="245" t="inlineStr">
        <is>
          <t>0,37x</t>
        </is>
      </c>
      <c r="DD366" s="246" t="inlineStr">
        <is>
          <t>31</t>
        </is>
      </c>
      <c r="DE366" s="247" t="inlineStr">
        <is>
          <t>0,24x</t>
        </is>
      </c>
      <c r="DF366" s="248" t="inlineStr">
        <is>
          <t>22</t>
        </is>
      </c>
      <c r="DG366" s="249" t="inlineStr">
        <is>
          <t>0,56x</t>
        </is>
      </c>
      <c r="DH366" s="250" t="inlineStr">
        <is>
          <t>38</t>
        </is>
      </c>
      <c r="DI366" s="251" t="inlineStr">
        <is>
          <t/>
        </is>
      </c>
      <c r="DJ366" s="252" t="inlineStr">
        <is>
          <t/>
        </is>
      </c>
      <c r="DK366" s="253" t="inlineStr">
        <is>
          <t>0,37x</t>
        </is>
      </c>
      <c r="DL366" s="254" t="inlineStr">
        <is>
          <t>34</t>
        </is>
      </c>
      <c r="DM366" s="255" t="inlineStr">
        <is>
          <t>151</t>
        </is>
      </c>
      <c r="DN366" s="256" t="inlineStr">
        <is>
          <t>-10</t>
        </is>
      </c>
      <c r="DO366" s="257" t="inlineStr">
        <is>
          <t>-6,21%</t>
        </is>
      </c>
      <c r="DP366" s="258" t="inlineStr">
        <is>
          <t/>
        </is>
      </c>
      <c r="DQ366" s="259" t="inlineStr">
        <is>
          <t/>
        </is>
      </c>
      <c r="DR366" s="260" t="inlineStr">
        <is>
          <t/>
        </is>
      </c>
      <c r="DS366" s="261" t="inlineStr">
        <is>
          <t>20</t>
        </is>
      </c>
      <c r="DT366" s="262" t="inlineStr">
        <is>
          <t>0</t>
        </is>
      </c>
      <c r="DU366" s="263" t="inlineStr">
        <is>
          <t>0,00%</t>
        </is>
      </c>
      <c r="DV366" s="264" t="inlineStr">
        <is>
          <t>126</t>
        </is>
      </c>
      <c r="DW366" s="265" t="inlineStr">
        <is>
          <t>0</t>
        </is>
      </c>
      <c r="DX366" s="266" t="inlineStr">
        <is>
          <t>0,00%</t>
        </is>
      </c>
      <c r="DY366" s="267" t="inlineStr">
        <is>
          <t>PitchBook Research</t>
        </is>
      </c>
      <c r="DZ366" s="786">
        <f>HYPERLINK("https://my.pitchbook.com?c=63548-02", "View company online")</f>
      </c>
    </row>
    <row r="367">
      <c r="A367" s="9" t="inlineStr">
        <is>
          <t>91536-40</t>
        </is>
      </c>
      <c r="B367" s="10" t="inlineStr">
        <is>
          <t>Purple WiFi</t>
        </is>
      </c>
      <c r="C367" s="11" t="inlineStr">
        <is>
          <t/>
        </is>
      </c>
      <c r="D367" s="12" t="inlineStr">
        <is>
          <t>Purple</t>
        </is>
      </c>
      <c r="E367" s="13" t="inlineStr">
        <is>
          <t>91536-40</t>
        </is>
      </c>
      <c r="F367" s="14" t="inlineStr">
        <is>
          <t>Provider of cloud based WiFi services. The company teams up with businesses in the retail, hospitality, and leisure sectors to provide, secure, content, filtered access to free WiFi for visitors to those businesses, while tracking real time analytic on those users.</t>
        </is>
      </c>
      <c r="G367" s="15" t="inlineStr">
        <is>
          <t>Information Technology</t>
        </is>
      </c>
      <c r="H367" s="16" t="inlineStr">
        <is>
          <t>Communications and Networking</t>
        </is>
      </c>
      <c r="I367" s="17" t="inlineStr">
        <is>
          <t>Wireless Service Providers</t>
        </is>
      </c>
      <c r="J367" s="18" t="inlineStr">
        <is>
          <t>Wireless Service Providers*; Other Communications and Networking</t>
        </is>
      </c>
      <c r="K367" s="19" t="inlineStr">
        <is>
          <t>SaaS</t>
        </is>
      </c>
      <c r="L367" s="20" t="inlineStr">
        <is>
          <t>Venture Capital-Backed</t>
        </is>
      </c>
      <c r="M367" s="21" t="n">
        <v>10.54</v>
      </c>
      <c r="N367" s="22" t="inlineStr">
        <is>
          <t>Generating Revenue</t>
        </is>
      </c>
      <c r="O367" s="23" t="inlineStr">
        <is>
          <t>Privately Held (backing)</t>
        </is>
      </c>
      <c r="P367" s="24" t="inlineStr">
        <is>
          <t>Venture Capital</t>
        </is>
      </c>
      <c r="Q367" s="25" t="inlineStr">
        <is>
          <t>www.purple.ai</t>
        </is>
      </c>
      <c r="R367" s="26" t="n">
        <v>100.0</v>
      </c>
      <c r="S367" s="27" t="inlineStr">
        <is>
          <t/>
        </is>
      </c>
      <c r="T367" s="28" t="inlineStr">
        <is>
          <t/>
        </is>
      </c>
      <c r="U367" s="29" t="n">
        <v>2012.0</v>
      </c>
      <c r="V367" s="30" t="inlineStr">
        <is>
          <t/>
        </is>
      </c>
      <c r="W367" s="31" t="inlineStr">
        <is>
          <t/>
        </is>
      </c>
      <c r="X367" s="32" t="inlineStr">
        <is>
          <t/>
        </is>
      </c>
      <c r="Y367" s="33" t="inlineStr">
        <is>
          <t/>
        </is>
      </c>
      <c r="Z367" s="34" t="inlineStr">
        <is>
          <t/>
        </is>
      </c>
      <c r="AA367" s="35" t="inlineStr">
        <is>
          <t/>
        </is>
      </c>
      <c r="AB367" s="36" t="inlineStr">
        <is>
          <t/>
        </is>
      </c>
      <c r="AC367" s="37" t="inlineStr">
        <is>
          <t/>
        </is>
      </c>
      <c r="AD367" s="38" t="inlineStr">
        <is>
          <t/>
        </is>
      </c>
      <c r="AE367" s="39" t="inlineStr">
        <is>
          <t>60779-71P</t>
        </is>
      </c>
      <c r="AF367" s="40" t="inlineStr">
        <is>
          <t>Gavin Wheeldon</t>
        </is>
      </c>
      <c r="AG367" s="41" t="inlineStr">
        <is>
          <t>Chief Executive Officer and Board Member</t>
        </is>
      </c>
      <c r="AH367" s="42" t="inlineStr">
        <is>
          <t>gavin.wheeldon@purplewifi.net</t>
        </is>
      </c>
      <c r="AI367" s="43" t="inlineStr">
        <is>
          <t>+44 (0)33 3101 4120</t>
        </is>
      </c>
      <c r="AJ367" s="44" t="inlineStr">
        <is>
          <t>Ashton-under-Lyne, United Kingdom</t>
        </is>
      </c>
      <c r="AK367" s="45" t="inlineStr">
        <is>
          <t>1 Henry Square</t>
        </is>
      </c>
      <c r="AL367" s="46" t="inlineStr">
        <is>
          <t>225 Old Street</t>
        </is>
      </c>
      <c r="AM367" s="47" t="inlineStr">
        <is>
          <t>Ashton-under-Lyne</t>
        </is>
      </c>
      <c r="AN367" s="48" t="inlineStr">
        <is>
          <t>England</t>
        </is>
      </c>
      <c r="AO367" s="49" t="inlineStr">
        <is>
          <t>OL6 7SR</t>
        </is>
      </c>
      <c r="AP367" s="50" t="inlineStr">
        <is>
          <t>United Kingdom</t>
        </is>
      </c>
      <c r="AQ367" s="51" t="inlineStr">
        <is>
          <t>+44 (0)33 3101 4130</t>
        </is>
      </c>
      <c r="AR367" s="52" t="inlineStr">
        <is>
          <t/>
        </is>
      </c>
      <c r="AS367" s="53" t="inlineStr">
        <is>
          <t>info@purplewifi.net</t>
        </is>
      </c>
      <c r="AT367" s="54" t="inlineStr">
        <is>
          <t>Europe</t>
        </is>
      </c>
      <c r="AU367" s="55" t="inlineStr">
        <is>
          <t>Western Europe</t>
        </is>
      </c>
      <c r="AV367" s="56" t="inlineStr">
        <is>
          <t>The company received $7 million of venture funding through a combination of debt and equity on September 19, 2016. $3.9 million loan was provided by Boost&amp;Co and additional funds contributed by existing investors. The company plans to use the funds to recruit in excess of 100 new development and sales employees at existing locations, including offices in the UK, Spain, the US, Singapore and Australia, and more international locations as they open.</t>
        </is>
      </c>
      <c r="AW367" s="57" t="inlineStr">
        <is>
          <t>Bob Willett, Iain MacDonald, Juno Capital, Mahdi Shariff, Terence Leahy, William Currie</t>
        </is>
      </c>
      <c r="AX367" s="58" t="n">
        <v>6.0</v>
      </c>
      <c r="AY367" s="59" t="inlineStr">
        <is>
          <t/>
        </is>
      </c>
      <c r="AZ367" s="60" t="inlineStr">
        <is>
          <t/>
        </is>
      </c>
      <c r="BA367" s="61" t="inlineStr">
        <is>
          <t/>
        </is>
      </c>
      <c r="BB367" s="62" t="inlineStr">
        <is>
          <t>Juno Capital (www.junocapital.co.uk)</t>
        </is>
      </c>
      <c r="BC367" s="63" t="inlineStr">
        <is>
          <t/>
        </is>
      </c>
      <c r="BD367" s="64" t="inlineStr">
        <is>
          <t/>
        </is>
      </c>
      <c r="BE367" s="65" t="inlineStr">
        <is>
          <t/>
        </is>
      </c>
      <c r="BF367" s="66" t="inlineStr">
        <is>
          <t>Boost&amp;Co, Turner Parkinson (Legal Advisor)</t>
        </is>
      </c>
      <c r="BG367" s="67" t="n">
        <v>42018.0</v>
      </c>
      <c r="BH367" s="68" t="n">
        <v>4.29</v>
      </c>
      <c r="BI367" s="69" t="inlineStr">
        <is>
          <t>Actual</t>
        </is>
      </c>
      <c r="BJ367" s="70" t="inlineStr">
        <is>
          <t/>
        </is>
      </c>
      <c r="BK367" s="71" t="inlineStr">
        <is>
          <t/>
        </is>
      </c>
      <c r="BL367" s="72" t="inlineStr">
        <is>
          <t>Early Stage VC</t>
        </is>
      </c>
      <c r="BM367" s="73" t="inlineStr">
        <is>
          <t/>
        </is>
      </c>
      <c r="BN367" s="74" t="inlineStr">
        <is>
          <t/>
        </is>
      </c>
      <c r="BO367" s="75" t="inlineStr">
        <is>
          <t>Venture Capital</t>
        </is>
      </c>
      <c r="BP367" s="76" t="inlineStr">
        <is>
          <t/>
        </is>
      </c>
      <c r="BQ367" s="77" t="inlineStr">
        <is>
          <t/>
        </is>
      </c>
      <c r="BR367" s="78" t="inlineStr">
        <is>
          <t/>
        </is>
      </c>
      <c r="BS367" s="79" t="inlineStr">
        <is>
          <t>Completed</t>
        </is>
      </c>
      <c r="BT367" s="80" t="n">
        <v>42632.0</v>
      </c>
      <c r="BU367" s="81" t="n">
        <v>6.25</v>
      </c>
      <c r="BV367" s="82" t="inlineStr">
        <is>
          <t>Actual</t>
        </is>
      </c>
      <c r="BW367" s="83" t="inlineStr">
        <is>
          <t/>
        </is>
      </c>
      <c r="BX367" s="84" t="inlineStr">
        <is>
          <t/>
        </is>
      </c>
      <c r="BY367" s="85" t="inlineStr">
        <is>
          <t>Early Stage VC</t>
        </is>
      </c>
      <c r="BZ367" s="86" t="inlineStr">
        <is>
          <t/>
        </is>
      </c>
      <c r="CA367" s="87" t="inlineStr">
        <is>
          <t/>
        </is>
      </c>
      <c r="CB367" s="88" t="inlineStr">
        <is>
          <t>Venture Capital</t>
        </is>
      </c>
      <c r="CC367" s="89" t="inlineStr">
        <is>
          <t>Loan</t>
        </is>
      </c>
      <c r="CD367" s="90" t="inlineStr">
        <is>
          <t/>
        </is>
      </c>
      <c r="CE367" s="91" t="inlineStr">
        <is>
          <t/>
        </is>
      </c>
      <c r="CF367" s="92" t="inlineStr">
        <is>
          <t>Completed</t>
        </is>
      </c>
      <c r="CG367" s="93" t="inlineStr">
        <is>
          <t>-0,84%</t>
        </is>
      </c>
      <c r="CH367" s="94" t="inlineStr">
        <is>
          <t>6</t>
        </is>
      </c>
      <c r="CI367" s="95" t="inlineStr">
        <is>
          <t>0,00%</t>
        </is>
      </c>
      <c r="CJ367" s="96" t="inlineStr">
        <is>
          <t>-0,19%</t>
        </is>
      </c>
      <c r="CK367" s="97" t="inlineStr">
        <is>
          <t>-1,63%</t>
        </is>
      </c>
      <c r="CL367" s="98" t="inlineStr">
        <is>
          <t>6</t>
        </is>
      </c>
      <c r="CM367" s="99" t="inlineStr">
        <is>
          <t>-0,05%</t>
        </is>
      </c>
      <c r="CN367" s="100" t="inlineStr">
        <is>
          <t>8</t>
        </is>
      </c>
      <c r="CO367" s="101" t="inlineStr">
        <is>
          <t>-1,63%</t>
        </is>
      </c>
      <c r="CP367" s="102" t="inlineStr">
        <is>
          <t>17</t>
        </is>
      </c>
      <c r="CQ367" s="103" t="inlineStr">
        <is>
          <t/>
        </is>
      </c>
      <c r="CR367" s="104" t="inlineStr">
        <is>
          <t/>
        </is>
      </c>
      <c r="CS367" s="105" t="inlineStr">
        <is>
          <t>0,01%</t>
        </is>
      </c>
      <c r="CT367" s="106" t="inlineStr">
        <is>
          <t>41</t>
        </is>
      </c>
      <c r="CU367" s="107" t="inlineStr">
        <is>
          <t>-0,11%</t>
        </is>
      </c>
      <c r="CV367" s="108" t="inlineStr">
        <is>
          <t>5</t>
        </is>
      </c>
      <c r="CW367" s="109" t="inlineStr">
        <is>
          <t>48,41x</t>
        </is>
      </c>
      <c r="CX367" s="110" t="inlineStr">
        <is>
          <t>96</t>
        </is>
      </c>
      <c r="CY367" s="111" t="inlineStr">
        <is>
          <t>0,67x</t>
        </is>
      </c>
      <c r="CZ367" s="112" t="inlineStr">
        <is>
          <t>1,41%</t>
        </is>
      </c>
      <c r="DA367" s="113" t="inlineStr">
        <is>
          <t>26,67x</t>
        </is>
      </c>
      <c r="DB367" s="114" t="inlineStr">
        <is>
          <t>94</t>
        </is>
      </c>
      <c r="DC367" s="115" t="inlineStr">
        <is>
          <t>70,14x</t>
        </is>
      </c>
      <c r="DD367" s="116" t="inlineStr">
        <is>
          <t>96</t>
        </is>
      </c>
      <c r="DE367" s="117" t="inlineStr">
        <is>
          <t>26,67x</t>
        </is>
      </c>
      <c r="DF367" s="118" t="inlineStr">
        <is>
          <t>90</t>
        </is>
      </c>
      <c r="DG367" s="119" t="inlineStr">
        <is>
          <t/>
        </is>
      </c>
      <c r="DH367" s="120" t="inlineStr">
        <is>
          <t/>
        </is>
      </c>
      <c r="DI367" s="121" t="inlineStr">
        <is>
          <t>19,99x</t>
        </is>
      </c>
      <c r="DJ367" s="122" t="inlineStr">
        <is>
          <t>88</t>
        </is>
      </c>
      <c r="DK367" s="123" t="inlineStr">
        <is>
          <t>120,29x</t>
        </is>
      </c>
      <c r="DL367" s="124" t="inlineStr">
        <is>
          <t>98</t>
        </is>
      </c>
      <c r="DM367" s="125" t="inlineStr">
        <is>
          <t>16.994</t>
        </is>
      </c>
      <c r="DN367" s="126" t="inlineStr">
        <is>
          <t>-1.770</t>
        </is>
      </c>
      <c r="DO367" s="127" t="inlineStr">
        <is>
          <t>-9,43%</t>
        </is>
      </c>
      <c r="DP367" s="128" t="inlineStr">
        <is>
          <t>15.972</t>
        </is>
      </c>
      <c r="DQ367" s="129" t="inlineStr">
        <is>
          <t>1</t>
        </is>
      </c>
      <c r="DR367" s="130" t="inlineStr">
        <is>
          <t>0,01%</t>
        </is>
      </c>
      <c r="DS367" s="131" t="inlineStr">
        <is>
          <t/>
        </is>
      </c>
      <c r="DT367" s="132" t="inlineStr">
        <is>
          <t/>
        </is>
      </c>
      <c r="DU367" s="133" t="inlineStr">
        <is>
          <t/>
        </is>
      </c>
      <c r="DV367" s="134" t="inlineStr">
        <is>
          <t>41.275</t>
        </is>
      </c>
      <c r="DW367" s="135" t="inlineStr">
        <is>
          <t>-54</t>
        </is>
      </c>
      <c r="DX367" s="136" t="inlineStr">
        <is>
          <t>-0,13%</t>
        </is>
      </c>
      <c r="DY367" s="137" t="inlineStr">
        <is>
          <t>PitchBook Research</t>
        </is>
      </c>
      <c r="DZ367" s="785">
        <f>HYPERLINK("https://my.pitchbook.com?c=91536-40", "View company online")</f>
      </c>
    </row>
    <row r="368">
      <c r="A368" s="139" t="inlineStr">
        <is>
          <t>121608-73</t>
        </is>
      </c>
      <c r="B368" s="140" t="inlineStr">
        <is>
          <t>Push Doctor</t>
        </is>
      </c>
      <c r="C368" s="141" t="inlineStr">
        <is>
          <t/>
        </is>
      </c>
      <c r="D368" s="142" t="inlineStr">
        <is>
          <t/>
        </is>
      </c>
      <c r="E368" s="143" t="inlineStr">
        <is>
          <t>121608-73</t>
        </is>
      </c>
      <c r="F368" s="144" t="inlineStr">
        <is>
          <t>Developer a mobile application designed to offer online doctor consultation service. The company's mobile application is a digital health management platform that enables users to book and receive a consultation with a qualified doctor via a video call and issue prescriptions, make doctor-led referrals to other health providers and specialists, and manage repeat prescriptions providing telemedicine services for long term condition or short term illness.</t>
        </is>
      </c>
      <c r="G368" s="145" t="inlineStr">
        <is>
          <t>Healthcare</t>
        </is>
      </c>
      <c r="H368" s="146" t="inlineStr">
        <is>
          <t>Healthcare Services</t>
        </is>
      </c>
      <c r="I368" s="147" t="inlineStr">
        <is>
          <t>Clinics/Outpatient Services</t>
        </is>
      </c>
      <c r="J368" s="148" t="inlineStr">
        <is>
          <t>Clinics/Outpatient Services*; Communication Software</t>
        </is>
      </c>
      <c r="K368" s="149" t="inlineStr">
        <is>
          <t>HealthTech, Mobile</t>
        </is>
      </c>
      <c r="L368" s="150" t="inlineStr">
        <is>
          <t>Venture Capital-Backed</t>
        </is>
      </c>
      <c r="M368" s="151" t="n">
        <v>31.45</v>
      </c>
      <c r="N368" s="152" t="inlineStr">
        <is>
          <t>Generating Revenue</t>
        </is>
      </c>
      <c r="O368" s="153" t="inlineStr">
        <is>
          <t>Privately Held (backing)</t>
        </is>
      </c>
      <c r="P368" s="154" t="inlineStr">
        <is>
          <t>Venture Capital</t>
        </is>
      </c>
      <c r="Q368" s="155" t="inlineStr">
        <is>
          <t>www.pushdoctor.co.uk</t>
        </is>
      </c>
      <c r="R368" s="156" t="n">
        <v>11.0</v>
      </c>
      <c r="S368" s="157" t="inlineStr">
        <is>
          <t/>
        </is>
      </c>
      <c r="T368" s="158" t="inlineStr">
        <is>
          <t/>
        </is>
      </c>
      <c r="U368" s="159" t="n">
        <v>2013.0</v>
      </c>
      <c r="V368" s="160" t="inlineStr">
        <is>
          <t/>
        </is>
      </c>
      <c r="W368" s="161" t="inlineStr">
        <is>
          <t/>
        </is>
      </c>
      <c r="X368" s="162" t="inlineStr">
        <is>
          <t/>
        </is>
      </c>
      <c r="Y368" s="163" t="inlineStr">
        <is>
          <t/>
        </is>
      </c>
      <c r="Z368" s="164" t="inlineStr">
        <is>
          <t/>
        </is>
      </c>
      <c r="AA368" s="165" t="inlineStr">
        <is>
          <t/>
        </is>
      </c>
      <c r="AB368" s="166" t="inlineStr">
        <is>
          <t/>
        </is>
      </c>
      <c r="AC368" s="167" t="inlineStr">
        <is>
          <t/>
        </is>
      </c>
      <c r="AD368" s="168" t="inlineStr">
        <is>
          <t/>
        </is>
      </c>
      <c r="AE368" s="169" t="inlineStr">
        <is>
          <t>57383-83P</t>
        </is>
      </c>
      <c r="AF368" s="170" t="inlineStr">
        <is>
          <t>Eren Ozagir</t>
        </is>
      </c>
      <c r="AG368" s="171" t="inlineStr">
        <is>
          <t>Co-Founder, Chief Executive Officer &amp; Board Member</t>
        </is>
      </c>
      <c r="AH368" s="172" t="inlineStr">
        <is>
          <t/>
        </is>
      </c>
      <c r="AI368" s="173" t="inlineStr">
        <is>
          <t>+44 (0)33 0808 4702</t>
        </is>
      </c>
      <c r="AJ368" s="174" t="inlineStr">
        <is>
          <t>Manchester, United Kingdom</t>
        </is>
      </c>
      <c r="AK368" s="175" t="inlineStr">
        <is>
          <t>4th Floor Queens Chambers</t>
        </is>
      </c>
      <c r="AL368" s="176" t="inlineStr">
        <is>
          <t>5 John Dalton Street</t>
        </is>
      </c>
      <c r="AM368" s="177" t="inlineStr">
        <is>
          <t>Manchester</t>
        </is>
      </c>
      <c r="AN368" s="178" t="inlineStr">
        <is>
          <t>England</t>
        </is>
      </c>
      <c r="AO368" s="179" t="inlineStr">
        <is>
          <t>M2 6ET</t>
        </is>
      </c>
      <c r="AP368" s="180" t="inlineStr">
        <is>
          <t>United Kingdom</t>
        </is>
      </c>
      <c r="AQ368" s="181" t="inlineStr">
        <is>
          <t>+44 (0)33 0808 4702</t>
        </is>
      </c>
      <c r="AR368" s="182" t="inlineStr">
        <is>
          <t/>
        </is>
      </c>
      <c r="AS368" s="183" t="inlineStr">
        <is>
          <t/>
        </is>
      </c>
      <c r="AT368" s="184" t="inlineStr">
        <is>
          <t>Europe</t>
        </is>
      </c>
      <c r="AU368" s="185" t="inlineStr">
        <is>
          <t>Western Europe</t>
        </is>
      </c>
      <c r="AV368" s="186" t="inlineStr">
        <is>
          <t>The company raised $26.1 million of Series B venture funding in a deal co-led by Accelerated Digital Ventures and Draper Esprit on July 5, 2017. Oxford Capital, Partech Ventures and Seventure Partners also participated in the round. The company has raised $37.5 million in total funding to date. The company will utilize the investment proceeds to bring new products to market and to expand its business activities.</t>
        </is>
      </c>
      <c r="AW368" s="187" t="inlineStr">
        <is>
          <t>Accelerated Digital Ventures, Draper Esprit, Oxford Capital Partners, Partech Ventures, Seventure Partners</t>
        </is>
      </c>
      <c r="AX368" s="188" t="n">
        <v>5.0</v>
      </c>
      <c r="AY368" s="189" t="inlineStr">
        <is>
          <t/>
        </is>
      </c>
      <c r="AZ368" s="190" t="inlineStr">
        <is>
          <t/>
        </is>
      </c>
      <c r="BA368" s="191" t="inlineStr">
        <is>
          <t/>
        </is>
      </c>
      <c r="BB368" s="192" t="inlineStr">
        <is>
          <t>Draper Esprit (www.draperesprit.com), Oxford Capital Partners (www.oxcp.com), Partech Ventures (www.partechventures.com), Seventure Partners (www.seventure.fr)</t>
        </is>
      </c>
      <c r="BC368" s="193" t="inlineStr">
        <is>
          <t/>
        </is>
      </c>
      <c r="BD368" s="194" t="inlineStr">
        <is>
          <t/>
        </is>
      </c>
      <c r="BE368" s="195" t="inlineStr">
        <is>
          <t>Hill Dickinson (Legal Advisor)</t>
        </is>
      </c>
      <c r="BF368" s="196" t="inlineStr">
        <is>
          <t>Epiphany Capital (Advisor), Hill Dickinson (Legal Advisor)</t>
        </is>
      </c>
      <c r="BG368" s="197" t="n">
        <v>41953.0</v>
      </c>
      <c r="BH368" s="198" t="n">
        <v>0.96</v>
      </c>
      <c r="BI368" s="199" t="inlineStr">
        <is>
          <t>Actual</t>
        </is>
      </c>
      <c r="BJ368" s="200" t="inlineStr">
        <is>
          <t/>
        </is>
      </c>
      <c r="BK368" s="201" t="inlineStr">
        <is>
          <t/>
        </is>
      </c>
      <c r="BL368" s="202" t="inlineStr">
        <is>
          <t>Seed Round</t>
        </is>
      </c>
      <c r="BM368" s="203" t="inlineStr">
        <is>
          <t>Seed</t>
        </is>
      </c>
      <c r="BN368" s="204" t="inlineStr">
        <is>
          <t/>
        </is>
      </c>
      <c r="BO368" s="205" t="inlineStr">
        <is>
          <t>Individual</t>
        </is>
      </c>
      <c r="BP368" s="206" t="inlineStr">
        <is>
          <t/>
        </is>
      </c>
      <c r="BQ368" s="207" t="inlineStr">
        <is>
          <t/>
        </is>
      </c>
      <c r="BR368" s="208" t="inlineStr">
        <is>
          <t/>
        </is>
      </c>
      <c r="BS368" s="209" t="inlineStr">
        <is>
          <t>Completed</t>
        </is>
      </c>
      <c r="BT368" s="210" t="n">
        <v>42921.0</v>
      </c>
      <c r="BU368" s="211" t="n">
        <v>22.67</v>
      </c>
      <c r="BV368" s="212" t="inlineStr">
        <is>
          <t>Actual</t>
        </is>
      </c>
      <c r="BW368" s="213" t="inlineStr">
        <is>
          <t/>
        </is>
      </c>
      <c r="BX368" s="214" t="inlineStr">
        <is>
          <t/>
        </is>
      </c>
      <c r="BY368" s="215" t="inlineStr">
        <is>
          <t>Early Stage VC</t>
        </is>
      </c>
      <c r="BZ368" s="216" t="inlineStr">
        <is>
          <t>Series B</t>
        </is>
      </c>
      <c r="CA368" s="217" t="inlineStr">
        <is>
          <t/>
        </is>
      </c>
      <c r="CB368" s="218" t="inlineStr">
        <is>
          <t>Venture Capital</t>
        </is>
      </c>
      <c r="CC368" s="219" t="inlineStr">
        <is>
          <t/>
        </is>
      </c>
      <c r="CD368" s="220" t="inlineStr">
        <is>
          <t/>
        </is>
      </c>
      <c r="CE368" s="221" t="inlineStr">
        <is>
          <t/>
        </is>
      </c>
      <c r="CF368" s="222" t="inlineStr">
        <is>
          <t>Completed</t>
        </is>
      </c>
      <c r="CG368" s="223" t="inlineStr">
        <is>
          <t>1,14%</t>
        </is>
      </c>
      <c r="CH368" s="224" t="inlineStr">
        <is>
          <t>90</t>
        </is>
      </c>
      <c r="CI368" s="225" t="inlineStr">
        <is>
          <t>-3,21%</t>
        </is>
      </c>
      <c r="CJ368" s="226" t="inlineStr">
        <is>
          <t>-73,90%</t>
        </is>
      </c>
      <c r="CK368" s="227" t="inlineStr">
        <is>
          <t>3,98%</t>
        </is>
      </c>
      <c r="CL368" s="228" t="inlineStr">
        <is>
          <t>95</t>
        </is>
      </c>
      <c r="CM368" s="229" t="inlineStr">
        <is>
          <t>-1,71%</t>
        </is>
      </c>
      <c r="CN368" s="230" t="inlineStr">
        <is>
          <t>1</t>
        </is>
      </c>
      <c r="CO368" s="231" t="inlineStr">
        <is>
          <t>4,59%</t>
        </is>
      </c>
      <c r="CP368" s="232" t="inlineStr">
        <is>
          <t>95</t>
        </is>
      </c>
      <c r="CQ368" s="233" t="inlineStr">
        <is>
          <t>3,38%</t>
        </is>
      </c>
      <c r="CR368" s="234" t="inlineStr">
        <is>
          <t>93</t>
        </is>
      </c>
      <c r="CS368" s="235" t="inlineStr">
        <is>
          <t>7,58%</t>
        </is>
      </c>
      <c r="CT368" s="236" t="inlineStr">
        <is>
          <t>100</t>
        </is>
      </c>
      <c r="CU368" s="237" t="inlineStr">
        <is>
          <t>-11,01%</t>
        </is>
      </c>
      <c r="CV368" s="238" t="inlineStr">
        <is>
          <t>1</t>
        </is>
      </c>
      <c r="CW368" s="239" t="inlineStr">
        <is>
          <t>36,32x</t>
        </is>
      </c>
      <c r="CX368" s="240" t="inlineStr">
        <is>
          <t>95</t>
        </is>
      </c>
      <c r="CY368" s="241" t="inlineStr">
        <is>
          <t>-3,42x</t>
        </is>
      </c>
      <c r="CZ368" s="242" t="inlineStr">
        <is>
          <t>-8,61%</t>
        </is>
      </c>
      <c r="DA368" s="243" t="inlineStr">
        <is>
          <t>59,37x</t>
        </is>
      </c>
      <c r="DB368" s="244" t="inlineStr">
        <is>
          <t>97</t>
        </is>
      </c>
      <c r="DC368" s="245" t="inlineStr">
        <is>
          <t>13,27x</t>
        </is>
      </c>
      <c r="DD368" s="246" t="inlineStr">
        <is>
          <t>87</t>
        </is>
      </c>
      <c r="DE368" s="247" t="inlineStr">
        <is>
          <t>102,26x</t>
        </is>
      </c>
      <c r="DF368" s="248" t="inlineStr">
        <is>
          <t>96</t>
        </is>
      </c>
      <c r="DG368" s="249" t="inlineStr">
        <is>
          <t>16,47x</t>
        </is>
      </c>
      <c r="DH368" s="250" t="inlineStr">
        <is>
          <t>91</t>
        </is>
      </c>
      <c r="DI368" s="251" t="inlineStr">
        <is>
          <t>26,52x</t>
        </is>
      </c>
      <c r="DJ368" s="252" t="inlineStr">
        <is>
          <t>89</t>
        </is>
      </c>
      <c r="DK368" s="253" t="inlineStr">
        <is>
          <t>0,01x</t>
        </is>
      </c>
      <c r="DL368" s="254" t="inlineStr">
        <is>
          <t>2</t>
        </is>
      </c>
      <c r="DM368" s="255" t="inlineStr">
        <is>
          <t>62.582</t>
        </is>
      </c>
      <c r="DN368" s="256" t="inlineStr">
        <is>
          <t>928</t>
        </is>
      </c>
      <c r="DO368" s="257" t="inlineStr">
        <is>
          <t>1,51%</t>
        </is>
      </c>
      <c r="DP368" s="258" t="inlineStr">
        <is>
          <t>20.966</t>
        </is>
      </c>
      <c r="DQ368" s="259" t="inlineStr">
        <is>
          <t>606</t>
        </is>
      </c>
      <c r="DR368" s="260" t="inlineStr">
        <is>
          <t>2,98%</t>
        </is>
      </c>
      <c r="DS368" s="261" t="inlineStr">
        <is>
          <t>580</t>
        </is>
      </c>
      <c r="DT368" s="262" t="inlineStr">
        <is>
          <t>25</t>
        </is>
      </c>
      <c r="DU368" s="263" t="inlineStr">
        <is>
          <t>4,50%</t>
        </is>
      </c>
      <c r="DV368" s="264" t="inlineStr">
        <is>
          <t>945</t>
        </is>
      </c>
      <c r="DW368" s="265" t="inlineStr">
        <is>
          <t>-8.747</t>
        </is>
      </c>
      <c r="DX368" s="266" t="inlineStr">
        <is>
          <t>-90,25%</t>
        </is>
      </c>
      <c r="DY368" s="267" t="inlineStr">
        <is>
          <t>PitchBook Research</t>
        </is>
      </c>
      <c r="DZ368" s="786">
        <f>HYPERLINK("https://my.pitchbook.com?c=121608-73", "View company online")</f>
      </c>
    </row>
    <row r="369">
      <c r="A369" s="9" t="inlineStr">
        <is>
          <t>168518-17</t>
        </is>
      </c>
      <c r="B369" s="10" t="inlineStr">
        <is>
          <t>PV Energie Finance Holding</t>
        </is>
      </c>
      <c r="C369" s="11" t="inlineStr">
        <is>
          <t/>
        </is>
      </c>
      <c r="D369" s="12" t="inlineStr">
        <is>
          <t/>
        </is>
      </c>
      <c r="E369" s="13" t="inlineStr">
        <is>
          <t>168518-17</t>
        </is>
      </c>
      <c r="F369" s="14" t="inlineStr">
        <is>
          <t>Provider of solar energy equipment. The company offers a range of solar equipment and installation services to villagers in parts of Netherlands.</t>
        </is>
      </c>
      <c r="G369" s="15" t="inlineStr">
        <is>
          <t>Energy</t>
        </is>
      </c>
      <c r="H369" s="16" t="inlineStr">
        <is>
          <t>Energy Equipment</t>
        </is>
      </c>
      <c r="I369" s="17" t="inlineStr">
        <is>
          <t>Alternative Energy Equipment</t>
        </is>
      </c>
      <c r="J369" s="18" t="inlineStr">
        <is>
          <t>Alternative Energy Equipment*; Energy Infrastructure</t>
        </is>
      </c>
      <c r="K369" s="19" t="inlineStr">
        <is>
          <t>CleanTech</t>
        </is>
      </c>
      <c r="L369" s="20" t="inlineStr">
        <is>
          <t>Venture Capital-Backed</t>
        </is>
      </c>
      <c r="M369" s="21" t="n">
        <v>9.91</v>
      </c>
      <c r="N369" s="22" t="inlineStr">
        <is>
          <t>Startup</t>
        </is>
      </c>
      <c r="O369" s="23" t="inlineStr">
        <is>
          <t>Privately Held (backing)</t>
        </is>
      </c>
      <c r="P369" s="24" t="inlineStr">
        <is>
          <t>Venture Capital</t>
        </is>
      </c>
      <c r="Q369" s="25" t="inlineStr">
        <is>
          <t/>
        </is>
      </c>
      <c r="R369" s="26" t="inlineStr">
        <is>
          <t/>
        </is>
      </c>
      <c r="S369" s="27" t="inlineStr">
        <is>
          <t/>
        </is>
      </c>
      <c r="T369" s="28" t="inlineStr">
        <is>
          <t/>
        </is>
      </c>
      <c r="U369" s="29" t="n">
        <v>2015.0</v>
      </c>
      <c r="V369" s="30" t="inlineStr">
        <is>
          <t/>
        </is>
      </c>
      <c r="W369" s="31" t="inlineStr">
        <is>
          <t/>
        </is>
      </c>
      <c r="X369" s="32" t="inlineStr">
        <is>
          <t/>
        </is>
      </c>
      <c r="Y369" s="33" t="inlineStr">
        <is>
          <t/>
        </is>
      </c>
      <c r="Z369" s="34" t="inlineStr">
        <is>
          <t/>
        </is>
      </c>
      <c r="AA369" s="35" t="inlineStr">
        <is>
          <t/>
        </is>
      </c>
      <c r="AB369" s="36" t="inlineStr">
        <is>
          <t/>
        </is>
      </c>
      <c r="AC369" s="37" t="inlineStr">
        <is>
          <t/>
        </is>
      </c>
      <c r="AD369" s="38" t="inlineStr">
        <is>
          <t/>
        </is>
      </c>
      <c r="AE369" s="39" t="inlineStr">
        <is>
          <t/>
        </is>
      </c>
      <c r="AF369" s="40" t="inlineStr">
        <is>
          <t/>
        </is>
      </c>
      <c r="AG369" s="41" t="inlineStr">
        <is>
          <t/>
        </is>
      </c>
      <c r="AH369" s="42" t="inlineStr">
        <is>
          <t/>
        </is>
      </c>
      <c r="AI369" s="43" t="inlineStr">
        <is>
          <t/>
        </is>
      </c>
      <c r="AJ369" s="44" t="inlineStr">
        <is>
          <t>Kampen, Netherlands</t>
        </is>
      </c>
      <c r="AK369" s="45" t="inlineStr">
        <is>
          <t>Ambachtsstraat 1h</t>
        </is>
      </c>
      <c r="AL369" s="46" t="inlineStr">
        <is>
          <t/>
        </is>
      </c>
      <c r="AM369" s="47" t="inlineStr">
        <is>
          <t>Kampen</t>
        </is>
      </c>
      <c r="AN369" s="48" t="inlineStr">
        <is>
          <t/>
        </is>
      </c>
      <c r="AO369" s="49" t="inlineStr">
        <is>
          <t>8263 AJ</t>
        </is>
      </c>
      <c r="AP369" s="50" t="inlineStr">
        <is>
          <t>Netherlands</t>
        </is>
      </c>
      <c r="AQ369" s="51" t="inlineStr">
        <is>
          <t/>
        </is>
      </c>
      <c r="AR369" s="52" t="inlineStr">
        <is>
          <t/>
        </is>
      </c>
      <c r="AS369" s="53" t="inlineStr">
        <is>
          <t/>
        </is>
      </c>
      <c r="AT369" s="54" t="inlineStr">
        <is>
          <t>Europe</t>
        </is>
      </c>
      <c r="AU369" s="55" t="inlineStr">
        <is>
          <t>Western Europe</t>
        </is>
      </c>
      <c r="AV369" s="56" t="inlineStr">
        <is>
          <t>The company raised EUR 9.911 million of seed funding through a combination of debt and equity from Start Green Capital on December 23, 2015. The debt was given in the form of loan.</t>
        </is>
      </c>
      <c r="AW369" s="57" t="inlineStr">
        <is>
          <t>Start Green Capital</t>
        </is>
      </c>
      <c r="AX369" s="58" t="n">
        <v>1.0</v>
      </c>
      <c r="AY369" s="59" t="inlineStr">
        <is>
          <t/>
        </is>
      </c>
      <c r="AZ369" s="60" t="inlineStr">
        <is>
          <t/>
        </is>
      </c>
      <c r="BA369" s="61" t="inlineStr">
        <is>
          <t/>
        </is>
      </c>
      <c r="BB369" s="62" t="inlineStr">
        <is>
          <t>Start Green Capital (www.startgreen.nl)</t>
        </is>
      </c>
      <c r="BC369" s="63" t="inlineStr">
        <is>
          <t/>
        </is>
      </c>
      <c r="BD369" s="64" t="inlineStr">
        <is>
          <t/>
        </is>
      </c>
      <c r="BE369" s="65" t="inlineStr">
        <is>
          <t/>
        </is>
      </c>
      <c r="BF369" s="66" t="inlineStr">
        <is>
          <t/>
        </is>
      </c>
      <c r="BG369" s="67" t="n">
        <v>42361.0</v>
      </c>
      <c r="BH369" s="68" t="n">
        <v>9.91</v>
      </c>
      <c r="BI369" s="69" t="inlineStr">
        <is>
          <t>Actual</t>
        </is>
      </c>
      <c r="BJ369" s="70" t="inlineStr">
        <is>
          <t/>
        </is>
      </c>
      <c r="BK369" s="71" t="inlineStr">
        <is>
          <t/>
        </is>
      </c>
      <c r="BL369" s="72" t="inlineStr">
        <is>
          <t>Seed Round</t>
        </is>
      </c>
      <c r="BM369" s="73" t="inlineStr">
        <is>
          <t>Seed</t>
        </is>
      </c>
      <c r="BN369" s="74" t="inlineStr">
        <is>
          <t/>
        </is>
      </c>
      <c r="BO369" s="75" t="inlineStr">
        <is>
          <t>Venture Capital</t>
        </is>
      </c>
      <c r="BP369" s="76" t="inlineStr">
        <is>
          <t>Loan</t>
        </is>
      </c>
      <c r="BQ369" s="77" t="inlineStr">
        <is>
          <t/>
        </is>
      </c>
      <c r="BR369" s="78" t="inlineStr">
        <is>
          <t/>
        </is>
      </c>
      <c r="BS369" s="79" t="inlineStr">
        <is>
          <t>Completed</t>
        </is>
      </c>
      <c r="BT369" s="80" t="n">
        <v>42361.0</v>
      </c>
      <c r="BU369" s="81" t="n">
        <v>9.91</v>
      </c>
      <c r="BV369" s="82" t="inlineStr">
        <is>
          <t>Actual</t>
        </is>
      </c>
      <c r="BW369" s="83" t="inlineStr">
        <is>
          <t/>
        </is>
      </c>
      <c r="BX369" s="84" t="inlineStr">
        <is>
          <t/>
        </is>
      </c>
      <c r="BY369" s="85" t="inlineStr">
        <is>
          <t>Seed Round</t>
        </is>
      </c>
      <c r="BZ369" s="86" t="inlineStr">
        <is>
          <t>Seed</t>
        </is>
      </c>
      <c r="CA369" s="87" t="inlineStr">
        <is>
          <t/>
        </is>
      </c>
      <c r="CB369" s="88" t="inlineStr">
        <is>
          <t>Venture Capital</t>
        </is>
      </c>
      <c r="CC369" s="89" t="inlineStr">
        <is>
          <t>Loan</t>
        </is>
      </c>
      <c r="CD369" s="90" t="inlineStr">
        <is>
          <t/>
        </is>
      </c>
      <c r="CE369" s="91" t="inlineStr">
        <is>
          <t/>
        </is>
      </c>
      <c r="CF369" s="92" t="inlineStr">
        <is>
          <t>Completed</t>
        </is>
      </c>
      <c r="CG369" s="93" t="inlineStr">
        <is>
          <t/>
        </is>
      </c>
      <c r="CH369" s="94" t="inlineStr">
        <is>
          <t/>
        </is>
      </c>
      <c r="CI369" s="95" t="inlineStr">
        <is>
          <t/>
        </is>
      </c>
      <c r="CJ369" s="96" t="inlineStr">
        <is>
          <t/>
        </is>
      </c>
      <c r="CK369" s="97" t="inlineStr">
        <is>
          <t/>
        </is>
      </c>
      <c r="CL369" s="98" t="inlineStr">
        <is>
          <t/>
        </is>
      </c>
      <c r="CM369" s="99" t="inlineStr">
        <is>
          <t/>
        </is>
      </c>
      <c r="CN369" s="100" t="inlineStr">
        <is>
          <t/>
        </is>
      </c>
      <c r="CO369" s="101" t="inlineStr">
        <is>
          <t/>
        </is>
      </c>
      <c r="CP369" s="102" t="inlineStr">
        <is>
          <t/>
        </is>
      </c>
      <c r="CQ369" s="103" t="inlineStr">
        <is>
          <t/>
        </is>
      </c>
      <c r="CR369" s="104" t="inlineStr">
        <is>
          <t/>
        </is>
      </c>
      <c r="CS369" s="105" t="inlineStr">
        <is>
          <t/>
        </is>
      </c>
      <c r="CT369" s="106" t="inlineStr">
        <is>
          <t/>
        </is>
      </c>
      <c r="CU369" s="107" t="inlineStr">
        <is>
          <t/>
        </is>
      </c>
      <c r="CV369" s="108" t="inlineStr">
        <is>
          <t/>
        </is>
      </c>
      <c r="CW369" s="109" t="inlineStr">
        <is>
          <t/>
        </is>
      </c>
      <c r="CX369" s="110" t="inlineStr">
        <is>
          <t/>
        </is>
      </c>
      <c r="CY369" s="111" t="inlineStr">
        <is>
          <t/>
        </is>
      </c>
      <c r="CZ369" s="112" t="inlineStr">
        <is>
          <t/>
        </is>
      </c>
      <c r="DA369" s="113" t="inlineStr">
        <is>
          <t/>
        </is>
      </c>
      <c r="DB369" s="114" t="inlineStr">
        <is>
          <t/>
        </is>
      </c>
      <c r="DC369" s="115" t="inlineStr">
        <is>
          <t/>
        </is>
      </c>
      <c r="DD369" s="116" t="inlineStr">
        <is>
          <t/>
        </is>
      </c>
      <c r="DE369" s="117" t="inlineStr">
        <is>
          <t/>
        </is>
      </c>
      <c r="DF369" s="118" t="inlineStr">
        <is>
          <t/>
        </is>
      </c>
      <c r="DG369" s="119" t="inlineStr">
        <is>
          <t/>
        </is>
      </c>
      <c r="DH369" s="120" t="inlineStr">
        <is>
          <t/>
        </is>
      </c>
      <c r="DI369" s="121" t="inlineStr">
        <is>
          <t/>
        </is>
      </c>
      <c r="DJ369" s="122" t="inlineStr">
        <is>
          <t/>
        </is>
      </c>
      <c r="DK369" s="123" t="inlineStr">
        <is>
          <t/>
        </is>
      </c>
      <c r="DL369" s="124" t="inlineStr">
        <is>
          <t/>
        </is>
      </c>
      <c r="DM369" s="125" t="inlineStr">
        <is>
          <t/>
        </is>
      </c>
      <c r="DN369" s="126" t="inlineStr">
        <is>
          <t/>
        </is>
      </c>
      <c r="DO369" s="127" t="inlineStr">
        <is>
          <t/>
        </is>
      </c>
      <c r="DP369" s="128" t="inlineStr">
        <is>
          <t/>
        </is>
      </c>
      <c r="DQ369" s="129" t="inlineStr">
        <is>
          <t/>
        </is>
      </c>
      <c r="DR369" s="130" t="inlineStr">
        <is>
          <t/>
        </is>
      </c>
      <c r="DS369" s="131" t="inlineStr">
        <is>
          <t/>
        </is>
      </c>
      <c r="DT369" s="132" t="inlineStr">
        <is>
          <t/>
        </is>
      </c>
      <c r="DU369" s="133" t="inlineStr">
        <is>
          <t/>
        </is>
      </c>
      <c r="DV369" s="134" t="inlineStr">
        <is>
          <t/>
        </is>
      </c>
      <c r="DW369" s="135" t="inlineStr">
        <is>
          <t/>
        </is>
      </c>
      <c r="DX369" s="136" t="inlineStr">
        <is>
          <t/>
        </is>
      </c>
      <c r="DY369" s="137" t="inlineStr">
        <is>
          <t>PitchBook Research</t>
        </is>
      </c>
      <c r="DZ369" s="785">
        <f>HYPERLINK("https://my.pitchbook.com?c=168518-17", "View company online")</f>
      </c>
    </row>
    <row r="370">
      <c r="A370" s="139" t="inlineStr">
        <is>
          <t>106770-25</t>
        </is>
      </c>
      <c r="B370" s="140" t="inlineStr">
        <is>
          <t>Q3 Medical Devices</t>
        </is>
      </c>
      <c r="C370" s="141" t="inlineStr">
        <is>
          <t/>
        </is>
      </c>
      <c r="D370" s="142" t="inlineStr">
        <is>
          <t>Q3 Medical</t>
        </is>
      </c>
      <c r="E370" s="143" t="inlineStr">
        <is>
          <t>106770-25</t>
        </is>
      </c>
      <c r="F370" s="144" t="inlineStr">
        <is>
          <t>Operator of a medical holding company intended to develop minimally invasive devices for the treatment of patients with cardiology, peripheral vascular and non-vascular diseases. The company's minimally invasive devices use patented Q3 microinvasive technology that minimizes the size of the openings needed for operation and its bioresorbable products platform has the potential benefit of reduced complication rates and the elimination of costly removal procedures, enabling surgeons to complete medical operations with minimum cut and invasion.</t>
        </is>
      </c>
      <c r="G370" s="145" t="inlineStr">
        <is>
          <t>Financial Services</t>
        </is>
      </c>
      <c r="H370" s="146" t="inlineStr">
        <is>
          <t>Other Financial Services</t>
        </is>
      </c>
      <c r="I370" s="147" t="inlineStr">
        <is>
          <t>Holding Companies</t>
        </is>
      </c>
      <c r="J370" s="148" t="inlineStr">
        <is>
          <t>Holding Companies*; Surgical Devices; Other Devices and Supplies</t>
        </is>
      </c>
      <c r="K370" s="149" t="inlineStr">
        <is>
          <t/>
        </is>
      </c>
      <c r="L370" s="150" t="inlineStr">
        <is>
          <t>Venture Capital-Backed</t>
        </is>
      </c>
      <c r="M370" s="151" t="n">
        <v>37.3</v>
      </c>
      <c r="N370" s="152" t="inlineStr">
        <is>
          <t>Startup</t>
        </is>
      </c>
      <c r="O370" s="153" t="inlineStr">
        <is>
          <t>Privately Held (backing)</t>
        </is>
      </c>
      <c r="P370" s="154" t="inlineStr">
        <is>
          <t>Venture Capital, M&amp;A</t>
        </is>
      </c>
      <c r="Q370" s="155" t="inlineStr">
        <is>
          <t>www.q3medical.com</t>
        </is>
      </c>
      <c r="R370" s="156" t="inlineStr">
        <is>
          <t/>
        </is>
      </c>
      <c r="S370" s="157" t="inlineStr">
        <is>
          <t/>
        </is>
      </c>
      <c r="T370" s="158" t="inlineStr">
        <is>
          <t/>
        </is>
      </c>
      <c r="U370" s="159" t="n">
        <v>2013.0</v>
      </c>
      <c r="V370" s="160" t="inlineStr">
        <is>
          <t/>
        </is>
      </c>
      <c r="W370" s="161" t="inlineStr">
        <is>
          <t/>
        </is>
      </c>
      <c r="X370" s="162" t="inlineStr">
        <is>
          <t/>
        </is>
      </c>
      <c r="Y370" s="163" t="inlineStr">
        <is>
          <t/>
        </is>
      </c>
      <c r="Z370" s="164" t="inlineStr">
        <is>
          <t/>
        </is>
      </c>
      <c r="AA370" s="165" t="inlineStr">
        <is>
          <t/>
        </is>
      </c>
      <c r="AB370" s="166" t="inlineStr">
        <is>
          <t/>
        </is>
      </c>
      <c r="AC370" s="167" t="inlineStr">
        <is>
          <t/>
        </is>
      </c>
      <c r="AD370" s="168" t="inlineStr">
        <is>
          <t/>
        </is>
      </c>
      <c r="AE370" s="169" t="inlineStr">
        <is>
          <t>94641-85P</t>
        </is>
      </c>
      <c r="AF370" s="170" t="inlineStr">
        <is>
          <t>Eric Mangiardi</t>
        </is>
      </c>
      <c r="AG370" s="171" t="inlineStr">
        <is>
          <t>Chief Executive Officer</t>
        </is>
      </c>
      <c r="AH370" s="172" t="inlineStr">
        <is>
          <t>eric@q3medical.com</t>
        </is>
      </c>
      <c r="AI370" s="173" t="inlineStr">
        <is>
          <t>+49 (0)17 2243 9649</t>
        </is>
      </c>
      <c r="AJ370" s="174" t="inlineStr">
        <is>
          <t>Dublin, Ireland</t>
        </is>
      </c>
      <c r="AK370" s="175" t="inlineStr">
        <is>
          <t>88 Harcourt Street</t>
        </is>
      </c>
      <c r="AL370" s="176" t="inlineStr">
        <is>
          <t/>
        </is>
      </c>
      <c r="AM370" s="177" t="inlineStr">
        <is>
          <t>Dublin</t>
        </is>
      </c>
      <c r="AN370" s="178" t="inlineStr">
        <is>
          <t/>
        </is>
      </c>
      <c r="AO370" s="179" t="inlineStr">
        <is>
          <t>2</t>
        </is>
      </c>
      <c r="AP370" s="180" t="inlineStr">
        <is>
          <t>Ireland</t>
        </is>
      </c>
      <c r="AQ370" s="181" t="inlineStr">
        <is>
          <t>+49 (0)17 2243 9649</t>
        </is>
      </c>
      <c r="AR370" s="182" t="inlineStr">
        <is>
          <t/>
        </is>
      </c>
      <c r="AS370" s="183" t="inlineStr">
        <is>
          <t>info@q3medical.com</t>
        </is>
      </c>
      <c r="AT370" s="184" t="inlineStr">
        <is>
          <t>Europe</t>
        </is>
      </c>
      <c r="AU370" s="185" t="inlineStr">
        <is>
          <t>Western Europe</t>
        </is>
      </c>
      <c r="AV370" s="186" t="inlineStr">
        <is>
          <t>The company raised EUR 28.3 million of venture funding from Irish Venture Capital Association and other undisclosed investors in 2017.</t>
        </is>
      </c>
      <c r="AW370" s="187" t="inlineStr">
        <is>
          <t>AMG International, Boill Holding Group, Irish Venture Capital Association, Norgine Ventures, Qualimed Innovative Medizinprodukte Gmbh</t>
        </is>
      </c>
      <c r="AX370" s="188" t="n">
        <v>5.0</v>
      </c>
      <c r="AY370" s="189" t="inlineStr">
        <is>
          <t/>
        </is>
      </c>
      <c r="AZ370" s="190" t="inlineStr">
        <is>
          <t/>
        </is>
      </c>
      <c r="BA370" s="191" t="inlineStr">
        <is>
          <t/>
        </is>
      </c>
      <c r="BB370" s="192" t="inlineStr">
        <is>
          <t>AMG International (www.amg-erle.de), Irish Venture Capital Association (www.ivca.ie), Norgine Ventures (www.norgineventures.com), Qualimed Innovative Medizinprodukte Gmbh (qualimed.de)</t>
        </is>
      </c>
      <c r="BC370" s="193" t="inlineStr">
        <is>
          <t/>
        </is>
      </c>
      <c r="BD370" s="194" t="inlineStr">
        <is>
          <t/>
        </is>
      </c>
      <c r="BE370" s="195" t="inlineStr">
        <is>
          <t/>
        </is>
      </c>
      <c r="BF370" s="196" t="inlineStr">
        <is>
          <t>ByrneWallace (Legal Advisor), Norgine Ventures</t>
        </is>
      </c>
      <c r="BG370" s="197" t="n">
        <v>41275.0</v>
      </c>
      <c r="BH370" s="198" t="inlineStr">
        <is>
          <t/>
        </is>
      </c>
      <c r="BI370" s="199" t="inlineStr">
        <is>
          <t/>
        </is>
      </c>
      <c r="BJ370" s="200" t="inlineStr">
        <is>
          <t/>
        </is>
      </c>
      <c r="BK370" s="201" t="inlineStr">
        <is>
          <t/>
        </is>
      </c>
      <c r="BL370" s="202" t="inlineStr">
        <is>
          <t>Joint Venture</t>
        </is>
      </c>
      <c r="BM370" s="203" t="inlineStr">
        <is>
          <t/>
        </is>
      </c>
      <c r="BN370" s="204" t="inlineStr">
        <is>
          <t/>
        </is>
      </c>
      <c r="BO370" s="205" t="inlineStr">
        <is>
          <t>Other</t>
        </is>
      </c>
      <c r="BP370" s="206" t="inlineStr">
        <is>
          <t/>
        </is>
      </c>
      <c r="BQ370" s="207" t="inlineStr">
        <is>
          <t/>
        </is>
      </c>
      <c r="BR370" s="208" t="inlineStr">
        <is>
          <t/>
        </is>
      </c>
      <c r="BS370" s="209" t="inlineStr">
        <is>
          <t>Completed</t>
        </is>
      </c>
      <c r="BT370" s="210" t="n">
        <v>42810.0</v>
      </c>
      <c r="BU370" s="211" t="n">
        <v>28.3</v>
      </c>
      <c r="BV370" s="212" t="inlineStr">
        <is>
          <t>Actual</t>
        </is>
      </c>
      <c r="BW370" s="213" t="inlineStr">
        <is>
          <t/>
        </is>
      </c>
      <c r="BX370" s="214" t="inlineStr">
        <is>
          <t/>
        </is>
      </c>
      <c r="BY370" s="215" t="inlineStr">
        <is>
          <t>Early Stage VC</t>
        </is>
      </c>
      <c r="BZ370" s="216" t="inlineStr">
        <is>
          <t/>
        </is>
      </c>
      <c r="CA370" s="217" t="inlineStr">
        <is>
          <t/>
        </is>
      </c>
      <c r="CB370" s="218" t="inlineStr">
        <is>
          <t>Venture Capital</t>
        </is>
      </c>
      <c r="CC370" s="219" t="inlineStr">
        <is>
          <t/>
        </is>
      </c>
      <c r="CD370" s="220" t="inlineStr">
        <is>
          <t/>
        </is>
      </c>
      <c r="CE370" s="221" t="inlineStr">
        <is>
          <t/>
        </is>
      </c>
      <c r="CF370" s="222" t="inlineStr">
        <is>
          <t>Completed</t>
        </is>
      </c>
      <c r="CG370" s="223" t="inlineStr">
        <is>
          <t>0,00%</t>
        </is>
      </c>
      <c r="CH370" s="224" t="inlineStr">
        <is>
          <t>23</t>
        </is>
      </c>
      <c r="CI370" s="225" t="inlineStr">
        <is>
          <t>0,00%</t>
        </is>
      </c>
      <c r="CJ370" s="226" t="inlineStr">
        <is>
          <t>0,00%</t>
        </is>
      </c>
      <c r="CK370" s="227" t="inlineStr">
        <is>
          <t>0,00%</t>
        </is>
      </c>
      <c r="CL370" s="228" t="inlineStr">
        <is>
          <t>18</t>
        </is>
      </c>
      <c r="CM370" s="229" t="inlineStr">
        <is>
          <t/>
        </is>
      </c>
      <c r="CN370" s="230" t="inlineStr">
        <is>
          <t/>
        </is>
      </c>
      <c r="CO370" s="231" t="inlineStr">
        <is>
          <t/>
        </is>
      </c>
      <c r="CP370" s="232" t="inlineStr">
        <is>
          <t/>
        </is>
      </c>
      <c r="CQ370" s="233" t="inlineStr">
        <is>
          <t>0,00%</t>
        </is>
      </c>
      <c r="CR370" s="234" t="inlineStr">
        <is>
          <t>13</t>
        </is>
      </c>
      <c r="CS370" s="235" t="inlineStr">
        <is>
          <t/>
        </is>
      </c>
      <c r="CT370" s="236" t="inlineStr">
        <is>
          <t/>
        </is>
      </c>
      <c r="CU370" s="237" t="inlineStr">
        <is>
          <t/>
        </is>
      </c>
      <c r="CV370" s="238" t="inlineStr">
        <is>
          <t/>
        </is>
      </c>
      <c r="CW370" s="239" t="inlineStr">
        <is>
          <t>0,61x</t>
        </is>
      </c>
      <c r="CX370" s="240" t="inlineStr">
        <is>
          <t>38</t>
        </is>
      </c>
      <c r="CY370" s="241" t="inlineStr">
        <is>
          <t>0,04x</t>
        </is>
      </c>
      <c r="CZ370" s="242" t="inlineStr">
        <is>
          <t>7,67%</t>
        </is>
      </c>
      <c r="DA370" s="243" t="inlineStr">
        <is>
          <t>0,61x</t>
        </is>
      </c>
      <c r="DB370" s="244" t="inlineStr">
        <is>
          <t>40</t>
        </is>
      </c>
      <c r="DC370" s="245" t="inlineStr">
        <is>
          <t/>
        </is>
      </c>
      <c r="DD370" s="246" t="inlineStr">
        <is>
          <t/>
        </is>
      </c>
      <c r="DE370" s="247" t="inlineStr">
        <is>
          <t/>
        </is>
      </c>
      <c r="DF370" s="248" t="inlineStr">
        <is>
          <t/>
        </is>
      </c>
      <c r="DG370" s="249" t="inlineStr">
        <is>
          <t>0,61x</t>
        </is>
      </c>
      <c r="DH370" s="250" t="inlineStr">
        <is>
          <t>40</t>
        </is>
      </c>
      <c r="DI370" s="251" t="inlineStr">
        <is>
          <t/>
        </is>
      </c>
      <c r="DJ370" s="252" t="inlineStr">
        <is>
          <t/>
        </is>
      </c>
      <c r="DK370" s="253" t="inlineStr">
        <is>
          <t/>
        </is>
      </c>
      <c r="DL370" s="254" t="inlineStr">
        <is>
          <t/>
        </is>
      </c>
      <c r="DM370" s="255" t="inlineStr">
        <is>
          <t/>
        </is>
      </c>
      <c r="DN370" s="256" t="inlineStr">
        <is>
          <t/>
        </is>
      </c>
      <c r="DO370" s="257" t="inlineStr">
        <is>
          <t/>
        </is>
      </c>
      <c r="DP370" s="258" t="inlineStr">
        <is>
          <t/>
        </is>
      </c>
      <c r="DQ370" s="259" t="inlineStr">
        <is>
          <t/>
        </is>
      </c>
      <c r="DR370" s="260" t="inlineStr">
        <is>
          <t/>
        </is>
      </c>
      <c r="DS370" s="261" t="inlineStr">
        <is>
          <t>21</t>
        </is>
      </c>
      <c r="DT370" s="262" t="inlineStr">
        <is>
          <t>0</t>
        </is>
      </c>
      <c r="DU370" s="263" t="inlineStr">
        <is>
          <t>0,00%</t>
        </is>
      </c>
      <c r="DV370" s="264" t="inlineStr">
        <is>
          <t/>
        </is>
      </c>
      <c r="DW370" s="265" t="inlineStr">
        <is>
          <t/>
        </is>
      </c>
      <c r="DX370" s="266" t="inlineStr">
        <is>
          <t/>
        </is>
      </c>
      <c r="DY370" s="267" t="inlineStr">
        <is>
          <t>PitchBook Research</t>
        </is>
      </c>
      <c r="DZ370" s="786">
        <f>HYPERLINK("https://my.pitchbook.com?c=106770-25", "View company online")</f>
      </c>
    </row>
    <row r="371">
      <c r="A371" s="9" t="inlineStr">
        <is>
          <t>169758-19</t>
        </is>
      </c>
      <c r="B371" s="10" t="inlineStr">
        <is>
          <t>Qonto</t>
        </is>
      </c>
      <c r="C371" s="11" t="inlineStr">
        <is>
          <t/>
        </is>
      </c>
      <c r="D371" s="12" t="inlineStr">
        <is>
          <t/>
        </is>
      </c>
      <c r="E371" s="13" t="inlineStr">
        <is>
          <t>169758-19</t>
        </is>
      </c>
      <c r="F371" s="14" t="inlineStr">
        <is>
          <t>Provider of online banking platform designed to simplify business banking. The company's online banking platform offers digital bank accounts for sending and receiving payments, enabling businesses to transfer funds through a mobile application with the help of a physical or virtual card and manage transfers without any paperwork.</t>
        </is>
      </c>
      <c r="G371" s="15" t="inlineStr">
        <is>
          <t>Information Technology</t>
        </is>
      </c>
      <c r="H371" s="16" t="inlineStr">
        <is>
          <t>Software</t>
        </is>
      </c>
      <c r="I371" s="17" t="inlineStr">
        <is>
          <t>Financial Software</t>
        </is>
      </c>
      <c r="J371" s="18" t="inlineStr">
        <is>
          <t>Financial Software*</t>
        </is>
      </c>
      <c r="K371" s="19" t="inlineStr">
        <is>
          <t>FinTech, Mobile</t>
        </is>
      </c>
      <c r="L371" s="20" t="inlineStr">
        <is>
          <t>Venture Capital-Backed</t>
        </is>
      </c>
      <c r="M371" s="21" t="n">
        <v>11.42</v>
      </c>
      <c r="N371" s="22" t="inlineStr">
        <is>
          <t>Generating Revenue</t>
        </is>
      </c>
      <c r="O371" s="23" t="inlineStr">
        <is>
          <t>Privately Held (backing)</t>
        </is>
      </c>
      <c r="P371" s="24" t="inlineStr">
        <is>
          <t>Venture Capital</t>
        </is>
      </c>
      <c r="Q371" s="25" t="inlineStr">
        <is>
          <t>www.qonto.eu</t>
        </is>
      </c>
      <c r="R371" s="26" t="inlineStr">
        <is>
          <t/>
        </is>
      </c>
      <c r="S371" s="27" t="inlineStr">
        <is>
          <t/>
        </is>
      </c>
      <c r="T371" s="28" t="inlineStr">
        <is>
          <t/>
        </is>
      </c>
      <c r="U371" s="29" t="n">
        <v>2016.0</v>
      </c>
      <c r="V371" s="30" t="inlineStr">
        <is>
          <t/>
        </is>
      </c>
      <c r="W371" s="31" t="inlineStr">
        <is>
          <t/>
        </is>
      </c>
      <c r="X371" s="32" t="inlineStr">
        <is>
          <t/>
        </is>
      </c>
      <c r="Y371" s="33" t="inlineStr">
        <is>
          <t/>
        </is>
      </c>
      <c r="Z371" s="34" t="inlineStr">
        <is>
          <t/>
        </is>
      </c>
      <c r="AA371" s="35" t="inlineStr">
        <is>
          <t/>
        </is>
      </c>
      <c r="AB371" s="36" t="inlineStr">
        <is>
          <t/>
        </is>
      </c>
      <c r="AC371" s="37" t="inlineStr">
        <is>
          <t/>
        </is>
      </c>
      <c r="AD371" s="38" t="inlineStr">
        <is>
          <t/>
        </is>
      </c>
      <c r="AE371" s="39" t="inlineStr">
        <is>
          <t>107918-02P</t>
        </is>
      </c>
      <c r="AF371" s="40" t="inlineStr">
        <is>
          <t>Steve Anavi</t>
        </is>
      </c>
      <c r="AG371" s="41" t="inlineStr">
        <is>
          <t>Co-Founder &amp; President</t>
        </is>
      </c>
      <c r="AH371" s="42" t="inlineStr">
        <is>
          <t>steve@qonto.eu</t>
        </is>
      </c>
      <c r="AI371" s="43" t="inlineStr">
        <is>
          <t>+33 (0)1 76 41 03 08</t>
        </is>
      </c>
      <c r="AJ371" s="44" t="inlineStr">
        <is>
          <t>Paris, France</t>
        </is>
      </c>
      <c r="AK371" s="45" t="inlineStr">
        <is>
          <t>42 Rue Etienne Marcel</t>
        </is>
      </c>
      <c r="AL371" s="46" t="inlineStr">
        <is>
          <t/>
        </is>
      </c>
      <c r="AM371" s="47" t="inlineStr">
        <is>
          <t>Paris</t>
        </is>
      </c>
      <c r="AN371" s="48" t="inlineStr">
        <is>
          <t/>
        </is>
      </c>
      <c r="AO371" s="49" t="inlineStr">
        <is>
          <t>75002</t>
        </is>
      </c>
      <c r="AP371" s="50" t="inlineStr">
        <is>
          <t>France</t>
        </is>
      </c>
      <c r="AQ371" s="51" t="inlineStr">
        <is>
          <t>+33 (0)1 76 41 03 08</t>
        </is>
      </c>
      <c r="AR371" s="52" t="inlineStr">
        <is>
          <t/>
        </is>
      </c>
      <c r="AS371" s="53" t="inlineStr">
        <is>
          <t>hello@qonto.eu</t>
        </is>
      </c>
      <c r="AT371" s="54" t="inlineStr">
        <is>
          <t>Europe</t>
        </is>
      </c>
      <c r="AU371" s="55" t="inlineStr">
        <is>
          <t>Western Europe</t>
        </is>
      </c>
      <c r="AV371" s="56" t="inlineStr">
        <is>
          <t>The company raised $11.3 million of venture funding from Valar Ventures and Alven Capital Partners on July 5, 2017.</t>
        </is>
      </c>
      <c r="AW371" s="57" t="inlineStr">
        <is>
          <t>Alven Capital Partners, Baudouin Prot, Bpifrance, Celine Lazorthes, Dominique Vidal, Frank Zorn, Frédéric Potter, Valar Ventures, Via.Io</t>
        </is>
      </c>
      <c r="AX371" s="58" t="n">
        <v>9.0</v>
      </c>
      <c r="AY371" s="59" t="inlineStr">
        <is>
          <t/>
        </is>
      </c>
      <c r="AZ371" s="60" t="inlineStr">
        <is>
          <t/>
        </is>
      </c>
      <c r="BA371" s="61" t="inlineStr">
        <is>
          <t/>
        </is>
      </c>
      <c r="BB371" s="62" t="inlineStr">
        <is>
          <t>Alven Capital Partners (www.alven.co), Bpifrance (www.bpifrance.fr), Valar Ventures (www.valarventures.com), Via.Io (www.via.io)</t>
        </is>
      </c>
      <c r="BC371" s="63" t="inlineStr">
        <is>
          <t/>
        </is>
      </c>
      <c r="BD371" s="64" t="inlineStr">
        <is>
          <t/>
        </is>
      </c>
      <c r="BE371" s="65" t="inlineStr">
        <is>
          <t/>
        </is>
      </c>
      <c r="BF371" s="66" t="inlineStr">
        <is>
          <t/>
        </is>
      </c>
      <c r="BG371" s="67" t="n">
        <v>42751.0</v>
      </c>
      <c r="BH371" s="68" t="n">
        <v>1.6</v>
      </c>
      <c r="BI371" s="69" t="inlineStr">
        <is>
          <t>Actual</t>
        </is>
      </c>
      <c r="BJ371" s="70" t="inlineStr">
        <is>
          <t/>
        </is>
      </c>
      <c r="BK371" s="71" t="inlineStr">
        <is>
          <t/>
        </is>
      </c>
      <c r="BL371" s="72" t="inlineStr">
        <is>
          <t>Seed Round</t>
        </is>
      </c>
      <c r="BM371" s="73" t="inlineStr">
        <is>
          <t>Seed</t>
        </is>
      </c>
      <c r="BN371" s="74" t="inlineStr">
        <is>
          <t/>
        </is>
      </c>
      <c r="BO371" s="75" t="inlineStr">
        <is>
          <t>Venture Capital</t>
        </is>
      </c>
      <c r="BP371" s="76" t="inlineStr">
        <is>
          <t/>
        </is>
      </c>
      <c r="BQ371" s="77" t="inlineStr">
        <is>
          <t/>
        </is>
      </c>
      <c r="BR371" s="78" t="inlineStr">
        <is>
          <t/>
        </is>
      </c>
      <c r="BS371" s="79" t="inlineStr">
        <is>
          <t>Completed</t>
        </is>
      </c>
      <c r="BT371" s="80" t="n">
        <v>42921.0</v>
      </c>
      <c r="BU371" s="81" t="n">
        <v>9.81</v>
      </c>
      <c r="BV371" s="82" t="inlineStr">
        <is>
          <t>Actual</t>
        </is>
      </c>
      <c r="BW371" s="83" t="inlineStr">
        <is>
          <t/>
        </is>
      </c>
      <c r="BX371" s="84" t="inlineStr">
        <is>
          <t/>
        </is>
      </c>
      <c r="BY371" s="85" t="inlineStr">
        <is>
          <t>Early Stage VC</t>
        </is>
      </c>
      <c r="BZ371" s="86" t="inlineStr">
        <is>
          <t/>
        </is>
      </c>
      <c r="CA371" s="87" t="inlineStr">
        <is>
          <t/>
        </is>
      </c>
      <c r="CB371" s="88" t="inlineStr">
        <is>
          <t>Venture Capital</t>
        </is>
      </c>
      <c r="CC371" s="89" t="inlineStr">
        <is>
          <t/>
        </is>
      </c>
      <c r="CD371" s="90" t="inlineStr">
        <is>
          <t/>
        </is>
      </c>
      <c r="CE371" s="91" t="inlineStr">
        <is>
          <t/>
        </is>
      </c>
      <c r="CF371" s="92" t="inlineStr">
        <is>
          <t>Completed</t>
        </is>
      </c>
      <c r="CG371" s="93" t="inlineStr">
        <is>
          <t>2,45%</t>
        </is>
      </c>
      <c r="CH371" s="94" t="inlineStr">
        <is>
          <t>95</t>
        </is>
      </c>
      <c r="CI371" s="95" t="inlineStr">
        <is>
          <t>-0,31%</t>
        </is>
      </c>
      <c r="CJ371" s="96" t="inlineStr">
        <is>
          <t>-11,18%</t>
        </is>
      </c>
      <c r="CK371" s="97" t="inlineStr">
        <is>
          <t>3,14%</t>
        </is>
      </c>
      <c r="CL371" s="98" t="inlineStr">
        <is>
          <t>94</t>
        </is>
      </c>
      <c r="CM371" s="99" t="inlineStr">
        <is>
          <t>1,76%</t>
        </is>
      </c>
      <c r="CN371" s="100" t="inlineStr">
        <is>
          <t>98</t>
        </is>
      </c>
      <c r="CO371" s="101" t="inlineStr">
        <is>
          <t>6,27%</t>
        </is>
      </c>
      <c r="CP371" s="102" t="inlineStr">
        <is>
          <t>98</t>
        </is>
      </c>
      <c r="CQ371" s="103" t="inlineStr">
        <is>
          <t>0,00%</t>
        </is>
      </c>
      <c r="CR371" s="104" t="inlineStr">
        <is>
          <t>13</t>
        </is>
      </c>
      <c r="CS371" s="105" t="inlineStr">
        <is>
          <t>2,26%</t>
        </is>
      </c>
      <c r="CT371" s="106" t="inlineStr">
        <is>
          <t>98</t>
        </is>
      </c>
      <c r="CU371" s="107" t="inlineStr">
        <is>
          <t>1,26%</t>
        </is>
      </c>
      <c r="CV371" s="108" t="inlineStr">
        <is>
          <t>98</t>
        </is>
      </c>
      <c r="CW371" s="109" t="inlineStr">
        <is>
          <t>7,62x</t>
        </is>
      </c>
      <c r="CX371" s="110" t="inlineStr">
        <is>
          <t>84</t>
        </is>
      </c>
      <c r="CY371" s="111" t="inlineStr">
        <is>
          <t>0,04x</t>
        </is>
      </c>
      <c r="CZ371" s="112" t="inlineStr">
        <is>
          <t>0,50%</t>
        </is>
      </c>
      <c r="DA371" s="113" t="inlineStr">
        <is>
          <t>13,07x</t>
        </is>
      </c>
      <c r="DB371" s="114" t="inlineStr">
        <is>
          <t>90</t>
        </is>
      </c>
      <c r="DC371" s="115" t="inlineStr">
        <is>
          <t>2,17x</t>
        </is>
      </c>
      <c r="DD371" s="116" t="inlineStr">
        <is>
          <t>63</t>
        </is>
      </c>
      <c r="DE371" s="117" t="inlineStr">
        <is>
          <t>26,00x</t>
        </is>
      </c>
      <c r="DF371" s="118" t="inlineStr">
        <is>
          <t>90</t>
        </is>
      </c>
      <c r="DG371" s="119" t="inlineStr">
        <is>
          <t>0,14x</t>
        </is>
      </c>
      <c r="DH371" s="120" t="inlineStr">
        <is>
          <t>15</t>
        </is>
      </c>
      <c r="DI371" s="121" t="inlineStr">
        <is>
          <t>1,21x</t>
        </is>
      </c>
      <c r="DJ371" s="122" t="inlineStr">
        <is>
          <t>54</t>
        </is>
      </c>
      <c r="DK371" s="123" t="inlineStr">
        <is>
          <t>3,12x</t>
        </is>
      </c>
      <c r="DL371" s="124" t="inlineStr">
        <is>
          <t>71</t>
        </is>
      </c>
      <c r="DM371" s="125" t="inlineStr">
        <is>
          <t>17.611</t>
        </is>
      </c>
      <c r="DN371" s="126" t="inlineStr">
        <is>
          <t>-4.866</t>
        </is>
      </c>
      <c r="DO371" s="127" t="inlineStr">
        <is>
          <t>-21,65%</t>
        </is>
      </c>
      <c r="DP371" s="128" t="inlineStr">
        <is>
          <t>959</t>
        </is>
      </c>
      <c r="DQ371" s="129" t="inlineStr">
        <is>
          <t>15</t>
        </is>
      </c>
      <c r="DR371" s="130" t="inlineStr">
        <is>
          <t>1,59%</t>
        </is>
      </c>
      <c r="DS371" s="131" t="inlineStr">
        <is>
          <t>5</t>
        </is>
      </c>
      <c r="DT371" s="132" t="inlineStr">
        <is>
          <t>0</t>
        </is>
      </c>
      <c r="DU371" s="133" t="inlineStr">
        <is>
          <t>0,00%</t>
        </is>
      </c>
      <c r="DV371" s="134" t="inlineStr">
        <is>
          <t>1.065</t>
        </is>
      </c>
      <c r="DW371" s="135" t="inlineStr">
        <is>
          <t>15</t>
        </is>
      </c>
      <c r="DX371" s="136" t="inlineStr">
        <is>
          <t>1,43%</t>
        </is>
      </c>
      <c r="DY371" s="137" t="inlineStr">
        <is>
          <t>PitchBook Research</t>
        </is>
      </c>
      <c r="DZ371" s="785">
        <f>HYPERLINK("https://my.pitchbook.com?c=169758-19", "View company online")</f>
      </c>
    </row>
    <row r="372">
      <c r="A372" s="139" t="inlineStr">
        <is>
          <t>161892-37</t>
        </is>
      </c>
      <c r="B372" s="140" t="inlineStr">
        <is>
          <t>Qover</t>
        </is>
      </c>
      <c r="C372" s="141" t="inlineStr">
        <is>
          <t/>
        </is>
      </c>
      <c r="D372" s="142" t="inlineStr">
        <is>
          <t/>
        </is>
      </c>
      <c r="E372" s="143" t="inlineStr">
        <is>
          <t>161892-37</t>
        </is>
      </c>
      <c r="F372" s="144" t="inlineStr">
        <is>
          <t>Developer of digital insurance APIs designed to help build digital insurance products. The company's Motor GAP coverage allows customer to pick individualized specific coverage and to create personalized insurance for a chosen duration, enabling customers to get a price in real time and can purchase an insurance contract that will be digitally and instantly issued.</t>
        </is>
      </c>
      <c r="G372" s="145" t="inlineStr">
        <is>
          <t>Information Technology</t>
        </is>
      </c>
      <c r="H372" s="146" t="inlineStr">
        <is>
          <t>Software</t>
        </is>
      </c>
      <c r="I372" s="147" t="inlineStr">
        <is>
          <t>Business/Productivity Software</t>
        </is>
      </c>
      <c r="J372" s="148" t="inlineStr">
        <is>
          <t>Business/Productivity Software*</t>
        </is>
      </c>
      <c r="K372" s="149" t="inlineStr">
        <is>
          <t>FinTech</t>
        </is>
      </c>
      <c r="L372" s="150" t="inlineStr">
        <is>
          <t>Venture Capital-Backed</t>
        </is>
      </c>
      <c r="M372" s="151" t="n">
        <v>7.0</v>
      </c>
      <c r="N372" s="152" t="inlineStr">
        <is>
          <t>Generating Revenue</t>
        </is>
      </c>
      <c r="O372" s="153" t="inlineStr">
        <is>
          <t>Privately Held (backing)</t>
        </is>
      </c>
      <c r="P372" s="154" t="inlineStr">
        <is>
          <t>Venture Capital</t>
        </is>
      </c>
      <c r="Q372" s="155" t="inlineStr">
        <is>
          <t>www.qover.me</t>
        </is>
      </c>
      <c r="R372" s="156" t="inlineStr">
        <is>
          <t/>
        </is>
      </c>
      <c r="S372" s="157" t="inlineStr">
        <is>
          <t/>
        </is>
      </c>
      <c r="T372" s="158" t="inlineStr">
        <is>
          <t/>
        </is>
      </c>
      <c r="U372" s="159" t="n">
        <v>2016.0</v>
      </c>
      <c r="V372" s="160" t="inlineStr">
        <is>
          <t/>
        </is>
      </c>
      <c r="W372" s="161" t="inlineStr">
        <is>
          <t/>
        </is>
      </c>
      <c r="X372" s="162" t="inlineStr">
        <is>
          <t/>
        </is>
      </c>
      <c r="Y372" s="163" t="inlineStr">
        <is>
          <t/>
        </is>
      </c>
      <c r="Z372" s="164" t="inlineStr">
        <is>
          <t/>
        </is>
      </c>
      <c r="AA372" s="165" t="inlineStr">
        <is>
          <t/>
        </is>
      </c>
      <c r="AB372" s="166" t="inlineStr">
        <is>
          <t/>
        </is>
      </c>
      <c r="AC372" s="167" t="inlineStr">
        <is>
          <t/>
        </is>
      </c>
      <c r="AD372" s="168" t="inlineStr">
        <is>
          <t/>
        </is>
      </c>
      <c r="AE372" s="169" t="inlineStr">
        <is>
          <t>161385-58P</t>
        </is>
      </c>
      <c r="AF372" s="170" t="inlineStr">
        <is>
          <t>Jean-Charles Velge</t>
        </is>
      </c>
      <c r="AG372" s="171" t="inlineStr">
        <is>
          <t>Co-Founder</t>
        </is>
      </c>
      <c r="AH372" s="172" t="inlineStr">
        <is>
          <t>jean-charles@qover.me</t>
        </is>
      </c>
      <c r="AI372" s="173" t="inlineStr">
        <is>
          <t>+32 (0)2 211 34 67</t>
        </is>
      </c>
      <c r="AJ372" s="174" t="inlineStr">
        <is>
          <t>Brussels, Belgium</t>
        </is>
      </c>
      <c r="AK372" s="175" t="inlineStr">
        <is>
          <t>Rue Eugène Toussaint 54 bte 1</t>
        </is>
      </c>
      <c r="AL372" s="176" t="inlineStr">
        <is>
          <t/>
        </is>
      </c>
      <c r="AM372" s="177" t="inlineStr">
        <is>
          <t>Brussels</t>
        </is>
      </c>
      <c r="AN372" s="178" t="inlineStr">
        <is>
          <t/>
        </is>
      </c>
      <c r="AO372" s="179" t="inlineStr">
        <is>
          <t>1090</t>
        </is>
      </c>
      <c r="AP372" s="180" t="inlineStr">
        <is>
          <t>Belgium</t>
        </is>
      </c>
      <c r="AQ372" s="181" t="inlineStr">
        <is>
          <t>+32 (0)2 211 34 67</t>
        </is>
      </c>
      <c r="AR372" s="182" t="inlineStr">
        <is>
          <t/>
        </is>
      </c>
      <c r="AS372" s="183" t="inlineStr">
        <is>
          <t>hello@qover.me</t>
        </is>
      </c>
      <c r="AT372" s="184" t="inlineStr">
        <is>
          <t>Europe</t>
        </is>
      </c>
      <c r="AU372" s="185" t="inlineStr">
        <is>
          <t>Western Europe</t>
        </is>
      </c>
      <c r="AV372" s="186" t="inlineStr">
        <is>
          <t>The company raised EUR 5.5 million of series A venture funding led by Anthemis on April 12, 2017. Callatäy &amp; Wouters Ventures and Belcube also participated in the round. The company intends to use the funds to expand its first product, enter the UK and open a London office.</t>
        </is>
      </c>
      <c r="AW372" s="187" t="inlineStr">
        <is>
          <t>Anthemis Group, Belcube, Callataÿ &amp; Wouters</t>
        </is>
      </c>
      <c r="AX372" s="188" t="n">
        <v>3.0</v>
      </c>
      <c r="AY372" s="189" t="inlineStr">
        <is>
          <t/>
        </is>
      </c>
      <c r="AZ372" s="190" t="inlineStr">
        <is>
          <t/>
        </is>
      </c>
      <c r="BA372" s="191" t="inlineStr">
        <is>
          <t/>
        </is>
      </c>
      <c r="BB372" s="192" t="inlineStr">
        <is>
          <t>Anthemis Group (www.anthemis.com), Belcube (www.belcube.com)</t>
        </is>
      </c>
      <c r="BC372" s="193" t="inlineStr">
        <is>
          <t/>
        </is>
      </c>
      <c r="BD372" s="194" t="inlineStr">
        <is>
          <t/>
        </is>
      </c>
      <c r="BE372" s="195" t="inlineStr">
        <is>
          <t/>
        </is>
      </c>
      <c r="BF372" s="196" t="inlineStr">
        <is>
          <t>Cresco (Business Law Firm) (Legal Advisor)</t>
        </is>
      </c>
      <c r="BG372" s="197" t="n">
        <v>42461.0</v>
      </c>
      <c r="BH372" s="198" t="n">
        <v>1.5</v>
      </c>
      <c r="BI372" s="199" t="inlineStr">
        <is>
          <t>Actual</t>
        </is>
      </c>
      <c r="BJ372" s="200" t="inlineStr">
        <is>
          <t/>
        </is>
      </c>
      <c r="BK372" s="201" t="inlineStr">
        <is>
          <t/>
        </is>
      </c>
      <c r="BL372" s="202" t="inlineStr">
        <is>
          <t>Seed Round</t>
        </is>
      </c>
      <c r="BM372" s="203" t="inlineStr">
        <is>
          <t>Seed</t>
        </is>
      </c>
      <c r="BN372" s="204" t="inlineStr">
        <is>
          <t/>
        </is>
      </c>
      <c r="BO372" s="205" t="inlineStr">
        <is>
          <t>Venture Capital</t>
        </is>
      </c>
      <c r="BP372" s="206" t="inlineStr">
        <is>
          <t/>
        </is>
      </c>
      <c r="BQ372" s="207" t="inlineStr">
        <is>
          <t/>
        </is>
      </c>
      <c r="BR372" s="208" t="inlineStr">
        <is>
          <t/>
        </is>
      </c>
      <c r="BS372" s="209" t="inlineStr">
        <is>
          <t>Completed</t>
        </is>
      </c>
      <c r="BT372" s="210" t="n">
        <v>42837.0</v>
      </c>
      <c r="BU372" s="211" t="n">
        <v>5.5</v>
      </c>
      <c r="BV372" s="212" t="inlineStr">
        <is>
          <t>Actual</t>
        </is>
      </c>
      <c r="BW372" s="213" t="inlineStr">
        <is>
          <t/>
        </is>
      </c>
      <c r="BX372" s="214" t="inlineStr">
        <is>
          <t/>
        </is>
      </c>
      <c r="BY372" s="215" t="inlineStr">
        <is>
          <t>Early Stage VC</t>
        </is>
      </c>
      <c r="BZ372" s="216" t="inlineStr">
        <is>
          <t>Series A</t>
        </is>
      </c>
      <c r="CA372" s="217" t="inlineStr">
        <is>
          <t/>
        </is>
      </c>
      <c r="CB372" s="218" t="inlineStr">
        <is>
          <t>Venture Capital</t>
        </is>
      </c>
      <c r="CC372" s="219" t="inlineStr">
        <is>
          <t/>
        </is>
      </c>
      <c r="CD372" s="220" t="inlineStr">
        <is>
          <t/>
        </is>
      </c>
      <c r="CE372" s="221" t="inlineStr">
        <is>
          <t/>
        </is>
      </c>
      <c r="CF372" s="222" t="inlineStr">
        <is>
          <t>Completed</t>
        </is>
      </c>
      <c r="CG372" s="223" t="inlineStr">
        <is>
          <t>1,93%</t>
        </is>
      </c>
      <c r="CH372" s="224" t="inlineStr">
        <is>
          <t>93</t>
        </is>
      </c>
      <c r="CI372" s="225" t="inlineStr">
        <is>
          <t>0,97%</t>
        </is>
      </c>
      <c r="CJ372" s="226" t="inlineStr">
        <is>
          <t>100,17%</t>
        </is>
      </c>
      <c r="CK372" s="227" t="inlineStr">
        <is>
          <t>-0,26%</t>
        </is>
      </c>
      <c r="CL372" s="228" t="inlineStr">
        <is>
          <t>15</t>
        </is>
      </c>
      <c r="CM372" s="229" t="inlineStr">
        <is>
          <t>4,13%</t>
        </is>
      </c>
      <c r="CN372" s="230" t="inlineStr">
        <is>
          <t>100</t>
        </is>
      </c>
      <c r="CO372" s="231" t="inlineStr">
        <is>
          <t>-0,26%</t>
        </is>
      </c>
      <c r="CP372" s="232" t="inlineStr">
        <is>
          <t>24</t>
        </is>
      </c>
      <c r="CQ372" s="233" t="inlineStr">
        <is>
          <t/>
        </is>
      </c>
      <c r="CR372" s="234" t="inlineStr">
        <is>
          <t/>
        </is>
      </c>
      <c r="CS372" s="235" t="inlineStr">
        <is>
          <t>6,23%</t>
        </is>
      </c>
      <c r="CT372" s="236" t="inlineStr">
        <is>
          <t>100</t>
        </is>
      </c>
      <c r="CU372" s="237" t="inlineStr">
        <is>
          <t>2,03%</t>
        </is>
      </c>
      <c r="CV372" s="238" t="inlineStr">
        <is>
          <t>99</t>
        </is>
      </c>
      <c r="CW372" s="239" t="inlineStr">
        <is>
          <t>0,46x</t>
        </is>
      </c>
      <c r="CX372" s="240" t="inlineStr">
        <is>
          <t>32</t>
        </is>
      </c>
      <c r="CY372" s="241" t="inlineStr">
        <is>
          <t>0,02x</t>
        </is>
      </c>
      <c r="CZ372" s="242" t="inlineStr">
        <is>
          <t>3,63%</t>
        </is>
      </c>
      <c r="DA372" s="243" t="inlineStr">
        <is>
          <t>0,63x</t>
        </is>
      </c>
      <c r="DB372" s="244" t="inlineStr">
        <is>
          <t>41</t>
        </is>
      </c>
      <c r="DC372" s="245" t="inlineStr">
        <is>
          <t>0,29x</t>
        </is>
      </c>
      <c r="DD372" s="246" t="inlineStr">
        <is>
          <t>27</t>
        </is>
      </c>
      <c r="DE372" s="247" t="inlineStr">
        <is>
          <t>0,63x</t>
        </is>
      </c>
      <c r="DF372" s="248" t="inlineStr">
        <is>
          <t>41</t>
        </is>
      </c>
      <c r="DG372" s="249" t="inlineStr">
        <is>
          <t/>
        </is>
      </c>
      <c r="DH372" s="250" t="inlineStr">
        <is>
          <t/>
        </is>
      </c>
      <c r="DI372" s="251" t="inlineStr">
        <is>
          <t>0,20x</t>
        </is>
      </c>
      <c r="DJ372" s="252" t="inlineStr">
        <is>
          <t>23</t>
        </is>
      </c>
      <c r="DK372" s="253" t="inlineStr">
        <is>
          <t>0,39x</t>
        </is>
      </c>
      <c r="DL372" s="254" t="inlineStr">
        <is>
          <t>35</t>
        </is>
      </c>
      <c r="DM372" s="255" t="inlineStr">
        <is>
          <t>404</t>
        </is>
      </c>
      <c r="DN372" s="256" t="inlineStr">
        <is>
          <t>-57</t>
        </is>
      </c>
      <c r="DO372" s="257" t="inlineStr">
        <is>
          <t>-12,36%</t>
        </is>
      </c>
      <c r="DP372" s="258" t="inlineStr">
        <is>
          <t>157</t>
        </is>
      </c>
      <c r="DQ372" s="259" t="inlineStr">
        <is>
          <t>36</t>
        </is>
      </c>
      <c r="DR372" s="260" t="inlineStr">
        <is>
          <t>29,75%</t>
        </is>
      </c>
      <c r="DS372" s="261" t="inlineStr">
        <is>
          <t/>
        </is>
      </c>
      <c r="DT372" s="262" t="inlineStr">
        <is>
          <t/>
        </is>
      </c>
      <c r="DU372" s="263" t="inlineStr">
        <is>
          <t/>
        </is>
      </c>
      <c r="DV372" s="264" t="inlineStr">
        <is>
          <t>129</t>
        </is>
      </c>
      <c r="DW372" s="265" t="inlineStr">
        <is>
          <t>5</t>
        </is>
      </c>
      <c r="DX372" s="266" t="inlineStr">
        <is>
          <t>4,03%</t>
        </is>
      </c>
      <c r="DY372" s="267" t="inlineStr">
        <is>
          <t>PitchBook Research</t>
        </is>
      </c>
      <c r="DZ372" s="786">
        <f>HYPERLINK("https://my.pitchbook.com?c=161892-37", "View company online")</f>
      </c>
    </row>
    <row r="373">
      <c r="A373" s="9" t="inlineStr">
        <is>
          <t>100478-62</t>
        </is>
      </c>
      <c r="B373" s="10" t="inlineStr">
        <is>
          <t>Quality Circular Polymers</t>
        </is>
      </c>
      <c r="C373" s="11" t="inlineStr">
        <is>
          <t/>
        </is>
      </c>
      <c r="D373" s="12" t="inlineStr">
        <is>
          <t>QCP</t>
        </is>
      </c>
      <c r="E373" s="13" t="inlineStr">
        <is>
          <t>100478-62</t>
        </is>
      </c>
      <c r="F373" s="14" t="inlineStr">
        <is>
          <t>Developer of circular polymer compounds designed to help in sustainable recycling of industrial waste. The company's circular polymer compounds design an integrated recycling plant using compounding technology, enabling clients to reduce waste by reusing it as an alternative to fossil based feed-stock.</t>
        </is>
      </c>
      <c r="G373" s="15" t="inlineStr">
        <is>
          <t>Business Products and Services (B2B)</t>
        </is>
      </c>
      <c r="H373" s="16" t="inlineStr">
        <is>
          <t>Commercial Services</t>
        </is>
      </c>
      <c r="I373" s="17" t="inlineStr">
        <is>
          <t>Environmental Services (B2B)</t>
        </is>
      </c>
      <c r="J373" s="18" t="inlineStr">
        <is>
          <t>Environmental Services (B2B)*; Other Commercial Services; Other Energy Services</t>
        </is>
      </c>
      <c r="K373" s="19" t="inlineStr">
        <is>
          <t>CleanTech</t>
        </is>
      </c>
      <c r="L373" s="20" t="inlineStr">
        <is>
          <t>Venture Capital-Backed</t>
        </is>
      </c>
      <c r="M373" s="21" t="n">
        <v>75.0</v>
      </c>
      <c r="N373" s="22" t="inlineStr">
        <is>
          <t>Startup</t>
        </is>
      </c>
      <c r="O373" s="23" t="inlineStr">
        <is>
          <t>Privately Held (backing)</t>
        </is>
      </c>
      <c r="P373" s="24" t="inlineStr">
        <is>
          <t>Venture Capital</t>
        </is>
      </c>
      <c r="Q373" s="25" t="inlineStr">
        <is>
          <t>www.qcpolymers.com</t>
        </is>
      </c>
      <c r="R373" s="26" t="n">
        <v>20.0</v>
      </c>
      <c r="S373" s="27" t="inlineStr">
        <is>
          <t/>
        </is>
      </c>
      <c r="T373" s="28" t="inlineStr">
        <is>
          <t/>
        </is>
      </c>
      <c r="U373" s="29" t="n">
        <v>2014.0</v>
      </c>
      <c r="V373" s="30" t="inlineStr">
        <is>
          <t/>
        </is>
      </c>
      <c r="W373" s="31" t="inlineStr">
        <is>
          <t/>
        </is>
      </c>
      <c r="X373" s="32" t="inlineStr">
        <is>
          <t/>
        </is>
      </c>
      <c r="Y373" s="33" t="inlineStr">
        <is>
          <t/>
        </is>
      </c>
      <c r="Z373" s="34" t="inlineStr">
        <is>
          <t/>
        </is>
      </c>
      <c r="AA373" s="35" t="inlineStr">
        <is>
          <t/>
        </is>
      </c>
      <c r="AB373" s="36" t="inlineStr">
        <is>
          <t/>
        </is>
      </c>
      <c r="AC373" s="37" t="inlineStr">
        <is>
          <t/>
        </is>
      </c>
      <c r="AD373" s="38" t="inlineStr">
        <is>
          <t/>
        </is>
      </c>
      <c r="AE373" s="39" t="inlineStr">
        <is>
          <t>87657-58P</t>
        </is>
      </c>
      <c r="AF373" s="40" t="inlineStr">
        <is>
          <t>Huub Meessen</t>
        </is>
      </c>
      <c r="AG373" s="41" t="inlineStr">
        <is>
          <t>Co-Founder &amp; Chief Executive Officer</t>
        </is>
      </c>
      <c r="AH373" s="42" t="inlineStr">
        <is>
          <t>huub.meessen@qcpolymers.com</t>
        </is>
      </c>
      <c r="AI373" s="43" t="inlineStr">
        <is>
          <t>+31 (0)88 600 0500</t>
        </is>
      </c>
      <c r="AJ373" s="44" t="inlineStr">
        <is>
          <t>Geleen, Netherlands</t>
        </is>
      </c>
      <c r="AK373" s="45" t="inlineStr">
        <is>
          <t>Polymeerstraat 1</t>
        </is>
      </c>
      <c r="AL373" s="46" t="inlineStr">
        <is>
          <t/>
        </is>
      </c>
      <c r="AM373" s="47" t="inlineStr">
        <is>
          <t>Geleen</t>
        </is>
      </c>
      <c r="AN373" s="48" t="inlineStr">
        <is>
          <t/>
        </is>
      </c>
      <c r="AO373" s="49" t="inlineStr">
        <is>
          <t>6161 RE</t>
        </is>
      </c>
      <c r="AP373" s="50" t="inlineStr">
        <is>
          <t>Netherlands</t>
        </is>
      </c>
      <c r="AQ373" s="51" t="inlineStr">
        <is>
          <t>+31 (0)88 600 0500</t>
        </is>
      </c>
      <c r="AR373" s="52" t="inlineStr">
        <is>
          <t/>
        </is>
      </c>
      <c r="AS373" s="53" t="inlineStr">
        <is>
          <t>info@qcpolymers.com</t>
        </is>
      </c>
      <c r="AT373" s="54" t="inlineStr">
        <is>
          <t>Europe</t>
        </is>
      </c>
      <c r="AU373" s="55" t="inlineStr">
        <is>
          <t>Western Europe</t>
        </is>
      </c>
      <c r="AV373" s="56" t="inlineStr">
        <is>
          <t>The company raised EUR 75 million of venture funding from SITA UK, LIOF and Chemelot Ventures on December 16, 2014. Limburgs Energie Fonds and other undisclosed investors also participated.</t>
        </is>
      </c>
      <c r="AW373" s="57" t="inlineStr">
        <is>
          <t>Chemelot Ventures, Limburgs Energie Fonds, LIOF, SITA UK</t>
        </is>
      </c>
      <c r="AX373" s="58" t="n">
        <v>4.0</v>
      </c>
      <c r="AY373" s="59" t="inlineStr">
        <is>
          <t/>
        </is>
      </c>
      <c r="AZ373" s="60" t="inlineStr">
        <is>
          <t/>
        </is>
      </c>
      <c r="BA373" s="61" t="inlineStr">
        <is>
          <t/>
        </is>
      </c>
      <c r="BB373" s="62" t="inlineStr">
        <is>
          <t>Chemelot Ventures (www.chemelotventures.com), LIOF (www.liof.nl), SITA UK (www.sita.co.uk)</t>
        </is>
      </c>
      <c r="BC373" s="63" t="inlineStr">
        <is>
          <t/>
        </is>
      </c>
      <c r="BD373" s="64" t="inlineStr">
        <is>
          <t/>
        </is>
      </c>
      <c r="BE373" s="65" t="inlineStr">
        <is>
          <t/>
        </is>
      </c>
      <c r="BF373" s="66" t="inlineStr">
        <is>
          <t/>
        </is>
      </c>
      <c r="BG373" s="67" t="n">
        <v>41989.0</v>
      </c>
      <c r="BH373" s="68" t="n">
        <v>75.0</v>
      </c>
      <c r="BI373" s="69" t="inlineStr">
        <is>
          <t>Actual</t>
        </is>
      </c>
      <c r="BJ373" s="70" t="inlineStr">
        <is>
          <t/>
        </is>
      </c>
      <c r="BK373" s="71" t="inlineStr">
        <is>
          <t/>
        </is>
      </c>
      <c r="BL373" s="72" t="inlineStr">
        <is>
          <t>Early Stage VC</t>
        </is>
      </c>
      <c r="BM373" s="73" t="inlineStr">
        <is>
          <t/>
        </is>
      </c>
      <c r="BN373" s="74" t="inlineStr">
        <is>
          <t/>
        </is>
      </c>
      <c r="BO373" s="75" t="inlineStr">
        <is>
          <t>Venture Capital</t>
        </is>
      </c>
      <c r="BP373" s="76" t="inlineStr">
        <is>
          <t/>
        </is>
      </c>
      <c r="BQ373" s="77" t="inlineStr">
        <is>
          <t/>
        </is>
      </c>
      <c r="BR373" s="78" t="inlineStr">
        <is>
          <t/>
        </is>
      </c>
      <c r="BS373" s="79" t="inlineStr">
        <is>
          <t>Completed</t>
        </is>
      </c>
      <c r="BT373" s="80" t="n">
        <v>41989.0</v>
      </c>
      <c r="BU373" s="81" t="n">
        <v>75.0</v>
      </c>
      <c r="BV373" s="82" t="inlineStr">
        <is>
          <t>Actual</t>
        </is>
      </c>
      <c r="BW373" s="83" t="inlineStr">
        <is>
          <t/>
        </is>
      </c>
      <c r="BX373" s="84" t="inlineStr">
        <is>
          <t/>
        </is>
      </c>
      <c r="BY373" s="85" t="inlineStr">
        <is>
          <t>Early Stage VC</t>
        </is>
      </c>
      <c r="BZ373" s="86" t="inlineStr">
        <is>
          <t/>
        </is>
      </c>
      <c r="CA373" s="87" t="inlineStr">
        <is>
          <t/>
        </is>
      </c>
      <c r="CB373" s="88" t="inlineStr">
        <is>
          <t>Venture Capital</t>
        </is>
      </c>
      <c r="CC373" s="89" t="inlineStr">
        <is>
          <t/>
        </is>
      </c>
      <c r="CD373" s="90" t="inlineStr">
        <is>
          <t/>
        </is>
      </c>
      <c r="CE373" s="91" t="inlineStr">
        <is>
          <t/>
        </is>
      </c>
      <c r="CF373" s="92" t="inlineStr">
        <is>
          <t>Completed</t>
        </is>
      </c>
      <c r="CG373" s="93" t="inlineStr">
        <is>
          <t>0,00%</t>
        </is>
      </c>
      <c r="CH373" s="94" t="inlineStr">
        <is>
          <t>23</t>
        </is>
      </c>
      <c r="CI373" s="95" t="inlineStr">
        <is>
          <t>0,00%</t>
        </is>
      </c>
      <c r="CJ373" s="96" t="inlineStr">
        <is>
          <t>0,00%</t>
        </is>
      </c>
      <c r="CK373" s="97" t="inlineStr">
        <is>
          <t>0,00%</t>
        </is>
      </c>
      <c r="CL373" s="98" t="inlineStr">
        <is>
          <t>18</t>
        </is>
      </c>
      <c r="CM373" s="99" t="inlineStr">
        <is>
          <t/>
        </is>
      </c>
      <c r="CN373" s="100" t="inlineStr">
        <is>
          <t/>
        </is>
      </c>
      <c r="CO373" s="101" t="inlineStr">
        <is>
          <t>0,00%</t>
        </is>
      </c>
      <c r="CP373" s="102" t="inlineStr">
        <is>
          <t>26</t>
        </is>
      </c>
      <c r="CQ373" s="103" t="inlineStr">
        <is>
          <t/>
        </is>
      </c>
      <c r="CR373" s="104" t="inlineStr">
        <is>
          <t/>
        </is>
      </c>
      <c r="CS373" s="105" t="inlineStr">
        <is>
          <t/>
        </is>
      </c>
      <c r="CT373" s="106" t="inlineStr">
        <is>
          <t/>
        </is>
      </c>
      <c r="CU373" s="107" t="inlineStr">
        <is>
          <t/>
        </is>
      </c>
      <c r="CV373" s="108" t="inlineStr">
        <is>
          <t/>
        </is>
      </c>
      <c r="CW373" s="109" t="inlineStr">
        <is>
          <t>0,22x</t>
        </is>
      </c>
      <c r="CX373" s="110" t="inlineStr">
        <is>
          <t>18</t>
        </is>
      </c>
      <c r="CY373" s="111" t="inlineStr">
        <is>
          <t>0,00x</t>
        </is>
      </c>
      <c r="CZ373" s="112" t="inlineStr">
        <is>
          <t>0,00%</t>
        </is>
      </c>
      <c r="DA373" s="113" t="inlineStr">
        <is>
          <t>0,22x</t>
        </is>
      </c>
      <c r="DB373" s="114" t="inlineStr">
        <is>
          <t>21</t>
        </is>
      </c>
      <c r="DC373" s="115" t="inlineStr">
        <is>
          <t/>
        </is>
      </c>
      <c r="DD373" s="116" t="inlineStr">
        <is>
          <t/>
        </is>
      </c>
      <c r="DE373" s="117" t="inlineStr">
        <is>
          <t>0,22x</t>
        </is>
      </c>
      <c r="DF373" s="118" t="inlineStr">
        <is>
          <t>20</t>
        </is>
      </c>
      <c r="DG373" s="119" t="inlineStr">
        <is>
          <t/>
        </is>
      </c>
      <c r="DH373" s="120" t="inlineStr">
        <is>
          <t/>
        </is>
      </c>
      <c r="DI373" s="121" t="inlineStr">
        <is>
          <t/>
        </is>
      </c>
      <c r="DJ373" s="122" t="inlineStr">
        <is>
          <t/>
        </is>
      </c>
      <c r="DK373" s="123" t="inlineStr">
        <is>
          <t/>
        </is>
      </c>
      <c r="DL373" s="124" t="inlineStr">
        <is>
          <t/>
        </is>
      </c>
      <c r="DM373" s="125" t="inlineStr">
        <is>
          <t>155</t>
        </is>
      </c>
      <c r="DN373" s="126" t="inlineStr">
        <is>
          <t>-53</t>
        </is>
      </c>
      <c r="DO373" s="127" t="inlineStr">
        <is>
          <t>-25,48%</t>
        </is>
      </c>
      <c r="DP373" s="128" t="inlineStr">
        <is>
          <t/>
        </is>
      </c>
      <c r="DQ373" s="129" t="inlineStr">
        <is>
          <t/>
        </is>
      </c>
      <c r="DR373" s="130" t="inlineStr">
        <is>
          <t/>
        </is>
      </c>
      <c r="DS373" s="131" t="inlineStr">
        <is>
          <t/>
        </is>
      </c>
      <c r="DT373" s="132" t="inlineStr">
        <is>
          <t/>
        </is>
      </c>
      <c r="DU373" s="133" t="inlineStr">
        <is>
          <t/>
        </is>
      </c>
      <c r="DV373" s="134" t="inlineStr">
        <is>
          <t/>
        </is>
      </c>
      <c r="DW373" s="135" t="inlineStr">
        <is>
          <t/>
        </is>
      </c>
      <c r="DX373" s="136" t="inlineStr">
        <is>
          <t/>
        </is>
      </c>
      <c r="DY373" s="137" t="inlineStr">
        <is>
          <t>PitchBook Research</t>
        </is>
      </c>
      <c r="DZ373" s="785">
        <f>HYPERLINK("https://my.pitchbook.com?c=100478-62", "View company online")</f>
      </c>
    </row>
    <row r="374">
      <c r="A374" s="139" t="inlineStr">
        <is>
          <t>124049-98</t>
        </is>
      </c>
      <c r="B374" s="140" t="inlineStr">
        <is>
          <t>Quiqup</t>
        </is>
      </c>
      <c r="C374" s="141" t="inlineStr">
        <is>
          <t/>
        </is>
      </c>
      <c r="D374" s="142" t="inlineStr">
        <is>
          <t/>
        </is>
      </c>
      <c r="E374" s="143" t="inlineStr">
        <is>
          <t>124049-98</t>
        </is>
      </c>
      <c r="F374" s="144" t="inlineStr">
        <is>
          <t>Provider of an on-demand logistics platform designed to offer an online delivery infrastructure. The company's on-demand logistics platform offers an application program interface that integrates its delivery into retailers' own e-commerce platforms, enabling consumers to place orders directly from the retailers' website.</t>
        </is>
      </c>
      <c r="G374" s="145" t="inlineStr">
        <is>
          <t>Information Technology</t>
        </is>
      </c>
      <c r="H374" s="146" t="inlineStr">
        <is>
          <t>Software</t>
        </is>
      </c>
      <c r="I374" s="147" t="inlineStr">
        <is>
          <t>Application Software</t>
        </is>
      </c>
      <c r="J374" s="148" t="inlineStr">
        <is>
          <t>Application Software*; Logistics</t>
        </is>
      </c>
      <c r="K374" s="149" t="inlineStr">
        <is>
          <t>Mobile</t>
        </is>
      </c>
      <c r="L374" s="150" t="inlineStr">
        <is>
          <t>Venture Capital-Backed</t>
        </is>
      </c>
      <c r="M374" s="151" t="n">
        <v>23.41</v>
      </c>
      <c r="N374" s="152" t="inlineStr">
        <is>
          <t>Generating Revenue</t>
        </is>
      </c>
      <c r="O374" s="153" t="inlineStr">
        <is>
          <t>Privately Held (backing)</t>
        </is>
      </c>
      <c r="P374" s="154" t="inlineStr">
        <is>
          <t>Venture Capital</t>
        </is>
      </c>
      <c r="Q374" s="155" t="inlineStr">
        <is>
          <t>www.quiqup.com</t>
        </is>
      </c>
      <c r="R374" s="156" t="n">
        <v>110.0</v>
      </c>
      <c r="S374" s="157" t="inlineStr">
        <is>
          <t/>
        </is>
      </c>
      <c r="T374" s="158" t="inlineStr">
        <is>
          <t/>
        </is>
      </c>
      <c r="U374" s="159" t="n">
        <v>2014.0</v>
      </c>
      <c r="V374" s="160" t="inlineStr">
        <is>
          <t/>
        </is>
      </c>
      <c r="W374" s="161" t="inlineStr">
        <is>
          <t/>
        </is>
      </c>
      <c r="X374" s="162" t="inlineStr">
        <is>
          <t/>
        </is>
      </c>
      <c r="Y374" s="163" t="inlineStr">
        <is>
          <t/>
        </is>
      </c>
      <c r="Z374" s="164" t="inlineStr">
        <is>
          <t/>
        </is>
      </c>
      <c r="AA374" s="165" t="inlineStr">
        <is>
          <t/>
        </is>
      </c>
      <c r="AB374" s="166" t="inlineStr">
        <is>
          <t/>
        </is>
      </c>
      <c r="AC374" s="167" t="inlineStr">
        <is>
          <t/>
        </is>
      </c>
      <c r="AD374" s="168" t="inlineStr">
        <is>
          <t/>
        </is>
      </c>
      <c r="AE374" s="169" t="inlineStr">
        <is>
          <t>113915-53P</t>
        </is>
      </c>
      <c r="AF374" s="170" t="inlineStr">
        <is>
          <t>Danny Hawkins</t>
        </is>
      </c>
      <c r="AG374" s="171" t="inlineStr">
        <is>
          <t>Co-Founder, Board Member &amp; Chief Technology Officer, Technology</t>
        </is>
      </c>
      <c r="AH374" s="172" t="inlineStr">
        <is>
          <t>danny@quiqup.com</t>
        </is>
      </c>
      <c r="AI374" s="173" t="inlineStr">
        <is>
          <t>+44 (0)20 3308 9943</t>
        </is>
      </c>
      <c r="AJ374" s="174" t="inlineStr">
        <is>
          <t>London, United Kingdom</t>
        </is>
      </c>
      <c r="AK374" s="175" t="inlineStr">
        <is>
          <t>Unit 0.2, Chandelier Building</t>
        </is>
      </c>
      <c r="AL374" s="176" t="inlineStr">
        <is>
          <t>8 Scrubs Lane</t>
        </is>
      </c>
      <c r="AM374" s="177" t="inlineStr">
        <is>
          <t>London</t>
        </is>
      </c>
      <c r="AN374" s="178" t="inlineStr">
        <is>
          <t>England</t>
        </is>
      </c>
      <c r="AO374" s="179" t="inlineStr">
        <is>
          <t>NW10 6RB</t>
        </is>
      </c>
      <c r="AP374" s="180" t="inlineStr">
        <is>
          <t>United Kingdom</t>
        </is>
      </c>
      <c r="AQ374" s="181" t="inlineStr">
        <is>
          <t>+44 (0)20 3308 9943</t>
        </is>
      </c>
      <c r="AR374" s="182" t="inlineStr">
        <is>
          <t/>
        </is>
      </c>
      <c r="AS374" s="183" t="inlineStr">
        <is>
          <t/>
        </is>
      </c>
      <c r="AT374" s="184" t="inlineStr">
        <is>
          <t>Europe</t>
        </is>
      </c>
      <c r="AU374" s="185" t="inlineStr">
        <is>
          <t>Western Europe</t>
        </is>
      </c>
      <c r="AV374" s="186" t="inlineStr">
        <is>
          <t>The company raised GBP 20 million of Series B in a deal led by Jobi Capital on May 23, 2017. Transmed, Rocket Internet, Global Founders Capital and Delivery Hero Holding also participated. The company plans to use the new capital to expand to other U.K. cities beyond London, grow its app, expand its B2B business and to start international expansion.</t>
        </is>
      </c>
      <c r="AW374" s="187" t="inlineStr">
        <is>
          <t>Delivery Hero Holding, Global Founders Capital, Jobi Capital, Rocket Internet, Transmed</t>
        </is>
      </c>
      <c r="AX374" s="188" t="n">
        <v>5.0</v>
      </c>
      <c r="AY374" s="189" t="inlineStr">
        <is>
          <t/>
        </is>
      </c>
      <c r="AZ374" s="190" t="inlineStr">
        <is>
          <t/>
        </is>
      </c>
      <c r="BA374" s="191" t="inlineStr">
        <is>
          <t/>
        </is>
      </c>
      <c r="BB374" s="192" t="inlineStr">
        <is>
          <t>Delivery Hero Holding (www.deliveryhero.com), Global Founders Capital (www.globalfounders.vc), Jobi Capital (www.jobicap.com), Rocket Internet (www.rocket-internet.com)</t>
        </is>
      </c>
      <c r="BC374" s="193" t="inlineStr">
        <is>
          <t/>
        </is>
      </c>
      <c r="BD374" s="194" t="inlineStr">
        <is>
          <t/>
        </is>
      </c>
      <c r="BE374" s="195" t="inlineStr">
        <is>
          <t>Fieldfisher (Legal Advisor)</t>
        </is>
      </c>
      <c r="BF374" s="196" t="inlineStr">
        <is>
          <t/>
        </is>
      </c>
      <c r="BG374" s="197" t="n">
        <v>42262.0</v>
      </c>
      <c r="BH374" s="198" t="inlineStr">
        <is>
          <t/>
        </is>
      </c>
      <c r="BI374" s="199" t="inlineStr">
        <is>
          <t/>
        </is>
      </c>
      <c r="BJ374" s="200" t="inlineStr">
        <is>
          <t/>
        </is>
      </c>
      <c r="BK374" s="201" t="inlineStr">
        <is>
          <t/>
        </is>
      </c>
      <c r="BL374" s="202" t="inlineStr">
        <is>
          <t>Early Stage VC</t>
        </is>
      </c>
      <c r="BM374" s="203" t="inlineStr">
        <is>
          <t>Series A</t>
        </is>
      </c>
      <c r="BN374" s="204" t="inlineStr">
        <is>
          <t/>
        </is>
      </c>
      <c r="BO374" s="205" t="inlineStr">
        <is>
          <t>Venture Capital</t>
        </is>
      </c>
      <c r="BP374" s="206" t="inlineStr">
        <is>
          <t/>
        </is>
      </c>
      <c r="BQ374" s="207" t="inlineStr">
        <is>
          <t/>
        </is>
      </c>
      <c r="BR374" s="208" t="inlineStr">
        <is>
          <t/>
        </is>
      </c>
      <c r="BS374" s="209" t="inlineStr">
        <is>
          <t>Completed</t>
        </is>
      </c>
      <c r="BT374" s="210" t="n">
        <v>42878.0</v>
      </c>
      <c r="BU374" s="211" t="n">
        <v>23.41</v>
      </c>
      <c r="BV374" s="212" t="inlineStr">
        <is>
          <t>Actual</t>
        </is>
      </c>
      <c r="BW374" s="213" t="inlineStr">
        <is>
          <t/>
        </is>
      </c>
      <c r="BX374" s="214" t="inlineStr">
        <is>
          <t/>
        </is>
      </c>
      <c r="BY374" s="215" t="inlineStr">
        <is>
          <t>Early Stage VC</t>
        </is>
      </c>
      <c r="BZ374" s="216" t="inlineStr">
        <is>
          <t>Series B</t>
        </is>
      </c>
      <c r="CA374" s="217" t="inlineStr">
        <is>
          <t/>
        </is>
      </c>
      <c r="CB374" s="218" t="inlineStr">
        <is>
          <t>Venture Capital</t>
        </is>
      </c>
      <c r="CC374" s="219" t="inlineStr">
        <is>
          <t/>
        </is>
      </c>
      <c r="CD374" s="220" t="inlineStr">
        <is>
          <t/>
        </is>
      </c>
      <c r="CE374" s="221" t="inlineStr">
        <is>
          <t/>
        </is>
      </c>
      <c r="CF374" s="222" t="inlineStr">
        <is>
          <t>Completed</t>
        </is>
      </c>
      <c r="CG374" s="223" t="inlineStr">
        <is>
          <t>-0,20%</t>
        </is>
      </c>
      <c r="CH374" s="224" t="inlineStr">
        <is>
          <t>12</t>
        </is>
      </c>
      <c r="CI374" s="225" t="inlineStr">
        <is>
          <t>-0,03%</t>
        </is>
      </c>
      <c r="CJ374" s="226" t="inlineStr">
        <is>
          <t>-20,44%</t>
        </is>
      </c>
      <c r="CK374" s="227" t="inlineStr">
        <is>
          <t>-0,61%</t>
        </is>
      </c>
      <c r="CL374" s="228" t="inlineStr">
        <is>
          <t>11</t>
        </is>
      </c>
      <c r="CM374" s="229" t="inlineStr">
        <is>
          <t>0,21%</t>
        </is>
      </c>
      <c r="CN374" s="230" t="inlineStr">
        <is>
          <t>74</t>
        </is>
      </c>
      <c r="CO374" s="231" t="inlineStr">
        <is>
          <t>-1,50%</t>
        </is>
      </c>
      <c r="CP374" s="232" t="inlineStr">
        <is>
          <t>18</t>
        </is>
      </c>
      <c r="CQ374" s="233" t="inlineStr">
        <is>
          <t>0,28%</t>
        </is>
      </c>
      <c r="CR374" s="234" t="inlineStr">
        <is>
          <t>85</t>
        </is>
      </c>
      <c r="CS374" s="235" t="inlineStr">
        <is>
          <t>0,18%</t>
        </is>
      </c>
      <c r="CT374" s="236" t="inlineStr">
        <is>
          <t>68</t>
        </is>
      </c>
      <c r="CU374" s="237" t="inlineStr">
        <is>
          <t>0,24%</t>
        </is>
      </c>
      <c r="CV374" s="238" t="inlineStr">
        <is>
          <t>81</t>
        </is>
      </c>
      <c r="CW374" s="239" t="inlineStr">
        <is>
          <t>14,60x</t>
        </is>
      </c>
      <c r="CX374" s="240" t="inlineStr">
        <is>
          <t>90</t>
        </is>
      </c>
      <c r="CY374" s="241" t="inlineStr">
        <is>
          <t>0,17x</t>
        </is>
      </c>
      <c r="CZ374" s="242" t="inlineStr">
        <is>
          <t>1,17%</t>
        </is>
      </c>
      <c r="DA374" s="243" t="inlineStr">
        <is>
          <t>18,37x</t>
        </is>
      </c>
      <c r="DB374" s="244" t="inlineStr">
        <is>
          <t>92</t>
        </is>
      </c>
      <c r="DC374" s="245" t="inlineStr">
        <is>
          <t>10,83x</t>
        </is>
      </c>
      <c r="DD374" s="246" t="inlineStr">
        <is>
          <t>85</t>
        </is>
      </c>
      <c r="DE374" s="247" t="inlineStr">
        <is>
          <t>31,57x</t>
        </is>
      </c>
      <c r="DF374" s="248" t="inlineStr">
        <is>
          <t>91</t>
        </is>
      </c>
      <c r="DG374" s="249" t="inlineStr">
        <is>
          <t>5,17x</t>
        </is>
      </c>
      <c r="DH374" s="250" t="inlineStr">
        <is>
          <t>79</t>
        </is>
      </c>
      <c r="DI374" s="251" t="inlineStr">
        <is>
          <t>12,57x</t>
        </is>
      </c>
      <c r="DJ374" s="252" t="inlineStr">
        <is>
          <t>84</t>
        </is>
      </c>
      <c r="DK374" s="253" t="inlineStr">
        <is>
          <t>9,09x</t>
        </is>
      </c>
      <c r="DL374" s="254" t="inlineStr">
        <is>
          <t>85</t>
        </is>
      </c>
      <c r="DM374" s="255" t="inlineStr">
        <is>
          <t>19.413</t>
        </is>
      </c>
      <c r="DN374" s="256" t="inlineStr">
        <is>
          <t>15</t>
        </is>
      </c>
      <c r="DO374" s="257" t="inlineStr">
        <is>
          <t>0,08%</t>
        </is>
      </c>
      <c r="DP374" s="258" t="inlineStr">
        <is>
          <t>10.039</t>
        </is>
      </c>
      <c r="DQ374" s="259" t="inlineStr">
        <is>
          <t>14</t>
        </is>
      </c>
      <c r="DR374" s="260" t="inlineStr">
        <is>
          <t>0,14%</t>
        </is>
      </c>
      <c r="DS374" s="261" t="inlineStr">
        <is>
          <t>185</t>
        </is>
      </c>
      <c r="DT374" s="262" t="inlineStr">
        <is>
          <t>1</t>
        </is>
      </c>
      <c r="DU374" s="263" t="inlineStr">
        <is>
          <t>0,54%</t>
        </is>
      </c>
      <c r="DV374" s="264" t="inlineStr">
        <is>
          <t>3.115</t>
        </is>
      </c>
      <c r="DW374" s="265" t="inlineStr">
        <is>
          <t>26</t>
        </is>
      </c>
      <c r="DX374" s="266" t="inlineStr">
        <is>
          <t>0,84%</t>
        </is>
      </c>
      <c r="DY374" s="267" t="inlineStr">
        <is>
          <t>PitchBook Research</t>
        </is>
      </c>
      <c r="DZ374" s="786">
        <f>HYPERLINK("https://my.pitchbook.com?c=124049-98", "View company online")</f>
      </c>
    </row>
    <row r="375">
      <c r="A375" s="9" t="inlineStr">
        <is>
          <t>63910-54</t>
        </is>
      </c>
      <c r="B375" s="10" t="inlineStr">
        <is>
          <t>Raisin</t>
        </is>
      </c>
      <c r="C375" s="11" t="inlineStr">
        <is>
          <t>SavingGlobal, WS Finanz, WeltSparen</t>
        </is>
      </c>
      <c r="D375" s="12" t="inlineStr">
        <is>
          <t/>
        </is>
      </c>
      <c r="E375" s="13" t="inlineStr">
        <is>
          <t>63910-54</t>
        </is>
      </c>
      <c r="F375" s="14" t="inlineStr">
        <is>
          <t>Operator of a deposit marketplace intended to provide access to the best interest rates from across Europe. The company's platform allows users to access term deposits safely and securely online, with deposits guaranteed and seamlessly transfer funds to company's network of partner banks across Europe, enabling users to register once and manage all their deposits through a single platform.</t>
        </is>
      </c>
      <c r="G375" s="15" t="inlineStr">
        <is>
          <t>Information Technology</t>
        </is>
      </c>
      <c r="H375" s="16" t="inlineStr">
        <is>
          <t>Software</t>
        </is>
      </c>
      <c r="I375" s="17" t="inlineStr">
        <is>
          <t>Financial Software</t>
        </is>
      </c>
      <c r="J375" s="18" t="inlineStr">
        <is>
          <t>Financial Software*; Other Financial Services; Social/Platform Software</t>
        </is>
      </c>
      <c r="K375" s="19" t="inlineStr">
        <is>
          <t>FinTech, SaaS</t>
        </is>
      </c>
      <c r="L375" s="20" t="inlineStr">
        <is>
          <t>Venture Capital-Backed</t>
        </is>
      </c>
      <c r="M375" s="21" t="n">
        <v>60.0</v>
      </c>
      <c r="N375" s="22" t="inlineStr">
        <is>
          <t>Generating Revenue</t>
        </is>
      </c>
      <c r="O375" s="23" t="inlineStr">
        <is>
          <t>Privately Held (backing)</t>
        </is>
      </c>
      <c r="P375" s="24" t="inlineStr">
        <is>
          <t>Venture Capital</t>
        </is>
      </c>
      <c r="Q375" s="25" t="inlineStr">
        <is>
          <t>www.raisin.com</t>
        </is>
      </c>
      <c r="R375" s="26" t="n">
        <v>39.0</v>
      </c>
      <c r="S375" s="27" t="inlineStr">
        <is>
          <t/>
        </is>
      </c>
      <c r="T375" s="28" t="inlineStr">
        <is>
          <t/>
        </is>
      </c>
      <c r="U375" s="29" t="n">
        <v>2013.0</v>
      </c>
      <c r="V375" s="30" t="inlineStr">
        <is>
          <t/>
        </is>
      </c>
      <c r="W375" s="31" t="inlineStr">
        <is>
          <t/>
        </is>
      </c>
      <c r="X375" s="32" t="inlineStr">
        <is>
          <t/>
        </is>
      </c>
      <c r="Y375" s="33" t="inlineStr">
        <is>
          <t/>
        </is>
      </c>
      <c r="Z375" s="34" t="inlineStr">
        <is>
          <t/>
        </is>
      </c>
      <c r="AA375" s="35" t="inlineStr">
        <is>
          <t/>
        </is>
      </c>
      <c r="AB375" s="36" t="inlineStr">
        <is>
          <t/>
        </is>
      </c>
      <c r="AC375" s="37" t="inlineStr">
        <is>
          <t/>
        </is>
      </c>
      <c r="AD375" s="38" t="inlineStr">
        <is>
          <t/>
        </is>
      </c>
      <c r="AE375" s="39" t="inlineStr">
        <is>
          <t>69730-57P</t>
        </is>
      </c>
      <c r="AF375" s="40" t="inlineStr">
        <is>
          <t>Frank Freund</t>
        </is>
      </c>
      <c r="AG375" s="41" t="inlineStr">
        <is>
          <t>Chief Financial Officer &amp; Founder</t>
        </is>
      </c>
      <c r="AH375" s="42" t="inlineStr">
        <is>
          <t>frank.freund@raisin.com</t>
        </is>
      </c>
      <c r="AI375" s="43" t="inlineStr">
        <is>
          <t>+49 (0)30 7701 9129 5</t>
        </is>
      </c>
      <c r="AJ375" s="44" t="inlineStr">
        <is>
          <t>Berlin, Germany</t>
        </is>
      </c>
      <c r="AK375" s="45" t="inlineStr">
        <is>
          <t>P.O. Box 130151</t>
        </is>
      </c>
      <c r="AL375" s="46" t="inlineStr">
        <is>
          <t/>
        </is>
      </c>
      <c r="AM375" s="47" t="inlineStr">
        <is>
          <t>Berlin</t>
        </is>
      </c>
      <c r="AN375" s="48" t="inlineStr">
        <is>
          <t/>
        </is>
      </c>
      <c r="AO375" s="49" t="inlineStr">
        <is>
          <t>13601</t>
        </is>
      </c>
      <c r="AP375" s="50" t="inlineStr">
        <is>
          <t>Germany</t>
        </is>
      </c>
      <c r="AQ375" s="51" t="inlineStr">
        <is>
          <t>+49 (0)30 7701 9129 5</t>
        </is>
      </c>
      <c r="AR375" s="52" t="inlineStr">
        <is>
          <t/>
        </is>
      </c>
      <c r="AS375" s="53" t="inlineStr">
        <is>
          <t>service@raisin.com</t>
        </is>
      </c>
      <c r="AT375" s="54" t="inlineStr">
        <is>
          <t>Europe</t>
        </is>
      </c>
      <c r="AU375" s="55" t="inlineStr">
        <is>
          <t>Western Europe</t>
        </is>
      </c>
      <c r="AV375" s="56" t="inlineStr">
        <is>
          <t>The company raised EUR 30 million of Series C venture funding in deal led by Thrive Capital on June 9, 2017. Ribbit Capital, Binomial Ventures and Index Ventures also participated in the round. The funds will be used to continue international expansion, launch new localized versions of the service in markets such as Italy and to launch new simple investment products.</t>
        </is>
      </c>
      <c r="AW375" s="57" t="inlineStr">
        <is>
          <t>Avala Capital, Binomial Ventures, btov Partners, Cavalry Ventures, DN Capital, Index Ventures (UK), Raffay, Ribbit Capital, Thrive Capital, Tom Stafford, Yuri Milner</t>
        </is>
      </c>
      <c r="AX375" s="58" t="n">
        <v>11.0</v>
      </c>
      <c r="AY375" s="59" t="inlineStr">
        <is>
          <t/>
        </is>
      </c>
      <c r="AZ375" s="60" t="inlineStr">
        <is>
          <t/>
        </is>
      </c>
      <c r="BA375" s="61" t="inlineStr">
        <is>
          <t/>
        </is>
      </c>
      <c r="BB375" s="62" t="inlineStr">
        <is>
          <t>Avala Capital (www.avalacapital.com), Binomial Ventures (www.binomial.vc), btov Partners (www.btov.vc), Cavalry Ventures (www.cavalry.vc), DN Capital (www.dncapital.com), Index Ventures (UK) (www.indexventures.com), Raffay (www.raffay.com), Ribbit Capital (www.ribbitcap.com), Thrive Capital (www.thrivecap.com)</t>
        </is>
      </c>
      <c r="BC375" s="63" t="inlineStr">
        <is>
          <t/>
        </is>
      </c>
      <c r="BD375" s="64" t="inlineStr">
        <is>
          <t/>
        </is>
      </c>
      <c r="BE375" s="65" t="inlineStr">
        <is>
          <t/>
        </is>
      </c>
      <c r="BF375" s="66" t="inlineStr">
        <is>
          <t/>
        </is>
      </c>
      <c r="BG375" s="67" t="inlineStr">
        <is>
          <t/>
        </is>
      </c>
      <c r="BH375" s="68" t="n">
        <v>2.5</v>
      </c>
      <c r="BI375" s="69" t="inlineStr">
        <is>
          <t>Actual</t>
        </is>
      </c>
      <c r="BJ375" s="70" t="inlineStr">
        <is>
          <t/>
        </is>
      </c>
      <c r="BK375" s="71" t="inlineStr">
        <is>
          <t/>
        </is>
      </c>
      <c r="BL375" s="72" t="inlineStr">
        <is>
          <t>Angel (individual)</t>
        </is>
      </c>
      <c r="BM375" s="73" t="inlineStr">
        <is>
          <t>Angel</t>
        </is>
      </c>
      <c r="BN375" s="74" t="inlineStr">
        <is>
          <t/>
        </is>
      </c>
      <c r="BO375" s="75" t="inlineStr">
        <is>
          <t>Individual</t>
        </is>
      </c>
      <c r="BP375" s="76" t="inlineStr">
        <is>
          <t/>
        </is>
      </c>
      <c r="BQ375" s="77" t="inlineStr">
        <is>
          <t/>
        </is>
      </c>
      <c r="BR375" s="78" t="inlineStr">
        <is>
          <t/>
        </is>
      </c>
      <c r="BS375" s="79" t="inlineStr">
        <is>
          <t>Completed</t>
        </is>
      </c>
      <c r="BT375" s="80" t="n">
        <v>42895.0</v>
      </c>
      <c r="BU375" s="81" t="n">
        <v>30.0</v>
      </c>
      <c r="BV375" s="82" t="inlineStr">
        <is>
          <t>Actual</t>
        </is>
      </c>
      <c r="BW375" s="83" t="inlineStr">
        <is>
          <t/>
        </is>
      </c>
      <c r="BX375" s="84" t="inlineStr">
        <is>
          <t/>
        </is>
      </c>
      <c r="BY375" s="85" t="inlineStr">
        <is>
          <t>Later Stage VC</t>
        </is>
      </c>
      <c r="BZ375" s="86" t="inlineStr">
        <is>
          <t>Series C</t>
        </is>
      </c>
      <c r="CA375" s="87" t="inlineStr">
        <is>
          <t/>
        </is>
      </c>
      <c r="CB375" s="88" t="inlineStr">
        <is>
          <t>Venture Capital</t>
        </is>
      </c>
      <c r="CC375" s="89" t="inlineStr">
        <is>
          <t/>
        </is>
      </c>
      <c r="CD375" s="90" t="inlineStr">
        <is>
          <t/>
        </is>
      </c>
      <c r="CE375" s="91" t="inlineStr">
        <is>
          <t/>
        </is>
      </c>
      <c r="CF375" s="92" t="inlineStr">
        <is>
          <t>Completed</t>
        </is>
      </c>
      <c r="CG375" s="93" t="inlineStr">
        <is>
          <t>1,25%</t>
        </is>
      </c>
      <c r="CH375" s="94" t="inlineStr">
        <is>
          <t>90</t>
        </is>
      </c>
      <c r="CI375" s="95" t="inlineStr">
        <is>
          <t>0,00%</t>
        </is>
      </c>
      <c r="CJ375" s="96" t="inlineStr">
        <is>
          <t>-0,03%</t>
        </is>
      </c>
      <c r="CK375" s="97" t="inlineStr">
        <is>
          <t>1,98%</t>
        </is>
      </c>
      <c r="CL375" s="98" t="inlineStr">
        <is>
          <t>91</t>
        </is>
      </c>
      <c r="CM375" s="99" t="inlineStr">
        <is>
          <t>0,51%</t>
        </is>
      </c>
      <c r="CN375" s="100" t="inlineStr">
        <is>
          <t>90</t>
        </is>
      </c>
      <c r="CO375" s="101" t="inlineStr">
        <is>
          <t>1,98%</t>
        </is>
      </c>
      <c r="CP375" s="102" t="inlineStr">
        <is>
          <t>89</t>
        </is>
      </c>
      <c r="CQ375" s="103" t="inlineStr">
        <is>
          <t/>
        </is>
      </c>
      <c r="CR375" s="104" t="inlineStr">
        <is>
          <t/>
        </is>
      </c>
      <c r="CS375" s="105" t="inlineStr">
        <is>
          <t/>
        </is>
      </c>
      <c r="CT375" s="106" t="inlineStr">
        <is>
          <t/>
        </is>
      </c>
      <c r="CU375" s="107" t="inlineStr">
        <is>
          <t>0,51%</t>
        </is>
      </c>
      <c r="CV375" s="108" t="inlineStr">
        <is>
          <t>92</t>
        </is>
      </c>
      <c r="CW375" s="109" t="inlineStr">
        <is>
          <t>4,73x</t>
        </is>
      </c>
      <c r="CX375" s="110" t="inlineStr">
        <is>
          <t>78</t>
        </is>
      </c>
      <c r="CY375" s="111" t="inlineStr">
        <is>
          <t>0,03x</t>
        </is>
      </c>
      <c r="CZ375" s="112" t="inlineStr">
        <is>
          <t>0,61%</t>
        </is>
      </c>
      <c r="DA375" s="113" t="inlineStr">
        <is>
          <t>7,17x</t>
        </is>
      </c>
      <c r="DB375" s="114" t="inlineStr">
        <is>
          <t>84</t>
        </is>
      </c>
      <c r="DC375" s="115" t="inlineStr">
        <is>
          <t>2,29x</t>
        </is>
      </c>
      <c r="DD375" s="116" t="inlineStr">
        <is>
          <t>64</t>
        </is>
      </c>
      <c r="DE375" s="117" t="inlineStr">
        <is>
          <t>7,17x</t>
        </is>
      </c>
      <c r="DF375" s="118" t="inlineStr">
        <is>
          <t>80</t>
        </is>
      </c>
      <c r="DG375" s="119" t="inlineStr">
        <is>
          <t/>
        </is>
      </c>
      <c r="DH375" s="120" t="inlineStr">
        <is>
          <t/>
        </is>
      </c>
      <c r="DI375" s="121" t="inlineStr">
        <is>
          <t/>
        </is>
      </c>
      <c r="DJ375" s="122" t="inlineStr">
        <is>
          <t/>
        </is>
      </c>
      <c r="DK375" s="123" t="inlineStr">
        <is>
          <t>2,29x</t>
        </is>
      </c>
      <c r="DL375" s="124" t="inlineStr">
        <is>
          <t>65</t>
        </is>
      </c>
      <c r="DM375" s="125" t="inlineStr">
        <is>
          <t>4.513</t>
        </is>
      </c>
      <c r="DN375" s="126" t="inlineStr">
        <is>
          <t>-319</t>
        </is>
      </c>
      <c r="DO375" s="127" t="inlineStr">
        <is>
          <t>-6,60%</t>
        </is>
      </c>
      <c r="DP375" s="128" t="inlineStr">
        <is>
          <t/>
        </is>
      </c>
      <c r="DQ375" s="129" t="inlineStr">
        <is>
          <t/>
        </is>
      </c>
      <c r="DR375" s="130" t="inlineStr">
        <is>
          <t/>
        </is>
      </c>
      <c r="DS375" s="131" t="inlineStr">
        <is>
          <t/>
        </is>
      </c>
      <c r="DT375" s="132" t="inlineStr">
        <is>
          <t/>
        </is>
      </c>
      <c r="DU375" s="133" t="inlineStr">
        <is>
          <t/>
        </is>
      </c>
      <c r="DV375" s="134" t="inlineStr">
        <is>
          <t>783</t>
        </is>
      </c>
      <c r="DW375" s="135" t="inlineStr">
        <is>
          <t>1</t>
        </is>
      </c>
      <c r="DX375" s="136" t="inlineStr">
        <is>
          <t>0,13%</t>
        </is>
      </c>
      <c r="DY375" s="137" t="inlineStr">
        <is>
          <t>PitchBook Research</t>
        </is>
      </c>
      <c r="DZ375" s="785">
        <f>HYPERLINK("https://my.pitchbook.com?c=63910-54", "View company online")</f>
      </c>
    </row>
    <row r="376">
      <c r="A376" s="139" t="inlineStr">
        <is>
          <t>114627-61</t>
        </is>
      </c>
      <c r="B376" s="140" t="inlineStr">
        <is>
          <t>Reach Robotics</t>
        </is>
      </c>
      <c r="C376" s="141" t="inlineStr">
        <is>
          <t>Mecha Monsters</t>
        </is>
      </c>
      <c r="D376" s="142" t="inlineStr">
        <is>
          <t/>
        </is>
      </c>
      <c r="E376" s="143" t="inlineStr">
        <is>
          <t>114627-61</t>
        </is>
      </c>
      <c r="F376" s="144" t="inlineStr">
        <is>
          <t>Developer of an augmented reality (AR) platform designed to offer robotic gaming software and hardware services. The company's augmented reality (AR) platform incorporates robotic engineering, mashed-up with mobile gaming and augmented reality to create real battling robots, which are controlled via smartphone application, providing consumers with physical robots that are controlled by a digital application and can be engaged in both real and online activities.</t>
        </is>
      </c>
      <c r="G376" s="145" t="inlineStr">
        <is>
          <t>Information Technology</t>
        </is>
      </c>
      <c r="H376" s="146" t="inlineStr">
        <is>
          <t>Software</t>
        </is>
      </c>
      <c r="I376" s="147" t="inlineStr">
        <is>
          <t>Entertainment Software</t>
        </is>
      </c>
      <c r="J376" s="148" t="inlineStr">
        <is>
          <t>Entertainment Software*; Electronics (B2C); Recreational Goods</t>
        </is>
      </c>
      <c r="K376" s="149" t="inlineStr">
        <is>
          <t>Mobile, Robotics and Drones</t>
        </is>
      </c>
      <c r="L376" s="150" t="inlineStr">
        <is>
          <t>Venture Capital-Backed</t>
        </is>
      </c>
      <c r="M376" s="151" t="n">
        <v>6.84</v>
      </c>
      <c r="N376" s="152" t="inlineStr">
        <is>
          <t>Startup</t>
        </is>
      </c>
      <c r="O376" s="153" t="inlineStr">
        <is>
          <t>Privately Held (backing)</t>
        </is>
      </c>
      <c r="P376" s="154" t="inlineStr">
        <is>
          <t>Venture Capital</t>
        </is>
      </c>
      <c r="Q376" s="155" t="inlineStr">
        <is>
          <t>www.reachrobotics.com</t>
        </is>
      </c>
      <c r="R376" s="156" t="n">
        <v>5.0</v>
      </c>
      <c r="S376" s="157" t="inlineStr">
        <is>
          <t/>
        </is>
      </c>
      <c r="T376" s="158" t="inlineStr">
        <is>
          <t/>
        </is>
      </c>
      <c r="U376" s="159" t="n">
        <v>2013.0</v>
      </c>
      <c r="V376" s="160" t="inlineStr">
        <is>
          <t/>
        </is>
      </c>
      <c r="W376" s="161" t="inlineStr">
        <is>
          <t/>
        </is>
      </c>
      <c r="X376" s="162" t="inlineStr">
        <is>
          <t/>
        </is>
      </c>
      <c r="Y376" s="163" t="inlineStr">
        <is>
          <t/>
        </is>
      </c>
      <c r="Z376" s="164" t="inlineStr">
        <is>
          <t/>
        </is>
      </c>
      <c r="AA376" s="165" t="inlineStr">
        <is>
          <t/>
        </is>
      </c>
      <c r="AB376" s="166" t="inlineStr">
        <is>
          <t/>
        </is>
      </c>
      <c r="AC376" s="167" t="inlineStr">
        <is>
          <t/>
        </is>
      </c>
      <c r="AD376" s="168" t="inlineStr">
        <is>
          <t/>
        </is>
      </c>
      <c r="AE376" s="169" t="inlineStr">
        <is>
          <t>101898-19P</t>
        </is>
      </c>
      <c r="AF376" s="170" t="inlineStr">
        <is>
          <t>Silas Adekunle</t>
        </is>
      </c>
      <c r="AG376" s="171" t="inlineStr">
        <is>
          <t>Co-Founder, Board Member &amp; Chief Executive Officer</t>
        </is>
      </c>
      <c r="AH376" s="172" t="inlineStr">
        <is>
          <t>silas@reachrobotics.com</t>
        </is>
      </c>
      <c r="AI376" s="173" t="inlineStr">
        <is>
          <t/>
        </is>
      </c>
      <c r="AJ376" s="174" t="inlineStr">
        <is>
          <t>Bristol, United Kingdom</t>
        </is>
      </c>
      <c r="AK376" s="175" t="inlineStr">
        <is>
          <t>Setsquared Business Acceleration Centre, Engine Shed</t>
        </is>
      </c>
      <c r="AL376" s="176" t="inlineStr">
        <is>
          <t>Station Approach, Temple Meads</t>
        </is>
      </c>
      <c r="AM376" s="177" t="inlineStr">
        <is>
          <t>Bristol</t>
        </is>
      </c>
      <c r="AN376" s="178" t="inlineStr">
        <is>
          <t>England</t>
        </is>
      </c>
      <c r="AO376" s="179" t="inlineStr">
        <is>
          <t>BS1 6QH</t>
        </is>
      </c>
      <c r="AP376" s="180" t="inlineStr">
        <is>
          <t>United Kingdom</t>
        </is>
      </c>
      <c r="AQ376" s="181" t="inlineStr">
        <is>
          <t/>
        </is>
      </c>
      <c r="AR376" s="182" t="inlineStr">
        <is>
          <t/>
        </is>
      </c>
      <c r="AS376" s="183" t="inlineStr">
        <is>
          <t>contact@reachrobotics.com</t>
        </is>
      </c>
      <c r="AT376" s="184" t="inlineStr">
        <is>
          <t>Europe</t>
        </is>
      </c>
      <c r="AU376" s="185" t="inlineStr">
        <is>
          <t>Western Europe</t>
        </is>
      </c>
      <c r="AV376" s="186" t="inlineStr">
        <is>
          <t>The company raised $7.5 million of Series A venture funding in a deal led by Korea Investment Partners and iGlobe Partners on July 17, 2017. London Venture Partners, Passion Capital, Qualcomm Ventures, Hardware Club and NCSoft also participated in this round. The company intends to use the funds to execute its go-to-market strategy, strengthen the team and capitalize on some partnerships around the globe.</t>
        </is>
      </c>
      <c r="AW376" s="187" t="inlineStr">
        <is>
          <t>Bristol Robotics Laboratory, Elephants &amp; Ventures, Hardware Club, iGlobe Partners, Kima Ventures, Kin Yat Holdings, Korea Investment Partners, London Venture Partners, Microsoft Accelerator, NCSoft, Passion Capital, Qualcomm Robotics Accelerator, Qualcomm Ventures, Techstars</t>
        </is>
      </c>
      <c r="AX376" s="188" t="n">
        <v>14.0</v>
      </c>
      <c r="AY376" s="189" t="inlineStr">
        <is>
          <t/>
        </is>
      </c>
      <c r="AZ376" s="190" t="inlineStr">
        <is>
          <t/>
        </is>
      </c>
      <c r="BA376" s="191" t="inlineStr">
        <is>
          <t/>
        </is>
      </c>
      <c r="BB376" s="192" t="inlineStr">
        <is>
          <t>Bristol Robotics Laboratory (brl.ac.uk), Elephants &amp; Ventures (www.elephantsandventures.com), Hardware Club (www.hardwareclub.co), iGlobe Partners (www.iglobepartners.com), Kima Ventures (www.kimaventures.com), Kin Yat Holdings (www.kinyat.com.hk), Korea Investment Partners (www.kipvc.com), London Venture Partners (www.londonvp.com), Microsoft Accelerator (www.microsoftaccelerator.com), NCSoft (us.ncsoft.com), Passion Capital (www.passioncapital.com), Qualcomm Robotics Accelerator (qualcommaccelerator.com), Qualcomm Ventures (www.qualcommventures.com), Techstars (www.techstars.com)</t>
        </is>
      </c>
      <c r="BC376" s="193" t="inlineStr">
        <is>
          <t/>
        </is>
      </c>
      <c r="BD376" s="194" t="inlineStr">
        <is>
          <t/>
        </is>
      </c>
      <c r="BE376" s="195" t="inlineStr">
        <is>
          <t/>
        </is>
      </c>
      <c r="BF376" s="196" t="inlineStr">
        <is>
          <t>Techstars</t>
        </is>
      </c>
      <c r="BG376" s="197" t="inlineStr">
        <is>
          <t/>
        </is>
      </c>
      <c r="BH376" s="198" t="inlineStr">
        <is>
          <t/>
        </is>
      </c>
      <c r="BI376" s="199" t="inlineStr">
        <is>
          <t/>
        </is>
      </c>
      <c r="BJ376" s="200" t="inlineStr">
        <is>
          <t/>
        </is>
      </c>
      <c r="BK376" s="201" t="inlineStr">
        <is>
          <t/>
        </is>
      </c>
      <c r="BL376" s="202" t="inlineStr">
        <is>
          <t>Accelerator/Incubator</t>
        </is>
      </c>
      <c r="BM376" s="203" t="inlineStr">
        <is>
          <t/>
        </is>
      </c>
      <c r="BN376" s="204" t="inlineStr">
        <is>
          <t/>
        </is>
      </c>
      <c r="BO376" s="205" t="inlineStr">
        <is>
          <t>Other</t>
        </is>
      </c>
      <c r="BP376" s="206" t="inlineStr">
        <is>
          <t/>
        </is>
      </c>
      <c r="BQ376" s="207" t="inlineStr">
        <is>
          <t/>
        </is>
      </c>
      <c r="BR376" s="208" t="inlineStr">
        <is>
          <t/>
        </is>
      </c>
      <c r="BS376" s="209" t="inlineStr">
        <is>
          <t>Completed</t>
        </is>
      </c>
      <c r="BT376" s="210" t="n">
        <v>42933.0</v>
      </c>
      <c r="BU376" s="211" t="n">
        <v>6.51</v>
      </c>
      <c r="BV376" s="212" t="inlineStr">
        <is>
          <t>Actual</t>
        </is>
      </c>
      <c r="BW376" s="213" t="inlineStr">
        <is>
          <t/>
        </is>
      </c>
      <c r="BX376" s="214" t="inlineStr">
        <is>
          <t/>
        </is>
      </c>
      <c r="BY376" s="215" t="inlineStr">
        <is>
          <t>Early Stage VC</t>
        </is>
      </c>
      <c r="BZ376" s="216" t="inlineStr">
        <is>
          <t>Series A</t>
        </is>
      </c>
      <c r="CA376" s="217" t="inlineStr">
        <is>
          <t/>
        </is>
      </c>
      <c r="CB376" s="218" t="inlineStr">
        <is>
          <t>Venture Capital</t>
        </is>
      </c>
      <c r="CC376" s="219" t="inlineStr">
        <is>
          <t/>
        </is>
      </c>
      <c r="CD376" s="220" t="inlineStr">
        <is>
          <t/>
        </is>
      </c>
      <c r="CE376" s="221" t="inlineStr">
        <is>
          <t/>
        </is>
      </c>
      <c r="CF376" s="222" t="inlineStr">
        <is>
          <t>Completed</t>
        </is>
      </c>
      <c r="CG376" s="223" t="inlineStr">
        <is>
          <t>1,61%</t>
        </is>
      </c>
      <c r="CH376" s="224" t="inlineStr">
        <is>
          <t>92</t>
        </is>
      </c>
      <c r="CI376" s="225" t="inlineStr">
        <is>
          <t>-0,10%</t>
        </is>
      </c>
      <c r="CJ376" s="226" t="inlineStr">
        <is>
          <t>-5,94%</t>
        </is>
      </c>
      <c r="CK376" s="227" t="inlineStr">
        <is>
          <t>2,48%</t>
        </is>
      </c>
      <c r="CL376" s="228" t="inlineStr">
        <is>
          <t>92</t>
        </is>
      </c>
      <c r="CM376" s="229" t="inlineStr">
        <is>
          <t>0,75%</t>
        </is>
      </c>
      <c r="CN376" s="230" t="inlineStr">
        <is>
          <t>94</t>
        </is>
      </c>
      <c r="CO376" s="231" t="inlineStr">
        <is>
          <t>1,43%</t>
        </is>
      </c>
      <c r="CP376" s="232" t="inlineStr">
        <is>
          <t>87</t>
        </is>
      </c>
      <c r="CQ376" s="233" t="inlineStr">
        <is>
          <t>3,52%</t>
        </is>
      </c>
      <c r="CR376" s="234" t="inlineStr">
        <is>
          <t>93</t>
        </is>
      </c>
      <c r="CS376" s="235" t="inlineStr">
        <is>
          <t>0,44%</t>
        </is>
      </c>
      <c r="CT376" s="236" t="inlineStr">
        <is>
          <t>85</t>
        </is>
      </c>
      <c r="CU376" s="237" t="inlineStr">
        <is>
          <t>1,05%</t>
        </is>
      </c>
      <c r="CV376" s="238" t="inlineStr">
        <is>
          <t>97</t>
        </is>
      </c>
      <c r="CW376" s="239" t="inlineStr">
        <is>
          <t>4,55x</t>
        </is>
      </c>
      <c r="CX376" s="240" t="inlineStr">
        <is>
          <t>78</t>
        </is>
      </c>
      <c r="CY376" s="241" t="inlineStr">
        <is>
          <t>0,08x</t>
        </is>
      </c>
      <c r="CZ376" s="242" t="inlineStr">
        <is>
          <t>1,82%</t>
        </is>
      </c>
      <c r="DA376" s="243" t="inlineStr">
        <is>
          <t>5,51x</t>
        </is>
      </c>
      <c r="DB376" s="244" t="inlineStr">
        <is>
          <t>81</t>
        </is>
      </c>
      <c r="DC376" s="245" t="inlineStr">
        <is>
          <t>3,59x</t>
        </is>
      </c>
      <c r="DD376" s="246" t="inlineStr">
        <is>
          <t>71</t>
        </is>
      </c>
      <c r="DE376" s="247" t="inlineStr">
        <is>
          <t>3,79x</t>
        </is>
      </c>
      <c r="DF376" s="248" t="inlineStr">
        <is>
          <t>73</t>
        </is>
      </c>
      <c r="DG376" s="249" t="inlineStr">
        <is>
          <t>7,22x</t>
        </is>
      </c>
      <c r="DH376" s="250" t="inlineStr">
        <is>
          <t>82</t>
        </is>
      </c>
      <c r="DI376" s="251" t="inlineStr">
        <is>
          <t>2,02x</t>
        </is>
      </c>
      <c r="DJ376" s="252" t="inlineStr">
        <is>
          <t>62</t>
        </is>
      </c>
      <c r="DK376" s="253" t="inlineStr">
        <is>
          <t>5,16x</t>
        </is>
      </c>
      <c r="DL376" s="254" t="inlineStr">
        <is>
          <t>78</t>
        </is>
      </c>
      <c r="DM376" s="255" t="inlineStr">
        <is>
          <t>2.435</t>
        </is>
      </c>
      <c r="DN376" s="256" t="inlineStr">
        <is>
          <t>-308</t>
        </is>
      </c>
      <c r="DO376" s="257" t="inlineStr">
        <is>
          <t>-11,23%</t>
        </is>
      </c>
      <c r="DP376" s="258" t="inlineStr">
        <is>
          <t>1.613</t>
        </is>
      </c>
      <c r="DQ376" s="259" t="inlineStr">
        <is>
          <t>5</t>
        </is>
      </c>
      <c r="DR376" s="260" t="inlineStr">
        <is>
          <t>0,31%</t>
        </is>
      </c>
      <c r="DS376" s="261" t="inlineStr">
        <is>
          <t>260</t>
        </is>
      </c>
      <c r="DT376" s="262" t="inlineStr">
        <is>
          <t>-2</t>
        </is>
      </c>
      <c r="DU376" s="263" t="inlineStr">
        <is>
          <t>-0,76%</t>
        </is>
      </c>
      <c r="DV376" s="264" t="inlineStr">
        <is>
          <t>1.766</t>
        </is>
      </c>
      <c r="DW376" s="265" t="inlineStr">
        <is>
          <t>13</t>
        </is>
      </c>
      <c r="DX376" s="266" t="inlineStr">
        <is>
          <t>0,74%</t>
        </is>
      </c>
      <c r="DY376" s="267" t="inlineStr">
        <is>
          <t>PitchBook Research</t>
        </is>
      </c>
      <c r="DZ376" s="786">
        <f>HYPERLINK("https://my.pitchbook.com?c=114627-61", "View company online")</f>
      </c>
    </row>
    <row r="377">
      <c r="A377" s="9" t="inlineStr">
        <is>
          <t>65591-92</t>
        </is>
      </c>
      <c r="B377" s="10" t="inlineStr">
        <is>
          <t>Readly</t>
        </is>
      </c>
      <c r="C377" s="11" t="inlineStr">
        <is>
          <t/>
        </is>
      </c>
      <c r="D377" s="12" t="inlineStr">
        <is>
          <t/>
        </is>
      </c>
      <c r="E377" s="13" t="inlineStr">
        <is>
          <t>65591-92</t>
        </is>
      </c>
      <c r="F377" s="14" t="inlineStr">
        <is>
          <t>Provider of digital magazine platform designed to offer access to thousands of national and international magazines in one application. The company's digital magazine platform allows users to read magazines on tablets and smartphones and publishers to track and analyze their content, enabling readers to access a convenient platform.</t>
        </is>
      </c>
      <c r="G377" s="15" t="inlineStr">
        <is>
          <t>Consumer Products and Services (B2C)</t>
        </is>
      </c>
      <c r="H377" s="16" t="inlineStr">
        <is>
          <t>Media</t>
        </is>
      </c>
      <c r="I377" s="17" t="inlineStr">
        <is>
          <t>Information Services (B2C)</t>
        </is>
      </c>
      <c r="J377" s="18" t="inlineStr">
        <is>
          <t>Information Services (B2C)*; Application Software; Social Content</t>
        </is>
      </c>
      <c r="K377" s="19" t="inlineStr">
        <is>
          <t>Mobile</t>
        </is>
      </c>
      <c r="L377" s="20" t="inlineStr">
        <is>
          <t>Venture Capital-Backed</t>
        </is>
      </c>
      <c r="M377" s="21" t="n">
        <v>22.9</v>
      </c>
      <c r="N377" s="22" t="inlineStr">
        <is>
          <t>Generating Revenue</t>
        </is>
      </c>
      <c r="O377" s="23" t="inlineStr">
        <is>
          <t>Privately Held (backing)</t>
        </is>
      </c>
      <c r="P377" s="24" t="inlineStr">
        <is>
          <t>Venture Capital</t>
        </is>
      </c>
      <c r="Q377" s="25" t="inlineStr">
        <is>
          <t>us.readly.com</t>
        </is>
      </c>
      <c r="R377" s="26" t="n">
        <v>30.0</v>
      </c>
      <c r="S377" s="27" t="inlineStr">
        <is>
          <t/>
        </is>
      </c>
      <c r="T377" s="28" t="inlineStr">
        <is>
          <t/>
        </is>
      </c>
      <c r="U377" s="29" t="n">
        <v>2012.0</v>
      </c>
      <c r="V377" s="30" t="inlineStr">
        <is>
          <t/>
        </is>
      </c>
      <c r="W377" s="31" t="inlineStr">
        <is>
          <t/>
        </is>
      </c>
      <c r="X377" s="32" t="inlineStr">
        <is>
          <t/>
        </is>
      </c>
      <c r="Y377" s="33" t="n">
        <v>4.33641</v>
      </c>
      <c r="Z377" s="34" t="inlineStr">
        <is>
          <t/>
        </is>
      </c>
      <c r="AA377" s="35" t="n">
        <v>-3.14206</v>
      </c>
      <c r="AB377" s="36" t="inlineStr">
        <is>
          <t/>
        </is>
      </c>
      <c r="AC377" s="37" t="n">
        <v>-3.13287</v>
      </c>
      <c r="AD377" s="38" t="inlineStr">
        <is>
          <t>FY 2015</t>
        </is>
      </c>
      <c r="AE377" s="39" t="inlineStr">
        <is>
          <t>74466-37P</t>
        </is>
      </c>
      <c r="AF377" s="40" t="inlineStr">
        <is>
          <t>Per Hellberg</t>
        </is>
      </c>
      <c r="AG377" s="41" t="inlineStr">
        <is>
          <t>Chief Executive Officer</t>
        </is>
      </c>
      <c r="AH377" s="42" t="inlineStr">
        <is>
          <t>per.hellberg@readly.com</t>
        </is>
      </c>
      <c r="AI377" s="43" t="inlineStr">
        <is>
          <t>+46 (0)70 910 7410</t>
        </is>
      </c>
      <c r="AJ377" s="44" t="inlineStr">
        <is>
          <t>Växjö, Sweden</t>
        </is>
      </c>
      <c r="AK377" s="45" t="inlineStr">
        <is>
          <t>Videum Science Park</t>
        </is>
      </c>
      <c r="AL377" s="46" t="inlineStr">
        <is>
          <t/>
        </is>
      </c>
      <c r="AM377" s="47" t="inlineStr">
        <is>
          <t>Växjö</t>
        </is>
      </c>
      <c r="AN377" s="48" t="inlineStr">
        <is>
          <t/>
        </is>
      </c>
      <c r="AO377" s="49" t="inlineStr">
        <is>
          <t>351 96</t>
        </is>
      </c>
      <c r="AP377" s="50" t="inlineStr">
        <is>
          <t>Sweden</t>
        </is>
      </c>
      <c r="AQ377" s="51" t="inlineStr">
        <is>
          <t>+46 (0)470-75 95 00</t>
        </is>
      </c>
      <c r="AR377" s="52" t="inlineStr">
        <is>
          <t/>
        </is>
      </c>
      <c r="AS377" s="53" t="inlineStr">
        <is>
          <t>info@aggregatemedia.com</t>
        </is>
      </c>
      <c r="AT377" s="54" t="inlineStr">
        <is>
          <t>Europe</t>
        </is>
      </c>
      <c r="AU377" s="55" t="inlineStr">
        <is>
          <t>Northern Europe</t>
        </is>
      </c>
      <c r="AV377" s="56" t="inlineStr">
        <is>
          <t>The company raised EUR 13 million of Series B venture funding from Zouk Capital, Hermes GPE and Channel Four Television on May 17, 2017. Aggregate and other undisclosed investors also participated in this round. The company will use the funds to further its international expansion and support growth in its existing markets.</t>
        </is>
      </c>
      <c r="AW377" s="57" t="inlineStr">
        <is>
          <t>Aggregate, Channel Four Television, Hermes GPE, Optimizer Invest, Zouk Capital</t>
        </is>
      </c>
      <c r="AX377" s="58" t="n">
        <v>5.0</v>
      </c>
      <c r="AY377" s="59" t="inlineStr">
        <is>
          <t/>
        </is>
      </c>
      <c r="AZ377" s="60" t="inlineStr">
        <is>
          <t/>
        </is>
      </c>
      <c r="BA377" s="61" t="inlineStr">
        <is>
          <t/>
        </is>
      </c>
      <c r="BB377" s="62" t="inlineStr">
        <is>
          <t>Aggregate (www.aggregate.se), Channel Four Television (www.channel4.com), Hermes GPE (www.hermesgpe.com), Optimizer Invest (www.optimizerinvest.com), Zouk Capital (www.zouk.com)</t>
        </is>
      </c>
      <c r="BC377" s="63" t="inlineStr">
        <is>
          <t/>
        </is>
      </c>
      <c r="BD377" s="64" t="inlineStr">
        <is>
          <t/>
        </is>
      </c>
      <c r="BE377" s="65" t="inlineStr">
        <is>
          <t/>
        </is>
      </c>
      <c r="BF377" s="66" t="inlineStr">
        <is>
          <t>Stella Advisors (Advisor)</t>
        </is>
      </c>
      <c r="BG377" s="67" t="n">
        <v>41764.0</v>
      </c>
      <c r="BH377" s="68" t="n">
        <v>7.75</v>
      </c>
      <c r="BI377" s="69" t="inlineStr">
        <is>
          <t>Actual</t>
        </is>
      </c>
      <c r="BJ377" s="70" t="inlineStr">
        <is>
          <t/>
        </is>
      </c>
      <c r="BK377" s="71" t="inlineStr">
        <is>
          <t/>
        </is>
      </c>
      <c r="BL377" s="72" t="inlineStr">
        <is>
          <t>Early Stage VC</t>
        </is>
      </c>
      <c r="BM377" s="73" t="inlineStr">
        <is>
          <t>Series B</t>
        </is>
      </c>
      <c r="BN377" s="74" t="inlineStr">
        <is>
          <t/>
        </is>
      </c>
      <c r="BO377" s="75" t="inlineStr">
        <is>
          <t>Venture Capital</t>
        </is>
      </c>
      <c r="BP377" s="76" t="inlineStr">
        <is>
          <t/>
        </is>
      </c>
      <c r="BQ377" s="77" t="inlineStr">
        <is>
          <t/>
        </is>
      </c>
      <c r="BR377" s="78" t="inlineStr">
        <is>
          <t/>
        </is>
      </c>
      <c r="BS377" s="79" t="inlineStr">
        <is>
          <t>Completed</t>
        </is>
      </c>
      <c r="BT377" s="80" t="n">
        <v>42872.0</v>
      </c>
      <c r="BU377" s="81" t="n">
        <v>13.0</v>
      </c>
      <c r="BV377" s="82" t="inlineStr">
        <is>
          <t>Actual</t>
        </is>
      </c>
      <c r="BW377" s="83" t="inlineStr">
        <is>
          <t/>
        </is>
      </c>
      <c r="BX377" s="84" t="inlineStr">
        <is>
          <t/>
        </is>
      </c>
      <c r="BY377" s="85" t="inlineStr">
        <is>
          <t>Early Stage VC</t>
        </is>
      </c>
      <c r="BZ377" s="86" t="inlineStr">
        <is>
          <t>Series B</t>
        </is>
      </c>
      <c r="CA377" s="87" t="inlineStr">
        <is>
          <t/>
        </is>
      </c>
      <c r="CB377" s="88" t="inlineStr">
        <is>
          <t>Venture Capital</t>
        </is>
      </c>
      <c r="CC377" s="89" t="inlineStr">
        <is>
          <t/>
        </is>
      </c>
      <c r="CD377" s="90" t="inlineStr">
        <is>
          <t/>
        </is>
      </c>
      <c r="CE377" s="91" t="inlineStr">
        <is>
          <t/>
        </is>
      </c>
      <c r="CF377" s="92" t="inlineStr">
        <is>
          <t>Completed</t>
        </is>
      </c>
      <c r="CG377" s="93" t="inlineStr">
        <is>
          <t>-2,41%</t>
        </is>
      </c>
      <c r="CH377" s="94" t="inlineStr">
        <is>
          <t>2</t>
        </is>
      </c>
      <c r="CI377" s="95" t="inlineStr">
        <is>
          <t>0,29%</t>
        </is>
      </c>
      <c r="CJ377" s="96" t="inlineStr">
        <is>
          <t>10,66%</t>
        </is>
      </c>
      <c r="CK377" s="97" t="inlineStr">
        <is>
          <t>-13,26%</t>
        </is>
      </c>
      <c r="CL377" s="98" t="inlineStr">
        <is>
          <t>1</t>
        </is>
      </c>
      <c r="CM377" s="99" t="inlineStr">
        <is>
          <t>0,25%</t>
        </is>
      </c>
      <c r="CN377" s="100" t="inlineStr">
        <is>
          <t>78</t>
        </is>
      </c>
      <c r="CO377" s="101" t="inlineStr">
        <is>
          <t>-13,26%</t>
        </is>
      </c>
      <c r="CP377" s="102" t="inlineStr">
        <is>
          <t>1</t>
        </is>
      </c>
      <c r="CQ377" s="103" t="inlineStr">
        <is>
          <t/>
        </is>
      </c>
      <c r="CR377" s="104" t="inlineStr">
        <is>
          <t/>
        </is>
      </c>
      <c r="CS377" s="105" t="inlineStr">
        <is>
          <t>0,52%</t>
        </is>
      </c>
      <c r="CT377" s="106" t="inlineStr">
        <is>
          <t>88</t>
        </is>
      </c>
      <c r="CU377" s="107" t="inlineStr">
        <is>
          <t>-0,03%</t>
        </is>
      </c>
      <c r="CV377" s="108" t="inlineStr">
        <is>
          <t>15</t>
        </is>
      </c>
      <c r="CW377" s="109" t="inlineStr">
        <is>
          <t>14,46x</t>
        </is>
      </c>
      <c r="CX377" s="110" t="inlineStr">
        <is>
          <t>90</t>
        </is>
      </c>
      <c r="CY377" s="111" t="inlineStr">
        <is>
          <t>0,45x</t>
        </is>
      </c>
      <c r="CZ377" s="112" t="inlineStr">
        <is>
          <t>3,22%</t>
        </is>
      </c>
      <c r="DA377" s="113" t="inlineStr">
        <is>
          <t>10,57x</t>
        </is>
      </c>
      <c r="DB377" s="114" t="inlineStr">
        <is>
          <t>88</t>
        </is>
      </c>
      <c r="DC377" s="115" t="inlineStr">
        <is>
          <t>20,27x</t>
        </is>
      </c>
      <c r="DD377" s="116" t="inlineStr">
        <is>
          <t>90</t>
        </is>
      </c>
      <c r="DE377" s="117" t="inlineStr">
        <is>
          <t>10,57x</t>
        </is>
      </c>
      <c r="DF377" s="118" t="inlineStr">
        <is>
          <t>84</t>
        </is>
      </c>
      <c r="DG377" s="119" t="inlineStr">
        <is>
          <t/>
        </is>
      </c>
      <c r="DH377" s="120" t="inlineStr">
        <is>
          <t/>
        </is>
      </c>
      <c r="DI377" s="121" t="inlineStr">
        <is>
          <t>36,80x</t>
        </is>
      </c>
      <c r="DJ377" s="122" t="inlineStr">
        <is>
          <t>91</t>
        </is>
      </c>
      <c r="DK377" s="123" t="inlineStr">
        <is>
          <t>3,73x</t>
        </is>
      </c>
      <c r="DL377" s="124" t="inlineStr">
        <is>
          <t>74</t>
        </is>
      </c>
      <c r="DM377" s="125" t="inlineStr">
        <is>
          <t>6.494</t>
        </is>
      </c>
      <c r="DN377" s="126" t="inlineStr">
        <is>
          <t>9</t>
        </is>
      </c>
      <c r="DO377" s="127" t="inlineStr">
        <is>
          <t>0,14%</t>
        </is>
      </c>
      <c r="DP377" s="128" t="inlineStr">
        <is>
          <t>29.371</t>
        </is>
      </c>
      <c r="DQ377" s="129" t="inlineStr">
        <is>
          <t>196</t>
        </is>
      </c>
      <c r="DR377" s="130" t="inlineStr">
        <is>
          <t>0,67%</t>
        </is>
      </c>
      <c r="DS377" s="131" t="inlineStr">
        <is>
          <t/>
        </is>
      </c>
      <c r="DT377" s="132" t="inlineStr">
        <is>
          <t/>
        </is>
      </c>
      <c r="DU377" s="133" t="inlineStr">
        <is>
          <t/>
        </is>
      </c>
      <c r="DV377" s="134" t="inlineStr">
        <is>
          <t>1.278</t>
        </is>
      </c>
      <c r="DW377" s="135" t="inlineStr">
        <is>
          <t>0</t>
        </is>
      </c>
      <c r="DX377" s="136" t="inlineStr">
        <is>
          <t>0,00%</t>
        </is>
      </c>
      <c r="DY377" s="137" t="inlineStr">
        <is>
          <t>PitchBook Research</t>
        </is>
      </c>
      <c r="DZ377" s="785">
        <f>HYPERLINK("https://my.pitchbook.com?c=65591-92", "View company online")</f>
      </c>
    </row>
    <row r="378">
      <c r="A378" s="139" t="inlineStr">
        <is>
          <t>131304-52</t>
        </is>
      </c>
      <c r="B378" s="140" t="inlineStr">
        <is>
          <t>Reds True Barbecue</t>
        </is>
      </c>
      <c r="C378" s="141" t="inlineStr">
        <is>
          <t/>
        </is>
      </c>
      <c r="D378" s="142" t="inlineStr">
        <is>
          <t/>
        </is>
      </c>
      <c r="E378" s="143" t="inlineStr">
        <is>
          <t>131304-52</t>
        </is>
      </c>
      <c r="F378" s="144" t="inlineStr">
        <is>
          <t>Operator of American-style smokehouse restaurant. The company's American-style smokehouse restaurant offers a range of American barbecue dishes including pulled pork, beef brisket and spare ribs.</t>
        </is>
      </c>
      <c r="G378" s="145" t="inlineStr">
        <is>
          <t>Consumer Products and Services (B2C)</t>
        </is>
      </c>
      <c r="H378" s="146" t="inlineStr">
        <is>
          <t>Restaurants, Hotels and Leisure</t>
        </is>
      </c>
      <c r="I378" s="147" t="inlineStr">
        <is>
          <t>Restaurants and Bars</t>
        </is>
      </c>
      <c r="J378" s="148" t="inlineStr">
        <is>
          <t>Restaurants and Bars*; Other Restaurants, Hotels and Leisure; Internet Retail</t>
        </is>
      </c>
      <c r="K378" s="149" t="inlineStr">
        <is>
          <t/>
        </is>
      </c>
      <c r="L378" s="150" t="inlineStr">
        <is>
          <t>Venture Capital-Backed</t>
        </is>
      </c>
      <c r="M378" s="151" t="n">
        <v>11.95</v>
      </c>
      <c r="N378" s="152" t="inlineStr">
        <is>
          <t>Generating Revenue</t>
        </is>
      </c>
      <c r="O378" s="153" t="inlineStr">
        <is>
          <t>Privately Held (backing)</t>
        </is>
      </c>
      <c r="P378" s="154" t="inlineStr">
        <is>
          <t>Venture Capital</t>
        </is>
      </c>
      <c r="Q378" s="155" t="inlineStr">
        <is>
          <t>www.truebarbecue.com</t>
        </is>
      </c>
      <c r="R378" s="156" t="n">
        <v>201.0</v>
      </c>
      <c r="S378" s="157" t="inlineStr">
        <is>
          <t/>
        </is>
      </c>
      <c r="T378" s="158" t="inlineStr">
        <is>
          <t/>
        </is>
      </c>
      <c r="U378" s="159" t="n">
        <v>2012.0</v>
      </c>
      <c r="V378" s="160" t="inlineStr">
        <is>
          <t/>
        </is>
      </c>
      <c r="W378" s="161" t="inlineStr">
        <is>
          <t/>
        </is>
      </c>
      <c r="X378" s="162" t="inlineStr">
        <is>
          <t/>
        </is>
      </c>
      <c r="Y378" s="163" t="n">
        <v>0.00812</v>
      </c>
      <c r="Z378" s="164" t="inlineStr">
        <is>
          <t/>
        </is>
      </c>
      <c r="AA378" s="165" t="inlineStr">
        <is>
          <t/>
        </is>
      </c>
      <c r="AB378" s="166" t="inlineStr">
        <is>
          <t/>
        </is>
      </c>
      <c r="AC378" s="167" t="inlineStr">
        <is>
          <t/>
        </is>
      </c>
      <c r="AD378" s="168" t="inlineStr">
        <is>
          <t>FY 2014</t>
        </is>
      </c>
      <c r="AE378" s="169" t="inlineStr">
        <is>
          <t>124959-34P</t>
        </is>
      </c>
      <c r="AF378" s="170" t="inlineStr">
        <is>
          <t>Scott Munro</t>
        </is>
      </c>
      <c r="AG378" s="171" t="inlineStr">
        <is>
          <t>Co-Founder, Co-Owner &amp; Board Member</t>
        </is>
      </c>
      <c r="AH378" s="172" t="inlineStr">
        <is>
          <t>smunro@truebarbecue.com</t>
        </is>
      </c>
      <c r="AI378" s="173" t="inlineStr">
        <is>
          <t/>
        </is>
      </c>
      <c r="AJ378" s="174" t="inlineStr">
        <is>
          <t>Leeds, United Kingdom</t>
        </is>
      </c>
      <c r="AK378" s="175" t="inlineStr">
        <is>
          <t/>
        </is>
      </c>
      <c r="AL378" s="176" t="inlineStr">
        <is>
          <t/>
        </is>
      </c>
      <c r="AM378" s="177" t="inlineStr">
        <is>
          <t>Leeds</t>
        </is>
      </c>
      <c r="AN378" s="178" t="inlineStr">
        <is>
          <t>England</t>
        </is>
      </c>
      <c r="AO378" s="179" t="inlineStr">
        <is>
          <t>LS1 2HD</t>
        </is>
      </c>
      <c r="AP378" s="180" t="inlineStr">
        <is>
          <t>United Kingdom</t>
        </is>
      </c>
      <c r="AQ378" s="181" t="inlineStr">
        <is>
          <t/>
        </is>
      </c>
      <c r="AR378" s="182" t="inlineStr">
        <is>
          <t/>
        </is>
      </c>
      <c r="AS378" s="183" t="inlineStr">
        <is>
          <t>calllane@truebarbecue.com</t>
        </is>
      </c>
      <c r="AT378" s="184" t="inlineStr">
        <is>
          <t>Europe</t>
        </is>
      </c>
      <c r="AU378" s="185" t="inlineStr">
        <is>
          <t>Western Europe</t>
        </is>
      </c>
      <c r="AV378" s="186" t="inlineStr">
        <is>
          <t>The company raised GBP 9 million of venture funding through a combination of debt and equity on January 4, 2016. GBP 1.7 million of funding was provided by Ian Neill, Jamie Barber, Stephen Wall, Brandon Stephens, Maurice Abboudi, Dom Lake, Aarish Patel and Sunny Gill. A GBP 7.3 million debt refinancing was provided by Santander bank.</t>
        </is>
      </c>
      <c r="AW378" s="187" t="inlineStr">
        <is>
          <t>Aarish Patel, Brandon Stephens, Dom Lake, Ian Neill, Jamie Barber, Maurice Abboudi, Royal Bank of Scotland, Stephen Wall, Sunny Gill</t>
        </is>
      </c>
      <c r="AX378" s="188" t="n">
        <v>9.0</v>
      </c>
      <c r="AY378" s="189" t="inlineStr">
        <is>
          <t/>
        </is>
      </c>
      <c r="AZ378" s="190" t="inlineStr">
        <is>
          <t/>
        </is>
      </c>
      <c r="BA378" s="191" t="inlineStr">
        <is>
          <t/>
        </is>
      </c>
      <c r="BB378" s="192" t="inlineStr">
        <is>
          <t/>
        </is>
      </c>
      <c r="BC378" s="193" t="inlineStr">
        <is>
          <t/>
        </is>
      </c>
      <c r="BD378" s="194" t="inlineStr">
        <is>
          <t/>
        </is>
      </c>
      <c r="BE378" s="195" t="inlineStr">
        <is>
          <t/>
        </is>
      </c>
      <c r="BF378" s="196" t="inlineStr">
        <is>
          <t>Santander UK</t>
        </is>
      </c>
      <c r="BG378" s="197" t="inlineStr">
        <is>
          <t/>
        </is>
      </c>
      <c r="BH378" s="198" t="inlineStr">
        <is>
          <t/>
        </is>
      </c>
      <c r="BI378" s="199" t="inlineStr">
        <is>
          <t/>
        </is>
      </c>
      <c r="BJ378" s="200" t="inlineStr">
        <is>
          <t/>
        </is>
      </c>
      <c r="BK378" s="201" t="inlineStr">
        <is>
          <t/>
        </is>
      </c>
      <c r="BL378" s="202" t="inlineStr">
        <is>
          <t>Early Stage VC</t>
        </is>
      </c>
      <c r="BM378" s="203" t="inlineStr">
        <is>
          <t/>
        </is>
      </c>
      <c r="BN378" s="204" t="inlineStr">
        <is>
          <t/>
        </is>
      </c>
      <c r="BO378" s="205" t="inlineStr">
        <is>
          <t>Venture Capital</t>
        </is>
      </c>
      <c r="BP378" s="206" t="inlineStr">
        <is>
          <t/>
        </is>
      </c>
      <c r="BQ378" s="207" t="inlineStr">
        <is>
          <t/>
        </is>
      </c>
      <c r="BR378" s="208" t="inlineStr">
        <is>
          <t/>
        </is>
      </c>
      <c r="BS378" s="209" t="inlineStr">
        <is>
          <t>Completed</t>
        </is>
      </c>
      <c r="BT378" s="210" t="n">
        <v>42373.0</v>
      </c>
      <c r="BU378" s="211" t="n">
        <v>11.95</v>
      </c>
      <c r="BV378" s="212" t="inlineStr">
        <is>
          <t>Actual</t>
        </is>
      </c>
      <c r="BW378" s="213" t="inlineStr">
        <is>
          <t/>
        </is>
      </c>
      <c r="BX378" s="214" t="inlineStr">
        <is>
          <t/>
        </is>
      </c>
      <c r="BY378" s="215" t="inlineStr">
        <is>
          <t>Early Stage VC</t>
        </is>
      </c>
      <c r="BZ378" s="216" t="inlineStr">
        <is>
          <t/>
        </is>
      </c>
      <c r="CA378" s="217" t="inlineStr">
        <is>
          <t/>
        </is>
      </c>
      <c r="CB378" s="218" t="inlineStr">
        <is>
          <t>Debt</t>
        </is>
      </c>
      <c r="CC378" s="219" t="inlineStr">
        <is>
          <t>Other Debt</t>
        </is>
      </c>
      <c r="CD378" s="220" t="inlineStr">
        <is>
          <t/>
        </is>
      </c>
      <c r="CE378" s="221" t="inlineStr">
        <is>
          <t/>
        </is>
      </c>
      <c r="CF378" s="222" t="inlineStr">
        <is>
          <t>Completed</t>
        </is>
      </c>
      <c r="CG378" s="223" t="inlineStr">
        <is>
          <t>0,13%</t>
        </is>
      </c>
      <c r="CH378" s="224" t="inlineStr">
        <is>
          <t>75</t>
        </is>
      </c>
      <c r="CI378" s="225" t="inlineStr">
        <is>
          <t>0,00%</t>
        </is>
      </c>
      <c r="CJ378" s="226" t="inlineStr">
        <is>
          <t>0,24%</t>
        </is>
      </c>
      <c r="CK378" s="227" t="inlineStr">
        <is>
          <t>0,22%</t>
        </is>
      </c>
      <c r="CL378" s="228" t="inlineStr">
        <is>
          <t>82</t>
        </is>
      </c>
      <c r="CM378" s="229" t="inlineStr">
        <is>
          <t>0,03%</t>
        </is>
      </c>
      <c r="CN378" s="230" t="inlineStr">
        <is>
          <t>48</t>
        </is>
      </c>
      <c r="CO378" s="231" t="inlineStr">
        <is>
          <t>0,45%</t>
        </is>
      </c>
      <c r="CP378" s="232" t="inlineStr">
        <is>
          <t>81</t>
        </is>
      </c>
      <c r="CQ378" s="233" t="inlineStr">
        <is>
          <t>0,00%</t>
        </is>
      </c>
      <c r="CR378" s="234" t="inlineStr">
        <is>
          <t>13</t>
        </is>
      </c>
      <c r="CS378" s="235" t="inlineStr">
        <is>
          <t>0,01%</t>
        </is>
      </c>
      <c r="CT378" s="236" t="inlineStr">
        <is>
          <t>41</t>
        </is>
      </c>
      <c r="CU378" s="237" t="inlineStr">
        <is>
          <t>0,04%</t>
        </is>
      </c>
      <c r="CV378" s="238" t="inlineStr">
        <is>
          <t>60</t>
        </is>
      </c>
      <c r="CW378" s="239" t="inlineStr">
        <is>
          <t>49,63x</t>
        </is>
      </c>
      <c r="CX378" s="240" t="inlineStr">
        <is>
          <t>96</t>
        </is>
      </c>
      <c r="CY378" s="241" t="inlineStr">
        <is>
          <t>0,87x</t>
        </is>
      </c>
      <c r="CZ378" s="242" t="inlineStr">
        <is>
          <t>1,78%</t>
        </is>
      </c>
      <c r="DA378" s="243" t="inlineStr">
        <is>
          <t>15,13x</t>
        </is>
      </c>
      <c r="DB378" s="244" t="inlineStr">
        <is>
          <t>91</t>
        </is>
      </c>
      <c r="DC378" s="245" t="inlineStr">
        <is>
          <t>84,12x</t>
        </is>
      </c>
      <c r="DD378" s="246" t="inlineStr">
        <is>
          <t>96</t>
        </is>
      </c>
      <c r="DE378" s="247" t="inlineStr">
        <is>
          <t>28,71x</t>
        </is>
      </c>
      <c r="DF378" s="248" t="inlineStr">
        <is>
          <t>91</t>
        </is>
      </c>
      <c r="DG378" s="249" t="inlineStr">
        <is>
          <t>1,56x</t>
        </is>
      </c>
      <c r="DH378" s="250" t="inlineStr">
        <is>
          <t>59</t>
        </is>
      </c>
      <c r="DI378" s="251" t="inlineStr">
        <is>
          <t>73,70x</t>
        </is>
      </c>
      <c r="DJ378" s="252" t="inlineStr">
        <is>
          <t>94</t>
        </is>
      </c>
      <c r="DK378" s="253" t="inlineStr">
        <is>
          <t>94,54x</t>
        </is>
      </c>
      <c r="DL378" s="254" t="inlineStr">
        <is>
          <t>98</t>
        </is>
      </c>
      <c r="DM378" s="255" t="inlineStr">
        <is>
          <t>17.451</t>
        </is>
      </c>
      <c r="DN378" s="256" t="inlineStr">
        <is>
          <t>621</t>
        </is>
      </c>
      <c r="DO378" s="257" t="inlineStr">
        <is>
          <t>3,69%</t>
        </is>
      </c>
      <c r="DP378" s="258" t="inlineStr">
        <is>
          <t>58.883</t>
        </is>
      </c>
      <c r="DQ378" s="259" t="inlineStr">
        <is>
          <t>7</t>
        </is>
      </c>
      <c r="DR378" s="260" t="inlineStr">
        <is>
          <t>0,01%</t>
        </is>
      </c>
      <c r="DS378" s="261" t="inlineStr">
        <is>
          <t>56</t>
        </is>
      </c>
      <c r="DT378" s="262" t="inlineStr">
        <is>
          <t>-2</t>
        </is>
      </c>
      <c r="DU378" s="263" t="inlineStr">
        <is>
          <t>-3,45%</t>
        </is>
      </c>
      <c r="DV378" s="264" t="inlineStr">
        <is>
          <t>32.418</t>
        </is>
      </c>
      <c r="DW378" s="265" t="inlineStr">
        <is>
          <t>15</t>
        </is>
      </c>
      <c r="DX378" s="266" t="inlineStr">
        <is>
          <t>0,05%</t>
        </is>
      </c>
      <c r="DY378" s="267" t="inlineStr">
        <is>
          <t>PitchBook Research</t>
        </is>
      </c>
      <c r="DZ378" s="786">
        <f>HYPERLINK("https://my.pitchbook.com?c=131304-52", "View company online")</f>
      </c>
    </row>
    <row r="379">
      <c r="A379" s="9" t="inlineStr">
        <is>
          <t>91836-19</t>
        </is>
      </c>
      <c r="B379" s="10" t="inlineStr">
        <is>
          <t>Relayr</t>
        </is>
      </c>
      <c r="C379" s="11" t="inlineStr">
        <is>
          <t/>
        </is>
      </c>
      <c r="D379" s="12" t="inlineStr">
        <is>
          <t>iThings4U</t>
        </is>
      </c>
      <c r="E379" s="13" t="inlineStr">
        <is>
          <t>91836-19</t>
        </is>
      </c>
      <c r="F379" s="14" t="inlineStr">
        <is>
          <t>Provider of a cloud platform for application developers. The company provides a device, hardware and sensor-agnostic enterprise platform and tools which enable development of new systems, equipment and services for the Internet of Things.</t>
        </is>
      </c>
      <c r="G379" s="15" t="inlineStr">
        <is>
          <t>Information Technology</t>
        </is>
      </c>
      <c r="H379" s="16" t="inlineStr">
        <is>
          <t>Software</t>
        </is>
      </c>
      <c r="I379" s="17" t="inlineStr">
        <is>
          <t>Software Development Applications</t>
        </is>
      </c>
      <c r="J379" s="18" t="inlineStr">
        <is>
          <t>Software Development Applications*; Application Software; Other Information Technology</t>
        </is>
      </c>
      <c r="K379" s="19" t="inlineStr">
        <is>
          <t>Internet of Things</t>
        </is>
      </c>
      <c r="L379" s="20" t="inlineStr">
        <is>
          <t>Venture Capital-Backed</t>
        </is>
      </c>
      <c r="M379" s="21" t="n">
        <v>33.41</v>
      </c>
      <c r="N379" s="22" t="inlineStr">
        <is>
          <t>Generating Revenue</t>
        </is>
      </c>
      <c r="O379" s="23" t="inlineStr">
        <is>
          <t>Privately Held (backing)</t>
        </is>
      </c>
      <c r="P379" s="24" t="inlineStr">
        <is>
          <t>Venture Capital</t>
        </is>
      </c>
      <c r="Q379" s="25" t="inlineStr">
        <is>
          <t>www.relayr.io</t>
        </is>
      </c>
      <c r="R379" s="26" t="n">
        <v>200.0</v>
      </c>
      <c r="S379" s="27" t="inlineStr">
        <is>
          <t/>
        </is>
      </c>
      <c r="T379" s="28" t="inlineStr">
        <is>
          <t/>
        </is>
      </c>
      <c r="U379" s="29" t="n">
        <v>2013.0</v>
      </c>
      <c r="V379" s="30" t="inlineStr">
        <is>
          <t/>
        </is>
      </c>
      <c r="W379" s="31" t="inlineStr">
        <is>
          <t/>
        </is>
      </c>
      <c r="X379" s="32" t="inlineStr">
        <is>
          <t/>
        </is>
      </c>
      <c r="Y379" s="33" t="inlineStr">
        <is>
          <t/>
        </is>
      </c>
      <c r="Z379" s="34" t="inlineStr">
        <is>
          <t/>
        </is>
      </c>
      <c r="AA379" s="35" t="inlineStr">
        <is>
          <t/>
        </is>
      </c>
      <c r="AB379" s="36" t="inlineStr">
        <is>
          <t/>
        </is>
      </c>
      <c r="AC379" s="37" t="inlineStr">
        <is>
          <t/>
        </is>
      </c>
      <c r="AD379" s="38" t="inlineStr">
        <is>
          <t/>
        </is>
      </c>
      <c r="AE379" s="39" t="inlineStr">
        <is>
          <t>80216-47P</t>
        </is>
      </c>
      <c r="AF379" s="40" t="inlineStr">
        <is>
          <t>Harald Zapp</t>
        </is>
      </c>
      <c r="AG379" s="41" t="inlineStr">
        <is>
          <t>Co-Founder and Chief Operating Officer</t>
        </is>
      </c>
      <c r="AH379" s="42" t="inlineStr">
        <is>
          <t>harald@relayr.io</t>
        </is>
      </c>
      <c r="AI379" s="43" t="inlineStr">
        <is>
          <t/>
        </is>
      </c>
      <c r="AJ379" s="44" t="inlineStr">
        <is>
          <t>Berlin, Germany</t>
        </is>
      </c>
      <c r="AK379" s="45" t="inlineStr">
        <is>
          <t>Bergmannstraße 102/103</t>
        </is>
      </c>
      <c r="AL379" s="46" t="inlineStr">
        <is>
          <t/>
        </is>
      </c>
      <c r="AM379" s="47" t="inlineStr">
        <is>
          <t>Berlin</t>
        </is>
      </c>
      <c r="AN379" s="48" t="inlineStr">
        <is>
          <t/>
        </is>
      </c>
      <c r="AO379" s="49" t="inlineStr">
        <is>
          <t>10961</t>
        </is>
      </c>
      <c r="AP379" s="50" t="inlineStr">
        <is>
          <t>Germany</t>
        </is>
      </c>
      <c r="AQ379" s="51" t="inlineStr">
        <is>
          <t/>
        </is>
      </c>
      <c r="AR379" s="52" t="inlineStr">
        <is>
          <t/>
        </is>
      </c>
      <c r="AS379" s="53" t="inlineStr">
        <is>
          <t>info@relayr.io</t>
        </is>
      </c>
      <c r="AT379" s="54" t="inlineStr">
        <is>
          <t>Europe</t>
        </is>
      </c>
      <c r="AU379" s="55" t="inlineStr">
        <is>
          <t>Western Europe</t>
        </is>
      </c>
      <c r="AV379" s="56" t="inlineStr">
        <is>
          <t>The company raised $23 million of Series B venture funding in a deal led by Munich Re/HSB Ventures on October 20, 2016. Kleiner Perkins Caufield &amp; Byers and Munich Venture Partners also participated in the round. Previously, the company raised $11.25 million of Series A venture funding from lead investor Kleiner Perkins Caufield &amp; Byers, Cisco Investments and Munich Venture Partners on November 4, 2015.</t>
        </is>
      </c>
      <c r="AW379" s="57" t="inlineStr">
        <is>
          <t>Cisco Investments, Hubraum, Kleiner Perkins Caufield &amp; Byers, Munich Re/HSB Ventures, Munich Venture Partners, Startupbootcamp, Thomas Noonan</t>
        </is>
      </c>
      <c r="AX379" s="58" t="n">
        <v>7.0</v>
      </c>
      <c r="AY379" s="59" t="inlineStr">
        <is>
          <t/>
        </is>
      </c>
      <c r="AZ379" s="60" t="inlineStr">
        <is>
          <t/>
        </is>
      </c>
      <c r="BA379" s="61" t="inlineStr">
        <is>
          <t/>
        </is>
      </c>
      <c r="BB379" s="62" t="inlineStr">
        <is>
          <t>Cisco Investments (www.ciscoinvestments.com), Hubraum (www.hubraum.com), Kleiner Perkins Caufield &amp; Byers (www.kpcb.com), Munich Venture Partners (www.munichvp.com), Startupbootcamp (www.startupbootcamp.org)</t>
        </is>
      </c>
      <c r="BC379" s="63" t="inlineStr">
        <is>
          <t/>
        </is>
      </c>
      <c r="BD379" s="64" t="inlineStr">
        <is>
          <t/>
        </is>
      </c>
      <c r="BE379" s="65" t="inlineStr">
        <is>
          <t>DLA Piper (Legal Advisor)</t>
        </is>
      </c>
      <c r="BF379" s="66" t="inlineStr">
        <is>
          <t>Dragon Innovation (Lead Manager or Arranger), DLA Piper (Legal Advisor)</t>
        </is>
      </c>
      <c r="BG379" s="67" t="n">
        <v>41579.0</v>
      </c>
      <c r="BH379" s="68" t="n">
        <v>0.25</v>
      </c>
      <c r="BI379" s="69" t="inlineStr">
        <is>
          <t>Actual</t>
        </is>
      </c>
      <c r="BJ379" s="70" t="inlineStr">
        <is>
          <t/>
        </is>
      </c>
      <c r="BK379" s="71" t="inlineStr">
        <is>
          <t/>
        </is>
      </c>
      <c r="BL379" s="72" t="inlineStr">
        <is>
          <t>Seed Round</t>
        </is>
      </c>
      <c r="BM379" s="73" t="inlineStr">
        <is>
          <t>Seed</t>
        </is>
      </c>
      <c r="BN379" s="74" t="inlineStr">
        <is>
          <t/>
        </is>
      </c>
      <c r="BO379" s="75" t="inlineStr">
        <is>
          <t>Venture Capital</t>
        </is>
      </c>
      <c r="BP379" s="76" t="inlineStr">
        <is>
          <t/>
        </is>
      </c>
      <c r="BQ379" s="77" t="inlineStr">
        <is>
          <t/>
        </is>
      </c>
      <c r="BR379" s="78" t="inlineStr">
        <is>
          <t/>
        </is>
      </c>
      <c r="BS379" s="79" t="inlineStr">
        <is>
          <t>Completed</t>
        </is>
      </c>
      <c r="BT379" s="80" t="n">
        <v>42663.0</v>
      </c>
      <c r="BU379" s="81" t="n">
        <v>20.83</v>
      </c>
      <c r="BV379" s="82" t="inlineStr">
        <is>
          <t>Actual</t>
        </is>
      </c>
      <c r="BW379" s="83" t="inlineStr">
        <is>
          <t/>
        </is>
      </c>
      <c r="BX379" s="84" t="inlineStr">
        <is>
          <t/>
        </is>
      </c>
      <c r="BY379" s="85" t="inlineStr">
        <is>
          <t>Early Stage VC</t>
        </is>
      </c>
      <c r="BZ379" s="86" t="inlineStr">
        <is>
          <t>Series B</t>
        </is>
      </c>
      <c r="CA379" s="87" t="inlineStr">
        <is>
          <t/>
        </is>
      </c>
      <c r="CB379" s="88" t="inlineStr">
        <is>
          <t>Venture Capital</t>
        </is>
      </c>
      <c r="CC379" s="89" t="inlineStr">
        <is>
          <t/>
        </is>
      </c>
      <c r="CD379" s="90" t="inlineStr">
        <is>
          <t/>
        </is>
      </c>
      <c r="CE379" s="91" t="inlineStr">
        <is>
          <t/>
        </is>
      </c>
      <c r="CF379" s="92" t="inlineStr">
        <is>
          <t>Completed</t>
        </is>
      </c>
      <c r="CG379" s="93" t="inlineStr">
        <is>
          <t>-1,74%</t>
        </is>
      </c>
      <c r="CH379" s="94" t="inlineStr">
        <is>
          <t>3</t>
        </is>
      </c>
      <c r="CI379" s="95" t="inlineStr">
        <is>
          <t>0,14%</t>
        </is>
      </c>
      <c r="CJ379" s="96" t="inlineStr">
        <is>
          <t>7,42%</t>
        </is>
      </c>
      <c r="CK379" s="97" t="inlineStr">
        <is>
          <t>-3,60%</t>
        </is>
      </c>
      <c r="CL379" s="98" t="inlineStr">
        <is>
          <t>2</t>
        </is>
      </c>
      <c r="CM379" s="99" t="inlineStr">
        <is>
          <t>0,12%</t>
        </is>
      </c>
      <c r="CN379" s="100" t="inlineStr">
        <is>
          <t>63</t>
        </is>
      </c>
      <c r="CO379" s="101" t="inlineStr">
        <is>
          <t>-6,65%</t>
        </is>
      </c>
      <c r="CP379" s="102" t="inlineStr">
        <is>
          <t>4</t>
        </is>
      </c>
      <c r="CQ379" s="103" t="inlineStr">
        <is>
          <t>-0,55%</t>
        </is>
      </c>
      <c r="CR379" s="104" t="inlineStr">
        <is>
          <t>6</t>
        </is>
      </c>
      <c r="CS379" s="105" t="inlineStr">
        <is>
          <t>0,33%</t>
        </is>
      </c>
      <c r="CT379" s="106" t="inlineStr">
        <is>
          <t>80</t>
        </is>
      </c>
      <c r="CU379" s="107" t="inlineStr">
        <is>
          <t>-0,10%</t>
        </is>
      </c>
      <c r="CV379" s="108" t="inlineStr">
        <is>
          <t>6</t>
        </is>
      </c>
      <c r="CW379" s="109" t="inlineStr">
        <is>
          <t>5,76x</t>
        </is>
      </c>
      <c r="CX379" s="110" t="inlineStr">
        <is>
          <t>81</t>
        </is>
      </c>
      <c r="CY379" s="111" t="inlineStr">
        <is>
          <t>0,10x</t>
        </is>
      </c>
      <c r="CZ379" s="112" t="inlineStr">
        <is>
          <t>1,84%</t>
        </is>
      </c>
      <c r="DA379" s="113" t="inlineStr">
        <is>
          <t>5,80x</t>
        </is>
      </c>
      <c r="DB379" s="114" t="inlineStr">
        <is>
          <t>82</t>
        </is>
      </c>
      <c r="DC379" s="115" t="inlineStr">
        <is>
          <t>5,72x</t>
        </is>
      </c>
      <c r="DD379" s="116" t="inlineStr">
        <is>
          <t>78</t>
        </is>
      </c>
      <c r="DE379" s="117" t="inlineStr">
        <is>
          <t>6,68x</t>
        </is>
      </c>
      <c r="DF379" s="118" t="inlineStr">
        <is>
          <t>80</t>
        </is>
      </c>
      <c r="DG379" s="119" t="inlineStr">
        <is>
          <t>4,92x</t>
        </is>
      </c>
      <c r="DH379" s="120" t="inlineStr">
        <is>
          <t>78</t>
        </is>
      </c>
      <c r="DI379" s="121" t="inlineStr">
        <is>
          <t>3,76x</t>
        </is>
      </c>
      <c r="DJ379" s="122" t="inlineStr">
        <is>
          <t>71</t>
        </is>
      </c>
      <c r="DK379" s="123" t="inlineStr">
        <is>
          <t>7,67x</t>
        </is>
      </c>
      <c r="DL379" s="124" t="inlineStr">
        <is>
          <t>83</t>
        </is>
      </c>
      <c r="DM379" s="125" t="inlineStr">
        <is>
          <t>4.272</t>
        </is>
      </c>
      <c r="DN379" s="126" t="inlineStr">
        <is>
          <t>-486</t>
        </is>
      </c>
      <c r="DO379" s="127" t="inlineStr">
        <is>
          <t>-10,21%</t>
        </is>
      </c>
      <c r="DP379" s="128" t="inlineStr">
        <is>
          <t>3.002</t>
        </is>
      </c>
      <c r="DQ379" s="129" t="inlineStr">
        <is>
          <t>2</t>
        </is>
      </c>
      <c r="DR379" s="130" t="inlineStr">
        <is>
          <t>0,07%</t>
        </is>
      </c>
      <c r="DS379" s="131" t="inlineStr">
        <is>
          <t>176</t>
        </is>
      </c>
      <c r="DT379" s="132" t="inlineStr">
        <is>
          <t>1</t>
        </is>
      </c>
      <c r="DU379" s="133" t="inlineStr">
        <is>
          <t>0,57%</t>
        </is>
      </c>
      <c r="DV379" s="134" t="inlineStr">
        <is>
          <t>2.633</t>
        </is>
      </c>
      <c r="DW379" s="135" t="inlineStr">
        <is>
          <t>-1</t>
        </is>
      </c>
      <c r="DX379" s="136" t="inlineStr">
        <is>
          <t>-0,04%</t>
        </is>
      </c>
      <c r="DY379" s="137" t="inlineStr">
        <is>
          <t>PitchBook Research</t>
        </is>
      </c>
      <c r="DZ379" s="785">
        <f>HYPERLINK("https://my.pitchbook.com?c=91836-19", "View company online")</f>
      </c>
    </row>
    <row r="380">
      <c r="A380" s="139" t="inlineStr">
        <is>
          <t>104383-72</t>
        </is>
      </c>
      <c r="B380" s="140" t="inlineStr">
        <is>
          <t>Revolut</t>
        </is>
      </c>
      <c r="C380" s="141" t="inlineStr">
        <is>
          <t/>
        </is>
      </c>
      <c r="D380" s="142" t="inlineStr">
        <is>
          <t/>
        </is>
      </c>
      <c r="E380" s="143" t="inlineStr">
        <is>
          <t>104383-72</t>
        </is>
      </c>
      <c r="F380" s="144" t="inlineStr">
        <is>
          <t>Provider of mobile foreign exchange services designed to help in global money transfer. The company's banking application compares live exchange rates for multiple currencies and make transfers directly to other's bank accounts, enabling consumers to send, spend and exchange money instantly with intuitive ease.</t>
        </is>
      </c>
      <c r="G380" s="145" t="inlineStr">
        <is>
          <t>Information Technology</t>
        </is>
      </c>
      <c r="H380" s="146" t="inlineStr">
        <is>
          <t>Software</t>
        </is>
      </c>
      <c r="I380" s="147" t="inlineStr">
        <is>
          <t>Financial Software</t>
        </is>
      </c>
      <c r="J380" s="148" t="inlineStr">
        <is>
          <t>Financial Software*; Other Financial Services</t>
        </is>
      </c>
      <c r="K380" s="149" t="inlineStr">
        <is>
          <t>FinTech, Mobile</t>
        </is>
      </c>
      <c r="L380" s="150" t="inlineStr">
        <is>
          <t>Venture Capital-Backed</t>
        </is>
      </c>
      <c r="M380" s="151" t="n">
        <v>89.59</v>
      </c>
      <c r="N380" s="152" t="inlineStr">
        <is>
          <t>Generating Revenue</t>
        </is>
      </c>
      <c r="O380" s="153" t="inlineStr">
        <is>
          <t>Privately Held (backing)</t>
        </is>
      </c>
      <c r="P380" s="154" t="inlineStr">
        <is>
          <t>Venture Capital</t>
        </is>
      </c>
      <c r="Q380" s="155" t="inlineStr">
        <is>
          <t>www.revolut.com</t>
        </is>
      </c>
      <c r="R380" s="156" t="n">
        <v>140.0</v>
      </c>
      <c r="S380" s="157" t="inlineStr">
        <is>
          <t/>
        </is>
      </c>
      <c r="T380" s="158" t="inlineStr">
        <is>
          <t/>
        </is>
      </c>
      <c r="U380" s="159" t="n">
        <v>2014.0</v>
      </c>
      <c r="V380" s="160" t="inlineStr">
        <is>
          <t/>
        </is>
      </c>
      <c r="W380" s="161" t="inlineStr">
        <is>
          <t/>
        </is>
      </c>
      <c r="X380" s="162" t="inlineStr">
        <is>
          <t/>
        </is>
      </c>
      <c r="Y380" s="163" t="n">
        <v>2.79834</v>
      </c>
      <c r="Z380" s="164" t="n">
        <v>-6.44093</v>
      </c>
      <c r="AA380" s="165" t="n">
        <v>-8.28119</v>
      </c>
      <c r="AB380" s="166" t="inlineStr">
        <is>
          <t/>
        </is>
      </c>
      <c r="AC380" s="167" t="n">
        <v>-8.39502</v>
      </c>
      <c r="AD380" s="168" t="inlineStr">
        <is>
          <t>FY 2016</t>
        </is>
      </c>
      <c r="AE380" s="169" t="inlineStr">
        <is>
          <t>107183-62P</t>
        </is>
      </c>
      <c r="AF380" s="170" t="inlineStr">
        <is>
          <t>Nikolay Storonsky</t>
        </is>
      </c>
      <c r="AG380" s="171" t="inlineStr">
        <is>
          <t>Co-Founder, Chief Executive Officer &amp; Board Member</t>
        </is>
      </c>
      <c r="AH380" s="172" t="inlineStr">
        <is>
          <t>nikolay.storonsky@revolut.com</t>
        </is>
      </c>
      <c r="AI380" s="173" t="inlineStr">
        <is>
          <t>+44 (0)20 3322 8352</t>
        </is>
      </c>
      <c r="AJ380" s="174" t="inlineStr">
        <is>
          <t>London, United Kingdom</t>
        </is>
      </c>
      <c r="AK380" s="175" t="inlineStr">
        <is>
          <t>One Canada Square</t>
        </is>
      </c>
      <c r="AL380" s="176" t="inlineStr">
        <is>
          <t>Level 39</t>
        </is>
      </c>
      <c r="AM380" s="177" t="inlineStr">
        <is>
          <t>London</t>
        </is>
      </c>
      <c r="AN380" s="178" t="inlineStr">
        <is>
          <t>England</t>
        </is>
      </c>
      <c r="AO380" s="179" t="inlineStr">
        <is>
          <t>E14 5AB</t>
        </is>
      </c>
      <c r="AP380" s="180" t="inlineStr">
        <is>
          <t>United Kingdom</t>
        </is>
      </c>
      <c r="AQ380" s="181" t="inlineStr">
        <is>
          <t>+44 (0)20 3322 8352</t>
        </is>
      </c>
      <c r="AR380" s="182" t="inlineStr">
        <is>
          <t/>
        </is>
      </c>
      <c r="AS380" s="183" t="inlineStr">
        <is>
          <t/>
        </is>
      </c>
      <c r="AT380" s="184" t="inlineStr">
        <is>
          <t>Europe</t>
        </is>
      </c>
      <c r="AU380" s="185" t="inlineStr">
        <is>
          <t>Western Europe</t>
        </is>
      </c>
      <c r="AV380" s="186" t="inlineStr">
        <is>
          <t>The company raised $5.3 million of angel funding via crowdfunding platform Seedrs on July 31, 2017. Earlier, the company raised $66 million of Series B venture funding in a deal led by Index Ventures on July 12, 2017. Balderton Capital and Ribbit Capital also participated in the round.</t>
        </is>
      </c>
      <c r="AW380" s="187" t="inlineStr">
        <is>
          <t>Balderton Capital, Ian Hannam, Index Ventures (UK), Level39, Matthew Greenburgh, NJF Capital, Point Nine Capital, Ribbit Capital, Seedcamp, TriplePoint Capital, Venrex Investment Management</t>
        </is>
      </c>
      <c r="AX380" s="188" t="n">
        <v>11.0</v>
      </c>
      <c r="AY380" s="189" t="inlineStr">
        <is>
          <t/>
        </is>
      </c>
      <c r="AZ380" s="190" t="inlineStr">
        <is>
          <t/>
        </is>
      </c>
      <c r="BA380" s="191" t="inlineStr">
        <is>
          <t/>
        </is>
      </c>
      <c r="BB380" s="192" t="inlineStr">
        <is>
          <t>Balderton Capital (www.balderton.com), Index Ventures (UK) (www.indexventures.com), Level39 (www.level39.co), NJF Capital (www.njfcapital.com), Point Nine Capital (www.pointninecap.com), Ribbit Capital (www.ribbitcap.com), Seedcamp (www.seedcamp.com), TriplePoint Capital (www.triplepointcapital.com)</t>
        </is>
      </c>
      <c r="BC380" s="193" t="inlineStr">
        <is>
          <t/>
        </is>
      </c>
      <c r="BD380" s="194" t="inlineStr">
        <is>
          <t/>
        </is>
      </c>
      <c r="BE380" s="195" t="inlineStr">
        <is>
          <t>Adler Shine (Auditor), Faust Loveday Bell (Accounting), JAG Shaw Baker (Legal Advisor), Orrick Herrington &amp; Sutcliffe (Legal Advisor)</t>
        </is>
      </c>
      <c r="BF380" s="196" t="inlineStr">
        <is>
          <t>Seedrs (Lead Manager or Arranger), JAG Shaw Baker (Legal Advisor), Crowdcube (Lead Manager or Arranger), Orrick Herrington &amp; Sutcliffe (Legal Advisor), TriplePoint Capital</t>
        </is>
      </c>
      <c r="BG380" s="197" t="inlineStr">
        <is>
          <t/>
        </is>
      </c>
      <c r="BH380" s="198" t="inlineStr">
        <is>
          <t/>
        </is>
      </c>
      <c r="BI380" s="199" t="inlineStr">
        <is>
          <t/>
        </is>
      </c>
      <c r="BJ380" s="200" t="inlineStr">
        <is>
          <t/>
        </is>
      </c>
      <c r="BK380" s="201" t="inlineStr">
        <is>
          <t/>
        </is>
      </c>
      <c r="BL380" s="202" t="inlineStr">
        <is>
          <t>Accelerator/Incubator</t>
        </is>
      </c>
      <c r="BM380" s="203" t="inlineStr">
        <is>
          <t/>
        </is>
      </c>
      <c r="BN380" s="204" t="inlineStr">
        <is>
          <t/>
        </is>
      </c>
      <c r="BO380" s="205" t="inlineStr">
        <is>
          <t>Other</t>
        </is>
      </c>
      <c r="BP380" s="206" t="inlineStr">
        <is>
          <t/>
        </is>
      </c>
      <c r="BQ380" s="207" t="inlineStr">
        <is>
          <t/>
        </is>
      </c>
      <c r="BR380" s="208" t="inlineStr">
        <is>
          <t/>
        </is>
      </c>
      <c r="BS380" s="209" t="inlineStr">
        <is>
          <t>Completed</t>
        </is>
      </c>
      <c r="BT380" s="210" t="n">
        <v>42946.0</v>
      </c>
      <c r="BU380" s="211" t="n">
        <v>4.6</v>
      </c>
      <c r="BV380" s="212" t="inlineStr">
        <is>
          <t>Actual</t>
        </is>
      </c>
      <c r="BW380" s="213" t="inlineStr">
        <is>
          <t/>
        </is>
      </c>
      <c r="BX380" s="214" t="inlineStr">
        <is>
          <t/>
        </is>
      </c>
      <c r="BY380" s="215" t="inlineStr">
        <is>
          <t>Angel (individual)</t>
        </is>
      </c>
      <c r="BZ380" s="216" t="inlineStr">
        <is>
          <t>Angel</t>
        </is>
      </c>
      <c r="CA380" s="217" t="inlineStr">
        <is>
          <t/>
        </is>
      </c>
      <c r="CB380" s="218" t="inlineStr">
        <is>
          <t>Individual</t>
        </is>
      </c>
      <c r="CC380" s="219" t="inlineStr">
        <is>
          <t/>
        </is>
      </c>
      <c r="CD380" s="220" t="inlineStr">
        <is>
          <t/>
        </is>
      </c>
      <c r="CE380" s="221" t="inlineStr">
        <is>
          <t/>
        </is>
      </c>
      <c r="CF380" s="222" t="inlineStr">
        <is>
          <t>Completed</t>
        </is>
      </c>
      <c r="CG380" s="223" t="inlineStr">
        <is>
          <t>3,66%</t>
        </is>
      </c>
      <c r="CH380" s="224" t="inlineStr">
        <is>
          <t>97</t>
        </is>
      </c>
      <c r="CI380" s="225" t="inlineStr">
        <is>
          <t>0,71%</t>
        </is>
      </c>
      <c r="CJ380" s="226" t="inlineStr">
        <is>
          <t>23,94%</t>
        </is>
      </c>
      <c r="CK380" s="227" t="inlineStr">
        <is>
          <t>1,48%</t>
        </is>
      </c>
      <c r="CL380" s="228" t="inlineStr">
        <is>
          <t>89</t>
        </is>
      </c>
      <c r="CM380" s="229" t="inlineStr">
        <is>
          <t>1,69%</t>
        </is>
      </c>
      <c r="CN380" s="230" t="inlineStr">
        <is>
          <t>98</t>
        </is>
      </c>
      <c r="CO380" s="231" t="inlineStr">
        <is>
          <t>1,69%</t>
        </is>
      </c>
      <c r="CP380" s="232" t="inlineStr">
        <is>
          <t>88</t>
        </is>
      </c>
      <c r="CQ380" s="233" t="inlineStr">
        <is>
          <t>1,27%</t>
        </is>
      </c>
      <c r="CR380" s="234" t="inlineStr">
        <is>
          <t>89</t>
        </is>
      </c>
      <c r="CS380" s="235" t="inlineStr">
        <is>
          <t>1,41%</t>
        </is>
      </c>
      <c r="CT380" s="236" t="inlineStr">
        <is>
          <t>97</t>
        </is>
      </c>
      <c r="CU380" s="237" t="inlineStr">
        <is>
          <t>1,98%</t>
        </is>
      </c>
      <c r="CV380" s="238" t="inlineStr">
        <is>
          <t>99</t>
        </is>
      </c>
      <c r="CW380" s="239" t="inlineStr">
        <is>
          <t>76,39x</t>
        </is>
      </c>
      <c r="CX380" s="240" t="inlineStr">
        <is>
          <t>97</t>
        </is>
      </c>
      <c r="CY380" s="241" t="inlineStr">
        <is>
          <t>0,72x</t>
        </is>
      </c>
      <c r="CZ380" s="242" t="inlineStr">
        <is>
          <t>0,95%</t>
        </is>
      </c>
      <c r="DA380" s="243" t="inlineStr">
        <is>
          <t>172,64x</t>
        </is>
      </c>
      <c r="DB380" s="244" t="inlineStr">
        <is>
          <t>99</t>
        </is>
      </c>
      <c r="DC380" s="245" t="inlineStr">
        <is>
          <t>52,22x</t>
        </is>
      </c>
      <c r="DD380" s="246" t="inlineStr">
        <is>
          <t>95</t>
        </is>
      </c>
      <c r="DE380" s="247" t="inlineStr">
        <is>
          <t>340,91x</t>
        </is>
      </c>
      <c r="DF380" s="248" t="inlineStr">
        <is>
          <t>98</t>
        </is>
      </c>
      <c r="DG380" s="249" t="inlineStr">
        <is>
          <t>4,36x</t>
        </is>
      </c>
      <c r="DH380" s="250" t="inlineStr">
        <is>
          <t>77</t>
        </is>
      </c>
      <c r="DI380" s="251" t="inlineStr">
        <is>
          <t>38,54x</t>
        </is>
      </c>
      <c r="DJ380" s="252" t="inlineStr">
        <is>
          <t>92</t>
        </is>
      </c>
      <c r="DK380" s="253" t="inlineStr">
        <is>
          <t>65,90x</t>
        </is>
      </c>
      <c r="DL380" s="254" t="inlineStr">
        <is>
          <t>97</t>
        </is>
      </c>
      <c r="DM380" s="255" t="inlineStr">
        <is>
          <t>214.028</t>
        </is>
      </c>
      <c r="DN380" s="256" t="inlineStr">
        <is>
          <t>-13.106</t>
        </is>
      </c>
      <c r="DO380" s="257" t="inlineStr">
        <is>
          <t>-5,77%</t>
        </is>
      </c>
      <c r="DP380" s="258" t="inlineStr">
        <is>
          <t>30.666</t>
        </is>
      </c>
      <c r="DQ380" s="259" t="inlineStr">
        <is>
          <t>318</t>
        </is>
      </c>
      <c r="DR380" s="260" t="inlineStr">
        <is>
          <t>1,05%</t>
        </is>
      </c>
      <c r="DS380" s="261" t="inlineStr">
        <is>
          <t>157</t>
        </is>
      </c>
      <c r="DT380" s="262" t="inlineStr">
        <is>
          <t>1</t>
        </is>
      </c>
      <c r="DU380" s="263" t="inlineStr">
        <is>
          <t>0,64%</t>
        </is>
      </c>
      <c r="DV380" s="264" t="inlineStr">
        <is>
          <t>22.509</t>
        </is>
      </c>
      <c r="DW380" s="265" t="inlineStr">
        <is>
          <t>266</t>
        </is>
      </c>
      <c r="DX380" s="266" t="inlineStr">
        <is>
          <t>1,20%</t>
        </is>
      </c>
      <c r="DY380" s="267" t="inlineStr">
        <is>
          <t>PitchBook Research</t>
        </is>
      </c>
      <c r="DZ380" s="786">
        <f>HYPERLINK("https://my.pitchbook.com?c=104383-72", "View company online")</f>
      </c>
    </row>
    <row r="381">
      <c r="A381" s="9" t="inlineStr">
        <is>
          <t>172808-65</t>
        </is>
      </c>
      <c r="B381" s="10" t="inlineStr">
        <is>
          <t>RFRSH Entertainment</t>
        </is>
      </c>
      <c r="C381" s="11" t="inlineStr">
        <is>
          <t/>
        </is>
      </c>
      <c r="D381" s="12" t="inlineStr">
        <is>
          <t/>
        </is>
      </c>
      <c r="E381" s="13" t="inlineStr">
        <is>
          <t>172808-65</t>
        </is>
      </c>
      <c r="F381" s="14" t="inlineStr">
        <is>
          <t>Operator of an e-sports media marketing strategies platform intended to deliver the captured moments in e-sports. The company's e-Sports media marketing strategies platform provide winning commercial and marketing strategies for companies looking to enter and succeed in the wildly growing and challenging e-sports market, enabling fans and sponsors stay updated with both in-game and off-game news.</t>
        </is>
      </c>
      <c r="G381" s="15" t="inlineStr">
        <is>
          <t>Information Technology</t>
        </is>
      </c>
      <c r="H381" s="16" t="inlineStr">
        <is>
          <t>Software</t>
        </is>
      </c>
      <c r="I381" s="17" t="inlineStr">
        <is>
          <t>Social/Platform Software</t>
        </is>
      </c>
      <c r="J381" s="18" t="inlineStr">
        <is>
          <t>Social/Platform Software*; Media and Information Services (B2B)</t>
        </is>
      </c>
      <c r="K381" s="19" t="inlineStr">
        <is>
          <t/>
        </is>
      </c>
      <c r="L381" s="20" t="inlineStr">
        <is>
          <t>Venture Capital-Backed</t>
        </is>
      </c>
      <c r="M381" s="21" t="n">
        <v>11.2</v>
      </c>
      <c r="N381" s="22" t="inlineStr">
        <is>
          <t>Generating Revenue</t>
        </is>
      </c>
      <c r="O381" s="23" t="inlineStr">
        <is>
          <t>Privately Held (backing)</t>
        </is>
      </c>
      <c r="P381" s="24" t="inlineStr">
        <is>
          <t>Venture Capital</t>
        </is>
      </c>
      <c r="Q381" s="25" t="inlineStr">
        <is>
          <t>www.rfrsh.net</t>
        </is>
      </c>
      <c r="R381" s="26" t="inlineStr">
        <is>
          <t/>
        </is>
      </c>
      <c r="S381" s="27" t="inlineStr">
        <is>
          <t/>
        </is>
      </c>
      <c r="T381" s="28" t="inlineStr">
        <is>
          <t/>
        </is>
      </c>
      <c r="U381" s="29" t="n">
        <v>2016.0</v>
      </c>
      <c r="V381" s="30" t="inlineStr">
        <is>
          <t/>
        </is>
      </c>
      <c r="W381" s="31" t="inlineStr">
        <is>
          <t/>
        </is>
      </c>
      <c r="X381" s="32" t="inlineStr">
        <is>
          <t/>
        </is>
      </c>
      <c r="Y381" s="33" t="inlineStr">
        <is>
          <t/>
        </is>
      </c>
      <c r="Z381" s="34" t="inlineStr">
        <is>
          <t/>
        </is>
      </c>
      <c r="AA381" s="35" t="inlineStr">
        <is>
          <t/>
        </is>
      </c>
      <c r="AB381" s="36" t="inlineStr">
        <is>
          <t/>
        </is>
      </c>
      <c r="AC381" s="37" t="inlineStr">
        <is>
          <t/>
        </is>
      </c>
      <c r="AD381" s="38" t="inlineStr">
        <is>
          <t/>
        </is>
      </c>
      <c r="AE381" s="39" t="inlineStr">
        <is>
          <t>41036-05P</t>
        </is>
      </c>
      <c r="AF381" s="40" t="inlineStr">
        <is>
          <t>Nikolaj Nyholm</t>
        </is>
      </c>
      <c r="AG381" s="41" t="inlineStr">
        <is>
          <t>Chief Executive Officer &amp; Co-Founder</t>
        </is>
      </c>
      <c r="AH381" s="42" t="inlineStr">
        <is>
          <t>nikolaj@rfrsh.net</t>
        </is>
      </c>
      <c r="AI381" s="43" t="inlineStr">
        <is>
          <t/>
        </is>
      </c>
      <c r="AJ381" s="44" t="inlineStr">
        <is>
          <t>Copenhagen, Denmark</t>
        </is>
      </c>
      <c r="AK381" s="45" t="inlineStr">
        <is>
          <t>Otto Busses Vej 5A, 2 Sal</t>
        </is>
      </c>
      <c r="AL381" s="46" t="inlineStr">
        <is>
          <t>OBV028</t>
        </is>
      </c>
      <c r="AM381" s="47" t="inlineStr">
        <is>
          <t>Copenhagen</t>
        </is>
      </c>
      <c r="AN381" s="48" t="inlineStr">
        <is>
          <t/>
        </is>
      </c>
      <c r="AO381" s="49" t="inlineStr">
        <is>
          <t>2450</t>
        </is>
      </c>
      <c r="AP381" s="50" t="inlineStr">
        <is>
          <t>Denmark</t>
        </is>
      </c>
      <c r="AQ381" s="51" t="inlineStr">
        <is>
          <t/>
        </is>
      </c>
      <c r="AR381" s="52" t="inlineStr">
        <is>
          <t/>
        </is>
      </c>
      <c r="AS381" s="53" t="inlineStr">
        <is>
          <t>media@rfrsh.net</t>
        </is>
      </c>
      <c r="AT381" s="54" t="inlineStr">
        <is>
          <t>Europe</t>
        </is>
      </c>
      <c r="AU381" s="55" t="inlineStr">
        <is>
          <t>Northern Europe</t>
        </is>
      </c>
      <c r="AV381" s="56" t="inlineStr">
        <is>
          <t>The company raised EUR 7.2 million of venture funding from Creandum, David Helgason and Tommy Ahlers on June 29, 2017. Other undisclosed investors also participated in the round. The funds will be used to continue to strengthen the organization, support the teams affiliated with the company and invest in new, original media and live entertainment products. Previously, the company raised EUR 4 million of seed funding from Rene Rechtman, Lifeline Ventures, Sunstone Capital and Tommy Ahlers on December 22, 2016. Other undisclosed angel investors also participated in the round.</t>
        </is>
      </c>
      <c r="AW381" s="57" t="inlineStr">
        <is>
          <t>Creandum, David Helgason, Lifeline Ventures, Rene Rechtman, Sunstone Capital, Tommy Ahlers</t>
        </is>
      </c>
      <c r="AX381" s="58" t="n">
        <v>6.0</v>
      </c>
      <c r="AY381" s="59" t="inlineStr">
        <is>
          <t/>
        </is>
      </c>
      <c r="AZ381" s="60" t="inlineStr">
        <is>
          <t/>
        </is>
      </c>
      <c r="BA381" s="61" t="inlineStr">
        <is>
          <t/>
        </is>
      </c>
      <c r="BB381" s="62" t="inlineStr">
        <is>
          <t>Creandum (www.creandum.com), Lifeline Ventures (www.lifelineventures.com), Sunstone Capital (www.sunstone.eu)</t>
        </is>
      </c>
      <c r="BC381" s="63" t="inlineStr">
        <is>
          <t/>
        </is>
      </c>
      <c r="BD381" s="64" t="inlineStr">
        <is>
          <t/>
        </is>
      </c>
      <c r="BE381" s="65" t="inlineStr">
        <is>
          <t/>
        </is>
      </c>
      <c r="BF381" s="66" t="inlineStr">
        <is>
          <t/>
        </is>
      </c>
      <c r="BG381" s="67" t="n">
        <v>42726.0</v>
      </c>
      <c r="BH381" s="68" t="n">
        <v>4.0</v>
      </c>
      <c r="BI381" s="69" t="inlineStr">
        <is>
          <t>Actual</t>
        </is>
      </c>
      <c r="BJ381" s="70" t="inlineStr">
        <is>
          <t/>
        </is>
      </c>
      <c r="BK381" s="71" t="inlineStr">
        <is>
          <t/>
        </is>
      </c>
      <c r="BL381" s="72" t="inlineStr">
        <is>
          <t>Seed Round</t>
        </is>
      </c>
      <c r="BM381" s="73" t="inlineStr">
        <is>
          <t>Seed</t>
        </is>
      </c>
      <c r="BN381" s="74" t="inlineStr">
        <is>
          <t/>
        </is>
      </c>
      <c r="BO381" s="75" t="inlineStr">
        <is>
          <t>Venture Capital</t>
        </is>
      </c>
      <c r="BP381" s="76" t="inlineStr">
        <is>
          <t/>
        </is>
      </c>
      <c r="BQ381" s="77" t="inlineStr">
        <is>
          <t/>
        </is>
      </c>
      <c r="BR381" s="78" t="inlineStr">
        <is>
          <t/>
        </is>
      </c>
      <c r="BS381" s="79" t="inlineStr">
        <is>
          <t>Completed</t>
        </is>
      </c>
      <c r="BT381" s="80" t="n">
        <v>42915.0</v>
      </c>
      <c r="BU381" s="81" t="n">
        <v>7.2</v>
      </c>
      <c r="BV381" s="82" t="inlineStr">
        <is>
          <t>Actual</t>
        </is>
      </c>
      <c r="BW381" s="83" t="inlineStr">
        <is>
          <t/>
        </is>
      </c>
      <c r="BX381" s="84" t="inlineStr">
        <is>
          <t/>
        </is>
      </c>
      <c r="BY381" s="85" t="inlineStr">
        <is>
          <t>Early Stage VC</t>
        </is>
      </c>
      <c r="BZ381" s="86" t="inlineStr">
        <is>
          <t/>
        </is>
      </c>
      <c r="CA381" s="87" t="inlineStr">
        <is>
          <t/>
        </is>
      </c>
      <c r="CB381" s="88" t="inlineStr">
        <is>
          <t>Venture Capital</t>
        </is>
      </c>
      <c r="CC381" s="89" t="inlineStr">
        <is>
          <t/>
        </is>
      </c>
      <c r="CD381" s="90" t="inlineStr">
        <is>
          <t/>
        </is>
      </c>
      <c r="CE381" s="91" t="inlineStr">
        <is>
          <t/>
        </is>
      </c>
      <c r="CF381" s="92" t="inlineStr">
        <is>
          <t>Completed</t>
        </is>
      </c>
      <c r="CG381" s="93" t="inlineStr">
        <is>
          <t>-0,14%</t>
        </is>
      </c>
      <c r="CH381" s="94" t="inlineStr">
        <is>
          <t>13</t>
        </is>
      </c>
      <c r="CI381" s="95" t="inlineStr">
        <is>
          <t>-0,02%</t>
        </is>
      </c>
      <c r="CJ381" s="96" t="inlineStr">
        <is>
          <t>-12,73%</t>
        </is>
      </c>
      <c r="CK381" s="97" t="inlineStr">
        <is>
          <t>-2,45%</t>
        </is>
      </c>
      <c r="CL381" s="98" t="inlineStr">
        <is>
          <t>4</t>
        </is>
      </c>
      <c r="CM381" s="99" t="inlineStr">
        <is>
          <t>2,16%</t>
        </is>
      </c>
      <c r="CN381" s="100" t="inlineStr">
        <is>
          <t>99</t>
        </is>
      </c>
      <c r="CO381" s="101" t="inlineStr">
        <is>
          <t>-4,90%</t>
        </is>
      </c>
      <c r="CP381" s="102" t="inlineStr">
        <is>
          <t>7</t>
        </is>
      </c>
      <c r="CQ381" s="103" t="inlineStr">
        <is>
          <t>0,00%</t>
        </is>
      </c>
      <c r="CR381" s="104" t="inlineStr">
        <is>
          <t>13</t>
        </is>
      </c>
      <c r="CS381" s="105" t="inlineStr">
        <is>
          <t>2,09%</t>
        </is>
      </c>
      <c r="CT381" s="106" t="inlineStr">
        <is>
          <t>98</t>
        </is>
      </c>
      <c r="CU381" s="107" t="inlineStr">
        <is>
          <t>2,24%</t>
        </is>
      </c>
      <c r="CV381" s="108" t="inlineStr">
        <is>
          <t>99</t>
        </is>
      </c>
      <c r="CW381" s="109" t="inlineStr">
        <is>
          <t>3,01x</t>
        </is>
      </c>
      <c r="CX381" s="110" t="inlineStr">
        <is>
          <t>71</t>
        </is>
      </c>
      <c r="CY381" s="111" t="inlineStr">
        <is>
          <t>0,07x</t>
        </is>
      </c>
      <c r="CZ381" s="112" t="inlineStr">
        <is>
          <t>2,30%</t>
        </is>
      </c>
      <c r="DA381" s="113" t="inlineStr">
        <is>
          <t>3,41x</t>
        </is>
      </c>
      <c r="DB381" s="114" t="inlineStr">
        <is>
          <t>75</t>
        </is>
      </c>
      <c r="DC381" s="115" t="inlineStr">
        <is>
          <t>2,60x</t>
        </is>
      </c>
      <c r="DD381" s="116" t="inlineStr">
        <is>
          <t>66</t>
        </is>
      </c>
      <c r="DE381" s="117" t="inlineStr">
        <is>
          <t>5,01x</t>
        </is>
      </c>
      <c r="DF381" s="118" t="inlineStr">
        <is>
          <t>76</t>
        </is>
      </c>
      <c r="DG381" s="119" t="inlineStr">
        <is>
          <t>1,81x</t>
        </is>
      </c>
      <c r="DH381" s="120" t="inlineStr">
        <is>
          <t>62</t>
        </is>
      </c>
      <c r="DI381" s="121" t="inlineStr">
        <is>
          <t>0,48x</t>
        </is>
      </c>
      <c r="DJ381" s="122" t="inlineStr">
        <is>
          <t>38</t>
        </is>
      </c>
      <c r="DK381" s="123" t="inlineStr">
        <is>
          <t>4,72x</t>
        </is>
      </c>
      <c r="DL381" s="124" t="inlineStr">
        <is>
          <t>77</t>
        </is>
      </c>
      <c r="DM381" s="125" t="inlineStr">
        <is>
          <t>3.348</t>
        </is>
      </c>
      <c r="DN381" s="126" t="inlineStr">
        <is>
          <t>-801</t>
        </is>
      </c>
      <c r="DO381" s="127" t="inlineStr">
        <is>
          <t>-19,31%</t>
        </is>
      </c>
      <c r="DP381" s="128" t="inlineStr">
        <is>
          <t>383</t>
        </is>
      </c>
      <c r="DQ381" s="129" t="inlineStr">
        <is>
          <t>6</t>
        </is>
      </c>
      <c r="DR381" s="130" t="inlineStr">
        <is>
          <t>1,59%</t>
        </is>
      </c>
      <c r="DS381" s="131" t="inlineStr">
        <is>
          <t>65</t>
        </is>
      </c>
      <c r="DT381" s="132" t="inlineStr">
        <is>
          <t>-1</t>
        </is>
      </c>
      <c r="DU381" s="133" t="inlineStr">
        <is>
          <t>-1,52%</t>
        </is>
      </c>
      <c r="DV381" s="134" t="inlineStr">
        <is>
          <t>1.599</t>
        </is>
      </c>
      <c r="DW381" s="135" t="inlineStr">
        <is>
          <t>36</t>
        </is>
      </c>
      <c r="DX381" s="136" t="inlineStr">
        <is>
          <t>2,30%</t>
        </is>
      </c>
      <c r="DY381" s="137" t="inlineStr">
        <is>
          <t>PitchBook Research</t>
        </is>
      </c>
      <c r="DZ381" s="785">
        <f>HYPERLINK("https://my.pitchbook.com?c=172808-65", "View company online")</f>
      </c>
    </row>
    <row r="382">
      <c r="A382" s="139" t="inlineStr">
        <is>
          <t>97096-51</t>
        </is>
      </c>
      <c r="B382" s="140" t="inlineStr">
        <is>
          <t>Rigontec</t>
        </is>
      </c>
      <c r="C382" s="141" t="inlineStr">
        <is>
          <t/>
        </is>
      </c>
      <c r="D382" s="142" t="inlineStr">
        <is>
          <t/>
        </is>
      </c>
      <c r="E382" s="143" t="inlineStr">
        <is>
          <t>97096-51</t>
        </is>
      </c>
      <c r="F382" s="144" t="inlineStr">
        <is>
          <t>Developer of RNA-based immunotherapeutics for cancer and viral diseases intended to harness one of the most essential pathways in the innate immune system. The company's RNA-based immunotherapeutics offers proprietary retinoic acid inducible gene I (RIG-I) activators for the treatment of cancer and is designed to initiate specific activation of multiple RIG-I pathways to kill tumor cells and to enable long-term immunity against the cancer associated with the tumor, enabling healthcare providers to generate effective therapies.</t>
        </is>
      </c>
      <c r="G382" s="145" t="inlineStr">
        <is>
          <t>Healthcare</t>
        </is>
      </c>
      <c r="H382" s="146" t="inlineStr">
        <is>
          <t>Pharmaceuticals and Biotechnology</t>
        </is>
      </c>
      <c r="I382" s="147" t="inlineStr">
        <is>
          <t>Biotechnology</t>
        </is>
      </c>
      <c r="J382" s="148" t="inlineStr">
        <is>
          <t>Biotechnology*; Drug Discovery</t>
        </is>
      </c>
      <c r="K382" s="149" t="inlineStr">
        <is>
          <t>Life Sciences, Oncology</t>
        </is>
      </c>
      <c r="L382" s="150" t="inlineStr">
        <is>
          <t>Venture Capital-Backed</t>
        </is>
      </c>
      <c r="M382" s="151" t="n">
        <v>29.25</v>
      </c>
      <c r="N382" s="152" t="inlineStr">
        <is>
          <t>Generating Revenue</t>
        </is>
      </c>
      <c r="O382" s="153" t="inlineStr">
        <is>
          <t>Privately Held (backing)</t>
        </is>
      </c>
      <c r="P382" s="154" t="inlineStr">
        <is>
          <t>Venture Capital, M&amp;A</t>
        </is>
      </c>
      <c r="Q382" s="155" t="inlineStr">
        <is>
          <t>www.rigontec.com</t>
        </is>
      </c>
      <c r="R382" s="156" t="inlineStr">
        <is>
          <t/>
        </is>
      </c>
      <c r="S382" s="157" t="inlineStr">
        <is>
          <t/>
        </is>
      </c>
      <c r="T382" s="158" t="inlineStr">
        <is>
          <t/>
        </is>
      </c>
      <c r="U382" s="159" t="n">
        <v>2014.0</v>
      </c>
      <c r="V382" s="160" t="inlineStr">
        <is>
          <t/>
        </is>
      </c>
      <c r="W382" s="161" t="inlineStr">
        <is>
          <t/>
        </is>
      </c>
      <c r="X382" s="162" t="inlineStr">
        <is>
          <r>
            <rPr>
              <b/>
              <color rgb="ff26854d"/>
              <rFont val="Arial"/>
              <sz val="8.0"/>
            </rPr>
            <t>Deal</t>
          </r>
          <r>
            <rPr>
              <color rgb="ff707070"/>
              <rFont val="Arial"/>
              <sz val="7.0"/>
            </rPr>
            <t xml:space="preserve"> NEW  </t>
          </r>
          <r>
            <rPr>
              <color rgb="ff000000"/>
              <rFont val="Arial"/>
              <sz val="8.0"/>
            </rPr>
            <t>Merger/Acquisition, 2017</t>
          </r>
          <r>
            <rPr>
              <color rgb="ff707070"/>
              <rFont val="Arial"/>
              <sz val="7.0"/>
            </rPr>
            <t xml:space="preserve"> Announced/In Progress</t>
          </r>
          <r>
            <rPr>
              <color rgb="ff000000"/>
              <rFont val="Arial"/>
              <sz val="8.0"/>
            </rPr>
            <t xml:space="preserve">
</t>
          </r>
          <r>
            <rPr>
              <b/>
              <color rgb="ff26854d"/>
              <rFont val="Arial"/>
              <sz val="8.0"/>
            </rPr>
            <t>Primary Office</t>
          </r>
          <r>
            <rPr>
              <color rgb="ff707070"/>
              <rFont val="Arial"/>
              <sz val="7.0"/>
            </rPr>
            <t xml:space="preserve"> UPDATE  </t>
          </r>
          <r>
            <rPr>
              <color rgb="ff000000"/>
              <rFont val="Arial"/>
              <sz val="8.0"/>
            </rPr>
            <t>Munich, Germany</t>
          </r>
        </is>
      </c>
      <c r="Y382" s="163" t="inlineStr">
        <is>
          <t/>
        </is>
      </c>
      <c r="Z382" s="164" t="inlineStr">
        <is>
          <t/>
        </is>
      </c>
      <c r="AA382" s="165" t="inlineStr">
        <is>
          <t/>
        </is>
      </c>
      <c r="AB382" s="166" t="inlineStr">
        <is>
          <t/>
        </is>
      </c>
      <c r="AC382" s="167" t="inlineStr">
        <is>
          <t/>
        </is>
      </c>
      <c r="AD382" s="168" t="inlineStr">
        <is>
          <t/>
        </is>
      </c>
      <c r="AE382" s="169" t="inlineStr">
        <is>
          <t>124930-63P</t>
        </is>
      </c>
      <c r="AF382" s="170" t="inlineStr">
        <is>
          <t>Anne Burger</t>
        </is>
      </c>
      <c r="AG382" s="171" t="inlineStr">
        <is>
          <t>Chief Financial Officer</t>
        </is>
      </c>
      <c r="AH382" s="172" t="inlineStr">
        <is>
          <t>burger@middlepeakmedical.com</t>
        </is>
      </c>
      <c r="AI382" s="173" t="inlineStr">
        <is>
          <t/>
        </is>
      </c>
      <c r="AJ382" s="174" t="inlineStr">
        <is>
          <t>Munich, Germany</t>
        </is>
      </c>
      <c r="AK382" s="175" t="inlineStr">
        <is>
          <t>Izb, Am Klopferspitz 19</t>
        </is>
      </c>
      <c r="AL382" s="176" t="inlineStr">
        <is>
          <t>Planegg/Martinsried</t>
        </is>
      </c>
      <c r="AM382" s="177" t="inlineStr">
        <is>
          <t>Munich</t>
        </is>
      </c>
      <c r="AN382" s="178" t="inlineStr">
        <is>
          <t/>
        </is>
      </c>
      <c r="AO382" s="179" t="inlineStr">
        <is>
          <t>82152</t>
        </is>
      </c>
      <c r="AP382" s="180" t="inlineStr">
        <is>
          <t>Germany</t>
        </is>
      </c>
      <c r="AQ382" s="181" t="inlineStr">
        <is>
          <t>+49 (0)22 8763 7011 1</t>
        </is>
      </c>
      <c r="AR382" s="182" t="inlineStr">
        <is>
          <t/>
        </is>
      </c>
      <c r="AS382" s="183" t="inlineStr">
        <is>
          <t>info@rigontec.de</t>
        </is>
      </c>
      <c r="AT382" s="184" t="inlineStr">
        <is>
          <t>Europe</t>
        </is>
      </c>
      <c r="AU382" s="185" t="inlineStr">
        <is>
          <t>Western Europe</t>
        </is>
      </c>
      <c r="AV382" s="186" t="inlineStr">
        <is>
          <t>The company reached a definitive agreement to be acquired by Merck &amp; Co (NYSE: MRK) for EUR 464 million on September 6, 2017. Merck &amp; Co through a subsidiary, will make an upfront cash payment of EUR 115 million to Rigontec's shareholders and may make additional contingent payments of up to EUR 349 million. Earlier, the company raised EUR 29.25 million of Series A funding from Wellington Partners, Forbion Capital Partners and Boehringer Ingelheim Venture Fund on September 6, 2016. The company is being actively tracked by PitchBook.</t>
        </is>
      </c>
      <c r="AW382" s="187" t="inlineStr">
        <is>
          <t>Boehringer Ingelheim Venture Fund, Forbion Capital Partners, German Accelerator, High-Tech Gründerfonds, MP Healthcare Venture Management, NRW.Bank, Sunstone Capital, Wellington Partners</t>
        </is>
      </c>
      <c r="AX382" s="188" t="n">
        <v>8.0</v>
      </c>
      <c r="AY382" s="189" t="inlineStr">
        <is>
          <t/>
        </is>
      </c>
      <c r="AZ382" s="190" t="inlineStr">
        <is>
          <t/>
        </is>
      </c>
      <c r="BA382" s="191" t="inlineStr">
        <is>
          <t>Merck &amp; Co.</t>
        </is>
      </c>
      <c r="BB382" s="192" t="inlineStr">
        <is>
          <t>Boehringer Ingelheim Venture Fund (www.boehringer-ingelheim-venture.com), Forbion Capital Partners (www.forbion.com), German Accelerator (www.germanaccelerator.com), High-Tech Gründerfonds (www.high-tech-gruenderfonds.de), MP Healthcare Venture Management (www.mp-healthcare.com), NRW.Bank (www.nrwbank.de), Sunstone Capital (www.sunstone.eu), Wellington Partners (www.wellington-partners.com)</t>
        </is>
      </c>
      <c r="BC382" s="193" t="inlineStr">
        <is>
          <t/>
        </is>
      </c>
      <c r="BD382" s="194" t="inlineStr">
        <is>
          <t>Merck &amp; Co. (www.merck.com)</t>
        </is>
      </c>
      <c r="BE382" s="195" t="inlineStr">
        <is>
          <t>MacDougall Biomedical Communications (Consulting)</t>
        </is>
      </c>
      <c r="BF382" s="196" t="inlineStr">
        <is>
          <t>Moelis &amp; Company (Advisor)</t>
        </is>
      </c>
      <c r="BG382" s="197" t="inlineStr">
        <is>
          <t/>
        </is>
      </c>
      <c r="BH382" s="198" t="inlineStr">
        <is>
          <t/>
        </is>
      </c>
      <c r="BI382" s="199" t="inlineStr">
        <is>
          <t/>
        </is>
      </c>
      <c r="BJ382" s="200" t="inlineStr">
        <is>
          <t/>
        </is>
      </c>
      <c r="BK382" s="201" t="inlineStr">
        <is>
          <t/>
        </is>
      </c>
      <c r="BL382" s="202" t="inlineStr">
        <is>
          <t>Accelerator/Incubator</t>
        </is>
      </c>
      <c r="BM382" s="203" t="inlineStr">
        <is>
          <t/>
        </is>
      </c>
      <c r="BN382" s="204" t="inlineStr">
        <is>
          <t/>
        </is>
      </c>
      <c r="BO382" s="205" t="inlineStr">
        <is>
          <t>Other</t>
        </is>
      </c>
      <c r="BP382" s="206" t="inlineStr">
        <is>
          <t/>
        </is>
      </c>
      <c r="BQ382" s="207" t="inlineStr">
        <is>
          <t/>
        </is>
      </c>
      <c r="BR382" s="208" t="inlineStr">
        <is>
          <t/>
        </is>
      </c>
      <c r="BS382" s="209" t="inlineStr">
        <is>
          <t>Completed</t>
        </is>
      </c>
      <c r="BT382" s="210" t="n">
        <v>42984.0</v>
      </c>
      <c r="BU382" s="211" t="n">
        <v>464.0</v>
      </c>
      <c r="BV382" s="212" t="inlineStr">
        <is>
          <t>Actual</t>
        </is>
      </c>
      <c r="BW382" s="213" t="n">
        <v>464.0</v>
      </c>
      <c r="BX382" s="214" t="inlineStr">
        <is>
          <t>Actual</t>
        </is>
      </c>
      <c r="BY382" s="215" t="inlineStr">
        <is>
          <t>Merger/Acquisition</t>
        </is>
      </c>
      <c r="BZ382" s="216" t="inlineStr">
        <is>
          <t/>
        </is>
      </c>
      <c r="CA382" s="217" t="inlineStr">
        <is>
          <t/>
        </is>
      </c>
      <c r="CB382" s="218" t="inlineStr">
        <is>
          <t>Corporate</t>
        </is>
      </c>
      <c r="CC382" s="219" t="inlineStr">
        <is>
          <t/>
        </is>
      </c>
      <c r="CD382" s="220" t="inlineStr">
        <is>
          <t/>
        </is>
      </c>
      <c r="CE382" s="221" t="inlineStr">
        <is>
          <t/>
        </is>
      </c>
      <c r="CF382" s="222" t="inlineStr">
        <is>
          <t>Announced/In Progress</t>
        </is>
      </c>
      <c r="CG382" s="223" t="inlineStr">
        <is>
          <t>0,00%</t>
        </is>
      </c>
      <c r="CH382" s="224" t="inlineStr">
        <is>
          <t>23</t>
        </is>
      </c>
      <c r="CI382" s="225" t="inlineStr">
        <is>
          <t>0,00%</t>
        </is>
      </c>
      <c r="CJ382" s="226" t="inlineStr">
        <is>
          <t>0,00%</t>
        </is>
      </c>
      <c r="CK382" s="227" t="inlineStr">
        <is>
          <t>0,00%</t>
        </is>
      </c>
      <c r="CL382" s="228" t="inlineStr">
        <is>
          <t>18</t>
        </is>
      </c>
      <c r="CM382" s="229" t="inlineStr">
        <is>
          <t/>
        </is>
      </c>
      <c r="CN382" s="230" t="inlineStr">
        <is>
          <t/>
        </is>
      </c>
      <c r="CO382" s="231" t="inlineStr">
        <is>
          <t>0,00%</t>
        </is>
      </c>
      <c r="CP382" s="232" t="inlineStr">
        <is>
          <t>26</t>
        </is>
      </c>
      <c r="CQ382" s="233" t="inlineStr">
        <is>
          <t/>
        </is>
      </c>
      <c r="CR382" s="234" t="inlineStr">
        <is>
          <t/>
        </is>
      </c>
      <c r="CS382" s="235" t="inlineStr">
        <is>
          <t/>
        </is>
      </c>
      <c r="CT382" s="236" t="inlineStr">
        <is>
          <t/>
        </is>
      </c>
      <c r="CU382" s="237" t="inlineStr">
        <is>
          <t/>
        </is>
      </c>
      <c r="CV382" s="238" t="inlineStr">
        <is>
          <t/>
        </is>
      </c>
      <c r="CW382" s="239" t="inlineStr">
        <is>
          <t>0,99x</t>
        </is>
      </c>
      <c r="CX382" s="240" t="inlineStr">
        <is>
          <t>49</t>
        </is>
      </c>
      <c r="CY382" s="241" t="inlineStr">
        <is>
          <t>0,00x</t>
        </is>
      </c>
      <c r="CZ382" s="242" t="inlineStr">
        <is>
          <t>0,00%</t>
        </is>
      </c>
      <c r="DA382" s="243" t="inlineStr">
        <is>
          <t>0,99x</t>
        </is>
      </c>
      <c r="DB382" s="244" t="inlineStr">
        <is>
          <t>51</t>
        </is>
      </c>
      <c r="DC382" s="245" t="inlineStr">
        <is>
          <t/>
        </is>
      </c>
      <c r="DD382" s="246" t="inlineStr">
        <is>
          <t/>
        </is>
      </c>
      <c r="DE382" s="247" t="inlineStr">
        <is>
          <t>0,99x</t>
        </is>
      </c>
      <c r="DF382" s="248" t="inlineStr">
        <is>
          <t>50</t>
        </is>
      </c>
      <c r="DG382" s="249" t="inlineStr">
        <is>
          <t/>
        </is>
      </c>
      <c r="DH382" s="250" t="inlineStr">
        <is>
          <t/>
        </is>
      </c>
      <c r="DI382" s="251" t="inlineStr">
        <is>
          <t/>
        </is>
      </c>
      <c r="DJ382" s="252" t="inlineStr">
        <is>
          <t/>
        </is>
      </c>
      <c r="DK382" s="253" t="inlineStr">
        <is>
          <t/>
        </is>
      </c>
      <c r="DL382" s="254" t="inlineStr">
        <is>
          <t/>
        </is>
      </c>
      <c r="DM382" s="255" t="inlineStr">
        <is>
          <t>582</t>
        </is>
      </c>
      <c r="DN382" s="256" t="inlineStr">
        <is>
          <t>72</t>
        </is>
      </c>
      <c r="DO382" s="257" t="inlineStr">
        <is>
          <t>14,12%</t>
        </is>
      </c>
      <c r="DP382" s="258" t="inlineStr">
        <is>
          <t/>
        </is>
      </c>
      <c r="DQ382" s="259" t="inlineStr">
        <is>
          <t/>
        </is>
      </c>
      <c r="DR382" s="260" t="inlineStr">
        <is>
          <t/>
        </is>
      </c>
      <c r="DS382" s="261" t="inlineStr">
        <is>
          <t/>
        </is>
      </c>
      <c r="DT382" s="262" t="inlineStr">
        <is>
          <t/>
        </is>
      </c>
      <c r="DU382" s="263" t="inlineStr">
        <is>
          <t/>
        </is>
      </c>
      <c r="DV382" s="264" t="inlineStr">
        <is>
          <t/>
        </is>
      </c>
      <c r="DW382" s="265" t="inlineStr">
        <is>
          <t/>
        </is>
      </c>
      <c r="DX382" s="266" t="inlineStr">
        <is>
          <t/>
        </is>
      </c>
      <c r="DY382" s="267" t="inlineStr">
        <is>
          <t>PitchBook Research</t>
        </is>
      </c>
      <c r="DZ382" s="786">
        <f>HYPERLINK("https://my.pitchbook.com?c=97096-51", "View company online")</f>
      </c>
    </row>
    <row r="383">
      <c r="A383" s="9" t="inlineStr">
        <is>
          <t>106888-87</t>
        </is>
      </c>
      <c r="B383" s="10" t="inlineStr">
        <is>
          <t>Ripjar</t>
        </is>
      </c>
      <c r="C383" s="11" t="inlineStr">
        <is>
          <t/>
        </is>
      </c>
      <c r="D383" s="12" t="inlineStr">
        <is>
          <t/>
        </is>
      </c>
      <c r="E383" s="13" t="inlineStr">
        <is>
          <t>106888-87</t>
        </is>
      </c>
      <c r="F383" s="14" t="inlineStr">
        <is>
          <t>Developer of a next-generation strategic intelligence platform designed to analyse real-time information. The company's next-generation Ripjar SI platform combines deep learning technology, advanced analytics and global data collection to tackle analytic problems for real-time threat intelligence, anti-money laundering and insider threat enabling organizations, brands and agencies to analyse and visualize real-time information from bulk of structured and unstructured data.</t>
        </is>
      </c>
      <c r="G383" s="15" t="inlineStr">
        <is>
          <t>Business Products and Services (B2B)</t>
        </is>
      </c>
      <c r="H383" s="16" t="inlineStr">
        <is>
          <t>Commercial Services</t>
        </is>
      </c>
      <c r="I383" s="17" t="inlineStr">
        <is>
          <t>Media and Information Services (B2B)</t>
        </is>
      </c>
      <c r="J383" s="18" t="inlineStr">
        <is>
          <t>Media and Information Services (B2B)*; Application Software</t>
        </is>
      </c>
      <c r="K383" s="19" t="inlineStr">
        <is>
          <t>Artificial Intelligence &amp; Machine Learning</t>
        </is>
      </c>
      <c r="L383" s="20" t="inlineStr">
        <is>
          <t>Venture Capital-Backed</t>
        </is>
      </c>
      <c r="M383" s="21" t="n">
        <v>6.9</v>
      </c>
      <c r="N383" s="22" t="inlineStr">
        <is>
          <t>Generating Revenue</t>
        </is>
      </c>
      <c r="O383" s="23" t="inlineStr">
        <is>
          <t>Privately Held (backing)</t>
        </is>
      </c>
      <c r="P383" s="24" t="inlineStr">
        <is>
          <t>Venture Capital</t>
        </is>
      </c>
      <c r="Q383" s="25" t="inlineStr">
        <is>
          <t>www.ripjar.com</t>
        </is>
      </c>
      <c r="R383" s="26" t="n">
        <v>21.0</v>
      </c>
      <c r="S383" s="27" t="inlineStr">
        <is>
          <t/>
        </is>
      </c>
      <c r="T383" s="28" t="inlineStr">
        <is>
          <t/>
        </is>
      </c>
      <c r="U383" s="29" t="n">
        <v>2012.0</v>
      </c>
      <c r="V383" s="30" t="inlineStr">
        <is>
          <t/>
        </is>
      </c>
      <c r="W383" s="31" t="inlineStr">
        <is>
          <t/>
        </is>
      </c>
      <c r="X383" s="32" t="inlineStr">
        <is>
          <t/>
        </is>
      </c>
      <c r="Y383" s="33" t="inlineStr">
        <is>
          <t/>
        </is>
      </c>
      <c r="Z383" s="34" t="inlineStr">
        <is>
          <t/>
        </is>
      </c>
      <c r="AA383" s="35" t="inlineStr">
        <is>
          <t/>
        </is>
      </c>
      <c r="AB383" s="36" t="inlineStr">
        <is>
          <t/>
        </is>
      </c>
      <c r="AC383" s="37" t="inlineStr">
        <is>
          <t/>
        </is>
      </c>
      <c r="AD383" s="38" t="inlineStr">
        <is>
          <t/>
        </is>
      </c>
      <c r="AE383" s="39" t="inlineStr">
        <is>
          <t>93733-57P</t>
        </is>
      </c>
      <c r="AF383" s="40" t="inlineStr">
        <is>
          <t>Thomas Griffin</t>
        </is>
      </c>
      <c r="AG383" s="41" t="inlineStr">
        <is>
          <t>Chief Executive Officer</t>
        </is>
      </c>
      <c r="AH383" s="42" t="inlineStr">
        <is>
          <t>tom@ripjar.com</t>
        </is>
      </c>
      <c r="AI383" s="43" t="inlineStr">
        <is>
          <t>+44 (0)12 4231 2052</t>
        </is>
      </c>
      <c r="AJ383" s="44" t="inlineStr">
        <is>
          <t>Cheltenham, United Kingdom</t>
        </is>
      </c>
      <c r="AK383" s="45" t="inlineStr">
        <is>
          <t>Eagle Tower, Montpellier Drive</t>
        </is>
      </c>
      <c r="AL383" s="46" t="inlineStr">
        <is>
          <t>Suite 404</t>
        </is>
      </c>
      <c r="AM383" s="47" t="inlineStr">
        <is>
          <t>Cheltenham</t>
        </is>
      </c>
      <c r="AN383" s="48" t="inlineStr">
        <is>
          <t>England</t>
        </is>
      </c>
      <c r="AO383" s="49" t="inlineStr">
        <is>
          <t>GL50 1TA</t>
        </is>
      </c>
      <c r="AP383" s="50" t="inlineStr">
        <is>
          <t>United Kingdom</t>
        </is>
      </c>
      <c r="AQ383" s="51" t="inlineStr">
        <is>
          <t>+44 (0)12 4231 2052</t>
        </is>
      </c>
      <c r="AR383" s="52" t="inlineStr">
        <is>
          <t/>
        </is>
      </c>
      <c r="AS383" s="53" t="inlineStr">
        <is>
          <t/>
        </is>
      </c>
      <c r="AT383" s="54" t="inlineStr">
        <is>
          <t>Europe</t>
        </is>
      </c>
      <c r="AU383" s="55" t="inlineStr">
        <is>
          <t>Western Europe</t>
        </is>
      </c>
      <c r="AV383" s="56" t="inlineStr">
        <is>
          <t>The company raised GBP 3.75 million of venture funding from Winton Ventures on March 29, 2017, putting the pre-money valuation at GBP 33.11 million. The company intends to use the funds to bring their platform to more customers across the globe, expand their global partner network, sales team, as well as create a number of problem-centric applications that will build upon the foundations of their core platform.</t>
        </is>
      </c>
      <c r="AW383" s="57" t="inlineStr">
        <is>
          <t>FinTech Innovation Lab, Winton Ventures</t>
        </is>
      </c>
      <c r="AX383" s="58" t="n">
        <v>2.0</v>
      </c>
      <c r="AY383" s="59" t="inlineStr">
        <is>
          <t/>
        </is>
      </c>
      <c r="AZ383" s="60" t="inlineStr">
        <is>
          <t/>
        </is>
      </c>
      <c r="BA383" s="61" t="inlineStr">
        <is>
          <t/>
        </is>
      </c>
      <c r="BB383" s="62" t="inlineStr">
        <is>
          <t>FinTech Innovation Lab (www.fintechinnovationlab.com)</t>
        </is>
      </c>
      <c r="BC383" s="63" t="inlineStr">
        <is>
          <t/>
        </is>
      </c>
      <c r="BD383" s="64" t="inlineStr">
        <is>
          <t/>
        </is>
      </c>
      <c r="BE383" s="65" t="inlineStr">
        <is>
          <t/>
        </is>
      </c>
      <c r="BF383" s="66" t="inlineStr">
        <is>
          <t/>
        </is>
      </c>
      <c r="BG383" s="67" t="n">
        <v>42011.0</v>
      </c>
      <c r="BH383" s="68" t="inlineStr">
        <is>
          <t/>
        </is>
      </c>
      <c r="BI383" s="69" t="inlineStr">
        <is>
          <t/>
        </is>
      </c>
      <c r="BJ383" s="70" t="inlineStr">
        <is>
          <t/>
        </is>
      </c>
      <c r="BK383" s="71" t="inlineStr">
        <is>
          <t/>
        </is>
      </c>
      <c r="BL383" s="72" t="inlineStr">
        <is>
          <t>Accelerator/Incubator</t>
        </is>
      </c>
      <c r="BM383" s="73" t="inlineStr">
        <is>
          <t/>
        </is>
      </c>
      <c r="BN383" s="74" t="inlineStr">
        <is>
          <t/>
        </is>
      </c>
      <c r="BO383" s="75" t="inlineStr">
        <is>
          <t>Venture Capital</t>
        </is>
      </c>
      <c r="BP383" s="76" t="inlineStr">
        <is>
          <t/>
        </is>
      </c>
      <c r="BQ383" s="77" t="inlineStr">
        <is>
          <t/>
        </is>
      </c>
      <c r="BR383" s="78" t="inlineStr">
        <is>
          <t/>
        </is>
      </c>
      <c r="BS383" s="79" t="inlineStr">
        <is>
          <t>Completed</t>
        </is>
      </c>
      <c r="BT383" s="80" t="n">
        <v>42823.0</v>
      </c>
      <c r="BU383" s="81" t="n">
        <v>4.33</v>
      </c>
      <c r="BV383" s="82" t="inlineStr">
        <is>
          <t>Actual</t>
        </is>
      </c>
      <c r="BW383" s="83" t="n">
        <v>42.54</v>
      </c>
      <c r="BX383" s="84" t="inlineStr">
        <is>
          <t>Actual</t>
        </is>
      </c>
      <c r="BY383" s="85" t="inlineStr">
        <is>
          <t>Early Stage VC</t>
        </is>
      </c>
      <c r="BZ383" s="86" t="inlineStr">
        <is>
          <t/>
        </is>
      </c>
      <c r="CA383" s="87" t="inlineStr">
        <is>
          <t/>
        </is>
      </c>
      <c r="CB383" s="88" t="inlineStr">
        <is>
          <t>Venture Capital</t>
        </is>
      </c>
      <c r="CC383" s="89" t="inlineStr">
        <is>
          <t/>
        </is>
      </c>
      <c r="CD383" s="90" t="inlineStr">
        <is>
          <t/>
        </is>
      </c>
      <c r="CE383" s="91" t="inlineStr">
        <is>
          <t/>
        </is>
      </c>
      <c r="CF383" s="92" t="inlineStr">
        <is>
          <t>Completed</t>
        </is>
      </c>
      <c r="CG383" s="93" t="inlineStr">
        <is>
          <t>0,14%</t>
        </is>
      </c>
      <c r="CH383" s="94" t="inlineStr">
        <is>
          <t>76</t>
        </is>
      </c>
      <c r="CI383" s="95" t="inlineStr">
        <is>
          <t>-0,07%</t>
        </is>
      </c>
      <c r="CJ383" s="96" t="inlineStr">
        <is>
          <t>-33,70%</t>
        </is>
      </c>
      <c r="CK383" s="97" t="inlineStr">
        <is>
          <t>0,00%</t>
        </is>
      </c>
      <c r="CL383" s="98" t="inlineStr">
        <is>
          <t>18</t>
        </is>
      </c>
      <c r="CM383" s="99" t="inlineStr">
        <is>
          <t>0,28%</t>
        </is>
      </c>
      <c r="CN383" s="100" t="inlineStr">
        <is>
          <t>80</t>
        </is>
      </c>
      <c r="CO383" s="101" t="inlineStr">
        <is>
          <t>0,00%</t>
        </is>
      </c>
      <c r="CP383" s="102" t="inlineStr">
        <is>
          <t>26</t>
        </is>
      </c>
      <c r="CQ383" s="103" t="inlineStr">
        <is>
          <t>0,00%</t>
        </is>
      </c>
      <c r="CR383" s="104" t="inlineStr">
        <is>
          <t>13</t>
        </is>
      </c>
      <c r="CS383" s="105" t="inlineStr">
        <is>
          <t>0,21%</t>
        </is>
      </c>
      <c r="CT383" s="106" t="inlineStr">
        <is>
          <t>71</t>
        </is>
      </c>
      <c r="CU383" s="107" t="inlineStr">
        <is>
          <t>0,34%</t>
        </is>
      </c>
      <c r="CV383" s="108" t="inlineStr">
        <is>
          <t>86</t>
        </is>
      </c>
      <c r="CW383" s="109" t="inlineStr">
        <is>
          <t>0,84x</t>
        </is>
      </c>
      <c r="CX383" s="110" t="inlineStr">
        <is>
          <t>45</t>
        </is>
      </c>
      <c r="CY383" s="111" t="inlineStr">
        <is>
          <t>0,01x</t>
        </is>
      </c>
      <c r="CZ383" s="112" t="inlineStr">
        <is>
          <t>1,53%</t>
        </is>
      </c>
      <c r="DA383" s="113" t="inlineStr">
        <is>
          <t>0,84x</t>
        </is>
      </c>
      <c r="DB383" s="114" t="inlineStr">
        <is>
          <t>48</t>
        </is>
      </c>
      <c r="DC383" s="115" t="inlineStr">
        <is>
          <t>0,84x</t>
        </is>
      </c>
      <c r="DD383" s="116" t="inlineStr">
        <is>
          <t>45</t>
        </is>
      </c>
      <c r="DE383" s="117" t="inlineStr">
        <is>
          <t>1,26x</t>
        </is>
      </c>
      <c r="DF383" s="118" t="inlineStr">
        <is>
          <t>55</t>
        </is>
      </c>
      <c r="DG383" s="119" t="inlineStr">
        <is>
          <t>0,42x</t>
        </is>
      </c>
      <c r="DH383" s="120" t="inlineStr">
        <is>
          <t>32</t>
        </is>
      </c>
      <c r="DI383" s="121" t="inlineStr">
        <is>
          <t>0,15x</t>
        </is>
      </c>
      <c r="DJ383" s="122" t="inlineStr">
        <is>
          <t>19</t>
        </is>
      </c>
      <c r="DK383" s="123" t="inlineStr">
        <is>
          <t>1,53x</t>
        </is>
      </c>
      <c r="DL383" s="124" t="inlineStr">
        <is>
          <t>58</t>
        </is>
      </c>
      <c r="DM383" s="125" t="inlineStr">
        <is>
          <t>780</t>
        </is>
      </c>
      <c r="DN383" s="126" t="inlineStr">
        <is>
          <t>-9</t>
        </is>
      </c>
      <c r="DO383" s="127" t="inlineStr">
        <is>
          <t>-1,14%</t>
        </is>
      </c>
      <c r="DP383" s="128" t="inlineStr">
        <is>
          <t>119</t>
        </is>
      </c>
      <c r="DQ383" s="129" t="inlineStr">
        <is>
          <t>0</t>
        </is>
      </c>
      <c r="DR383" s="130" t="inlineStr">
        <is>
          <t>0,00%</t>
        </is>
      </c>
      <c r="DS383" s="131" t="inlineStr">
        <is>
          <t>15</t>
        </is>
      </c>
      <c r="DT383" s="132" t="inlineStr">
        <is>
          <t>0</t>
        </is>
      </c>
      <c r="DU383" s="133" t="inlineStr">
        <is>
          <t>0,00%</t>
        </is>
      </c>
      <c r="DV383" s="134" t="inlineStr">
        <is>
          <t>523</t>
        </is>
      </c>
      <c r="DW383" s="135" t="inlineStr">
        <is>
          <t>4</t>
        </is>
      </c>
      <c r="DX383" s="136" t="inlineStr">
        <is>
          <t>0,77%</t>
        </is>
      </c>
      <c r="DY383" s="137" t="inlineStr">
        <is>
          <t>PitchBook Research</t>
        </is>
      </c>
      <c r="DZ383" s="785">
        <f>HYPERLINK("https://my.pitchbook.com?c=106888-87", "View company online")</f>
      </c>
    </row>
    <row r="384">
      <c r="A384" s="139" t="inlineStr">
        <is>
          <t>61306-21</t>
        </is>
      </c>
      <c r="B384" s="140" t="inlineStr">
        <is>
          <t>Riskmethods</t>
        </is>
      </c>
      <c r="C384" s="141" t="inlineStr">
        <is>
          <t/>
        </is>
      </c>
      <c r="D384" s="142" t="inlineStr">
        <is>
          <t/>
        </is>
      </c>
      <c r="E384" s="143" t="inlineStr">
        <is>
          <t>61306-21</t>
        </is>
      </c>
      <c r="F384" s="144" t="inlineStr">
        <is>
          <t>Developer of a cloud-based supply chain risk management platform designed to identify, assess and mitigate global supply chain risk. The company's cloud-based supply chain risk management platform leverages AI, machine-learning algorithms and big data for proactive monitoring and assessment of risks in the supply chain, ensuring that proactive steps can be taken to avoid supply interruption, enforce compliance and protect the corporate image, enabling global organizations to identify and evaluate challenges within the supply chain in near real-time and to initiate appropriate countermeasures if necessary.</t>
        </is>
      </c>
      <c r="G384" s="145" t="inlineStr">
        <is>
          <t>Information Technology</t>
        </is>
      </c>
      <c r="H384" s="146" t="inlineStr">
        <is>
          <t>Software</t>
        </is>
      </c>
      <c r="I384" s="147" t="inlineStr">
        <is>
          <t>Business/Productivity Software</t>
        </is>
      </c>
      <c r="J384" s="148" t="inlineStr">
        <is>
          <t>Business/Productivity Software*; Other Software; Logistics</t>
        </is>
      </c>
      <c r="K384" s="149" t="inlineStr">
        <is>
          <t>Artificial Intelligence &amp; Machine Learning, Big Data, SaaS</t>
        </is>
      </c>
      <c r="L384" s="150" t="inlineStr">
        <is>
          <t>Venture Capital-Backed</t>
        </is>
      </c>
      <c r="M384" s="151" t="n">
        <v>21.81</v>
      </c>
      <c r="N384" s="152" t="inlineStr">
        <is>
          <t>Generating Revenue</t>
        </is>
      </c>
      <c r="O384" s="153" t="inlineStr">
        <is>
          <t>Privately Held (backing)</t>
        </is>
      </c>
      <c r="P384" s="154" t="inlineStr">
        <is>
          <t>Venture Capital</t>
        </is>
      </c>
      <c r="Q384" s="155" t="inlineStr">
        <is>
          <t>www.riskmethods.net</t>
        </is>
      </c>
      <c r="R384" s="156" t="n">
        <v>26.0</v>
      </c>
      <c r="S384" s="157" t="inlineStr">
        <is>
          <t/>
        </is>
      </c>
      <c r="T384" s="158" t="inlineStr">
        <is>
          <t/>
        </is>
      </c>
      <c r="U384" s="159" t="n">
        <v>2012.0</v>
      </c>
      <c r="V384" s="160" t="inlineStr">
        <is>
          <t/>
        </is>
      </c>
      <c r="W384" s="161" t="inlineStr">
        <is>
          <t/>
        </is>
      </c>
      <c r="X384" s="162" t="inlineStr">
        <is>
          <t/>
        </is>
      </c>
      <c r="Y384" s="163" t="inlineStr">
        <is>
          <t/>
        </is>
      </c>
      <c r="Z384" s="164" t="inlineStr">
        <is>
          <t/>
        </is>
      </c>
      <c r="AA384" s="165" t="inlineStr">
        <is>
          <t/>
        </is>
      </c>
      <c r="AB384" s="166" t="inlineStr">
        <is>
          <t/>
        </is>
      </c>
      <c r="AC384" s="167" t="inlineStr">
        <is>
          <t/>
        </is>
      </c>
      <c r="AD384" s="168" t="inlineStr">
        <is>
          <t/>
        </is>
      </c>
      <c r="AE384" s="169" t="inlineStr">
        <is>
          <t>146828-44P</t>
        </is>
      </c>
      <c r="AF384" s="170" t="inlineStr">
        <is>
          <t>Chris Blättermann</t>
        </is>
      </c>
      <c r="AG384" s="171" t="inlineStr">
        <is>
          <t>Chief Technology Officer</t>
        </is>
      </c>
      <c r="AH384" s="172" t="inlineStr">
        <is>
          <t>cb@riskmethods.net</t>
        </is>
      </c>
      <c r="AI384" s="173" t="inlineStr">
        <is>
          <t>+49 (0)89 9901 6480</t>
        </is>
      </c>
      <c r="AJ384" s="174" t="inlineStr">
        <is>
          <t>Munich, Germany</t>
        </is>
      </c>
      <c r="AK384" s="175" t="inlineStr">
        <is>
          <t>Orleansstraße 4</t>
        </is>
      </c>
      <c r="AL384" s="176" t="inlineStr">
        <is>
          <t/>
        </is>
      </c>
      <c r="AM384" s="177" t="inlineStr">
        <is>
          <t>Munich</t>
        </is>
      </c>
      <c r="AN384" s="178" t="inlineStr">
        <is>
          <t/>
        </is>
      </c>
      <c r="AO384" s="179" t="inlineStr">
        <is>
          <t>81669</t>
        </is>
      </c>
      <c r="AP384" s="180" t="inlineStr">
        <is>
          <t>Germany</t>
        </is>
      </c>
      <c r="AQ384" s="181" t="inlineStr">
        <is>
          <t>+49 (0)89 9901 6480</t>
        </is>
      </c>
      <c r="AR384" s="182" t="inlineStr">
        <is>
          <t>+49 (0)89 9901 6481 0</t>
        </is>
      </c>
      <c r="AS384" s="183" t="inlineStr">
        <is>
          <t>info@riskmethods.net</t>
        </is>
      </c>
      <c r="AT384" s="184" t="inlineStr">
        <is>
          <t>Europe</t>
        </is>
      </c>
      <c r="AU384" s="185" t="inlineStr">
        <is>
          <t>Western Europe</t>
        </is>
      </c>
      <c r="AV384" s="186" t="inlineStr">
        <is>
          <t>The company raised EUR 13.5 million of Series B venture funding in a deal led by Digital+ Partners on April 26, 2017. EQT Ventures, Senovo and Bayern Kapital also participated in the round. The company will use the funds to expand its partner network and customer success functions, invest in further product and solutions development and expand its workforce.</t>
        </is>
      </c>
      <c r="AW384" s="187" t="inlineStr">
        <is>
          <t>Alexander Brühl, Bayern Kapital, BM Advisors, Business Angels Club Berlin-Brandenburg, Digital+ Partners, EQT Ventures, Point Nine Capital, Senovo</t>
        </is>
      </c>
      <c r="AX384" s="188" t="n">
        <v>8.0</v>
      </c>
      <c r="AY384" s="189" t="inlineStr">
        <is>
          <t/>
        </is>
      </c>
      <c r="AZ384" s="190" t="inlineStr">
        <is>
          <t/>
        </is>
      </c>
      <c r="BA384" s="191" t="inlineStr">
        <is>
          <t/>
        </is>
      </c>
      <c r="BB384" s="192" t="inlineStr">
        <is>
          <t>Bayern Kapital (www.bayernkapital.de), Business Angels Club Berlin-Brandenburg (www.bacb.de), EQT Ventures (www.eqtventures.com), Point Nine Capital (www.pointninecap.com), Senovo (www.senovo.vc)</t>
        </is>
      </c>
      <c r="BC384" s="193" t="inlineStr">
        <is>
          <t/>
        </is>
      </c>
      <c r="BD384" s="194" t="inlineStr">
        <is>
          <t/>
        </is>
      </c>
      <c r="BE384" s="195" t="inlineStr">
        <is>
          <t/>
        </is>
      </c>
      <c r="BF384" s="196" t="inlineStr">
        <is>
          <t>P+P Pöllath + Partners (Legal Advisor)</t>
        </is>
      </c>
      <c r="BG384" s="197" t="n">
        <v>41293.0</v>
      </c>
      <c r="BH384" s="198" t="inlineStr">
        <is>
          <t/>
        </is>
      </c>
      <c r="BI384" s="199" t="inlineStr">
        <is>
          <t/>
        </is>
      </c>
      <c r="BJ384" s="200" t="inlineStr">
        <is>
          <t/>
        </is>
      </c>
      <c r="BK384" s="201" t="inlineStr">
        <is>
          <t/>
        </is>
      </c>
      <c r="BL384" s="202" t="inlineStr">
        <is>
          <t>Angel (individual)</t>
        </is>
      </c>
      <c r="BM384" s="203" t="inlineStr">
        <is>
          <t>Angel</t>
        </is>
      </c>
      <c r="BN384" s="204" t="inlineStr">
        <is>
          <t/>
        </is>
      </c>
      <c r="BO384" s="205" t="inlineStr">
        <is>
          <t>Individual</t>
        </is>
      </c>
      <c r="BP384" s="206" t="inlineStr">
        <is>
          <t/>
        </is>
      </c>
      <c r="BQ384" s="207" t="inlineStr">
        <is>
          <t/>
        </is>
      </c>
      <c r="BR384" s="208" t="inlineStr">
        <is>
          <t/>
        </is>
      </c>
      <c r="BS384" s="209" t="inlineStr">
        <is>
          <t>Completed</t>
        </is>
      </c>
      <c r="BT384" s="210" t="n">
        <v>42851.0</v>
      </c>
      <c r="BU384" s="211" t="n">
        <v>13.5</v>
      </c>
      <c r="BV384" s="212" t="inlineStr">
        <is>
          <t>Actual</t>
        </is>
      </c>
      <c r="BW384" s="213" t="inlineStr">
        <is>
          <t/>
        </is>
      </c>
      <c r="BX384" s="214" t="inlineStr">
        <is>
          <t/>
        </is>
      </c>
      <c r="BY384" s="215" t="inlineStr">
        <is>
          <t>Early Stage VC</t>
        </is>
      </c>
      <c r="BZ384" s="216" t="inlineStr">
        <is>
          <t>Series B</t>
        </is>
      </c>
      <c r="CA384" s="217" t="inlineStr">
        <is>
          <t/>
        </is>
      </c>
      <c r="CB384" s="218" t="inlineStr">
        <is>
          <t>Venture Capital</t>
        </is>
      </c>
      <c r="CC384" s="219" t="inlineStr">
        <is>
          <t/>
        </is>
      </c>
      <c r="CD384" s="220" t="inlineStr">
        <is>
          <t/>
        </is>
      </c>
      <c r="CE384" s="221" t="inlineStr">
        <is>
          <t/>
        </is>
      </c>
      <c r="CF384" s="222" t="inlineStr">
        <is>
          <t>Completed</t>
        </is>
      </c>
      <c r="CG384" s="223" t="inlineStr">
        <is>
          <t>-1,67%</t>
        </is>
      </c>
      <c r="CH384" s="224" t="inlineStr">
        <is>
          <t>3</t>
        </is>
      </c>
      <c r="CI384" s="225" t="inlineStr">
        <is>
          <t>0,24%</t>
        </is>
      </c>
      <c r="CJ384" s="226" t="inlineStr">
        <is>
          <t>12,45%</t>
        </is>
      </c>
      <c r="CK384" s="227" t="inlineStr">
        <is>
          <t>-5,78%</t>
        </is>
      </c>
      <c r="CL384" s="228" t="inlineStr">
        <is>
          <t>1</t>
        </is>
      </c>
      <c r="CM384" s="229" t="inlineStr">
        <is>
          <t>2,43%</t>
        </is>
      </c>
      <c r="CN384" s="230" t="inlineStr">
        <is>
          <t>99</t>
        </is>
      </c>
      <c r="CO384" s="231" t="inlineStr">
        <is>
          <t>-11,18%</t>
        </is>
      </c>
      <c r="CP384" s="232" t="inlineStr">
        <is>
          <t>1</t>
        </is>
      </c>
      <c r="CQ384" s="233" t="inlineStr">
        <is>
          <t>-0,37%</t>
        </is>
      </c>
      <c r="CR384" s="234" t="inlineStr">
        <is>
          <t>8</t>
        </is>
      </c>
      <c r="CS384" s="235" t="inlineStr">
        <is>
          <t>4,32%</t>
        </is>
      </c>
      <c r="CT384" s="236" t="inlineStr">
        <is>
          <t>100</t>
        </is>
      </c>
      <c r="CU384" s="237" t="inlineStr">
        <is>
          <t>0,54%</t>
        </is>
      </c>
      <c r="CV384" s="238" t="inlineStr">
        <is>
          <t>92</t>
        </is>
      </c>
      <c r="CW384" s="239" t="inlineStr">
        <is>
          <t>2,92x</t>
        </is>
      </c>
      <c r="CX384" s="240" t="inlineStr">
        <is>
          <t>71</t>
        </is>
      </c>
      <c r="CY384" s="241" t="inlineStr">
        <is>
          <t>0,05x</t>
        </is>
      </c>
      <c r="CZ384" s="242" t="inlineStr">
        <is>
          <t>1,73%</t>
        </is>
      </c>
      <c r="DA384" s="243" t="inlineStr">
        <is>
          <t>4,40x</t>
        </is>
      </c>
      <c r="DB384" s="244" t="inlineStr">
        <is>
          <t>78</t>
        </is>
      </c>
      <c r="DC384" s="245" t="inlineStr">
        <is>
          <t>1,45x</t>
        </is>
      </c>
      <c r="DD384" s="246" t="inlineStr">
        <is>
          <t>55</t>
        </is>
      </c>
      <c r="DE384" s="247" t="inlineStr">
        <is>
          <t>1,60x</t>
        </is>
      </c>
      <c r="DF384" s="248" t="inlineStr">
        <is>
          <t>60</t>
        </is>
      </c>
      <c r="DG384" s="249" t="inlineStr">
        <is>
          <t>7,19x</t>
        </is>
      </c>
      <c r="DH384" s="250" t="inlineStr">
        <is>
          <t>82</t>
        </is>
      </c>
      <c r="DI384" s="251" t="inlineStr">
        <is>
          <t>0,24x</t>
        </is>
      </c>
      <c r="DJ384" s="252" t="inlineStr">
        <is>
          <t>26</t>
        </is>
      </c>
      <c r="DK384" s="253" t="inlineStr">
        <is>
          <t>2,66x</t>
        </is>
      </c>
      <c r="DL384" s="254" t="inlineStr">
        <is>
          <t>68</t>
        </is>
      </c>
      <c r="DM384" s="255" t="inlineStr">
        <is>
          <t>995</t>
        </is>
      </c>
      <c r="DN384" s="256" t="inlineStr">
        <is>
          <t>-117</t>
        </is>
      </c>
      <c r="DO384" s="257" t="inlineStr">
        <is>
          <t>-10,52%</t>
        </is>
      </c>
      <c r="DP384" s="258" t="inlineStr">
        <is>
          <t>185</t>
        </is>
      </c>
      <c r="DQ384" s="259" t="inlineStr">
        <is>
          <t>16</t>
        </is>
      </c>
      <c r="DR384" s="260" t="inlineStr">
        <is>
          <t>9,47%</t>
        </is>
      </c>
      <c r="DS384" s="261" t="inlineStr">
        <is>
          <t>260</t>
        </is>
      </c>
      <c r="DT384" s="262" t="inlineStr">
        <is>
          <t>-3</t>
        </is>
      </c>
      <c r="DU384" s="263" t="inlineStr">
        <is>
          <t>-1,14%</t>
        </is>
      </c>
      <c r="DV384" s="264" t="inlineStr">
        <is>
          <t>908</t>
        </is>
      </c>
      <c r="DW384" s="265" t="inlineStr">
        <is>
          <t>-1</t>
        </is>
      </c>
      <c r="DX384" s="266" t="inlineStr">
        <is>
          <t>-0,11%</t>
        </is>
      </c>
      <c r="DY384" s="267" t="inlineStr">
        <is>
          <t>PitchBook Research</t>
        </is>
      </c>
      <c r="DZ384" s="786">
        <f>HYPERLINK("https://my.pitchbook.com?c=61306-21", "View company online")</f>
      </c>
    </row>
    <row r="385">
      <c r="A385" s="9" t="inlineStr">
        <is>
          <t>167461-30</t>
        </is>
      </c>
      <c r="B385" s="10" t="inlineStr">
        <is>
          <t>Rubislaw Care</t>
        </is>
      </c>
      <c r="C385" s="11" t="inlineStr">
        <is>
          <t/>
        </is>
      </c>
      <c r="D385" s="12" t="inlineStr">
        <is>
          <t/>
        </is>
      </c>
      <c r="E385" s="13" t="inlineStr">
        <is>
          <t>167461-30</t>
        </is>
      </c>
      <c r="F385" s="14" t="inlineStr">
        <is>
          <t>Provider of luxury care homes in Aberdeen. The company offers residential care, respite care, dementia care and whole-life nursing care to its customers.</t>
        </is>
      </c>
      <c r="G385" s="15" t="inlineStr">
        <is>
          <t>Healthcare</t>
        </is>
      </c>
      <c r="H385" s="16" t="inlineStr">
        <is>
          <t>Healthcare Services</t>
        </is>
      </c>
      <c r="I385" s="17" t="inlineStr">
        <is>
          <t>Elder and Disabled Care</t>
        </is>
      </c>
      <c r="J385" s="18" t="inlineStr">
        <is>
          <t>Elder and Disabled Care*; Managed Care; Other Healthcare</t>
        </is>
      </c>
      <c r="K385" s="19" t="inlineStr">
        <is>
          <t/>
        </is>
      </c>
      <c r="L385" s="20" t="inlineStr">
        <is>
          <t>Venture Capital-Backed</t>
        </is>
      </c>
      <c r="M385" s="21" t="n">
        <v>10.37</v>
      </c>
      <c r="N385" s="22" t="inlineStr">
        <is>
          <t>Startup</t>
        </is>
      </c>
      <c r="O385" s="23" t="inlineStr">
        <is>
          <t>Privately Held (backing)</t>
        </is>
      </c>
      <c r="P385" s="24" t="inlineStr">
        <is>
          <t>Venture Capital</t>
        </is>
      </c>
      <c r="Q385" s="25" t="inlineStr">
        <is>
          <t/>
        </is>
      </c>
      <c r="R385" s="26" t="n">
        <v>81.0</v>
      </c>
      <c r="S385" s="27" t="inlineStr">
        <is>
          <t/>
        </is>
      </c>
      <c r="T385" s="28" t="inlineStr">
        <is>
          <t/>
        </is>
      </c>
      <c r="U385" s="29" t="n">
        <v>2014.0</v>
      </c>
      <c r="V385" s="30" t="inlineStr">
        <is>
          <t/>
        </is>
      </c>
      <c r="W385" s="31" t="inlineStr">
        <is>
          <t/>
        </is>
      </c>
      <c r="X385" s="32" t="inlineStr">
        <is>
          <t/>
        </is>
      </c>
      <c r="Y385" s="33" t="n">
        <v>3.89143</v>
      </c>
      <c r="Z385" s="34" t="n">
        <v>1.76721</v>
      </c>
      <c r="AA385" s="35" t="n">
        <v>0.04463</v>
      </c>
      <c r="AB385" s="36" t="inlineStr">
        <is>
          <t/>
        </is>
      </c>
      <c r="AC385" s="37" t="n">
        <v>1.30309</v>
      </c>
      <c r="AD385" s="38" t="inlineStr">
        <is>
          <t>FY 2016</t>
        </is>
      </c>
      <c r="AE385" s="39" t="inlineStr">
        <is>
          <t/>
        </is>
      </c>
      <c r="AF385" s="40" t="inlineStr">
        <is>
          <t/>
        </is>
      </c>
      <c r="AG385" s="41" t="inlineStr">
        <is>
          <t/>
        </is>
      </c>
      <c r="AH385" s="42" t="inlineStr">
        <is>
          <t/>
        </is>
      </c>
      <c r="AI385" s="43" t="inlineStr">
        <is>
          <t/>
        </is>
      </c>
      <c r="AJ385" s="44" t="inlineStr">
        <is>
          <t>London, United Kingdom</t>
        </is>
      </c>
      <c r="AK385" s="45" t="inlineStr">
        <is>
          <t>Ergon House Horseferry</t>
        </is>
      </c>
      <c r="AL385" s="46" t="inlineStr">
        <is>
          <t/>
        </is>
      </c>
      <c r="AM385" s="47" t="inlineStr">
        <is>
          <t>London</t>
        </is>
      </c>
      <c r="AN385" s="48" t="inlineStr">
        <is>
          <t>England</t>
        </is>
      </c>
      <c r="AO385" s="49" t="inlineStr">
        <is>
          <t>SW1P 2AL</t>
        </is>
      </c>
      <c r="AP385" s="50" t="inlineStr">
        <is>
          <t>United Kingdom</t>
        </is>
      </c>
      <c r="AQ385" s="51" t="inlineStr">
        <is>
          <t/>
        </is>
      </c>
      <c r="AR385" s="52" t="inlineStr">
        <is>
          <t/>
        </is>
      </c>
      <c r="AS385" s="53" t="inlineStr">
        <is>
          <t/>
        </is>
      </c>
      <c r="AT385" s="54" t="inlineStr">
        <is>
          <t>Europe</t>
        </is>
      </c>
      <c r="AU385" s="55" t="inlineStr">
        <is>
          <t>Western Europe</t>
        </is>
      </c>
      <c r="AV385" s="56" t="inlineStr">
        <is>
          <t>The company raised GBP 7.5 million venture funding from Downing in April 2015.</t>
        </is>
      </c>
      <c r="AW385" s="57" t="inlineStr">
        <is>
          <t>Downing</t>
        </is>
      </c>
      <c r="AX385" s="58" t="n">
        <v>1.0</v>
      </c>
      <c r="AY385" s="59" t="inlineStr">
        <is>
          <t/>
        </is>
      </c>
      <c r="AZ385" s="60" t="inlineStr">
        <is>
          <t/>
        </is>
      </c>
      <c r="BA385" s="61" t="inlineStr">
        <is>
          <t/>
        </is>
      </c>
      <c r="BB385" s="62" t="inlineStr">
        <is>
          <t>Downing (www.downing.co.uk)</t>
        </is>
      </c>
      <c r="BC385" s="63" t="inlineStr">
        <is>
          <t/>
        </is>
      </c>
      <c r="BD385" s="64" t="inlineStr">
        <is>
          <t/>
        </is>
      </c>
      <c r="BE385" s="65" t="inlineStr">
        <is>
          <t>RPG Crouch Chapman (Auditor)</t>
        </is>
      </c>
      <c r="BF385" s="66" t="inlineStr">
        <is>
          <t/>
        </is>
      </c>
      <c r="BG385" s="67" t="n">
        <v>42095.0</v>
      </c>
      <c r="BH385" s="68" t="n">
        <v>10.37</v>
      </c>
      <c r="BI385" s="69" t="inlineStr">
        <is>
          <t>Actual</t>
        </is>
      </c>
      <c r="BJ385" s="70" t="inlineStr">
        <is>
          <t/>
        </is>
      </c>
      <c r="BK385" s="71" t="inlineStr">
        <is>
          <t/>
        </is>
      </c>
      <c r="BL385" s="72" t="inlineStr">
        <is>
          <t>Early Stage VC</t>
        </is>
      </c>
      <c r="BM385" s="73" t="inlineStr">
        <is>
          <t>Acquisition Financing</t>
        </is>
      </c>
      <c r="BN385" s="74" t="inlineStr">
        <is>
          <t/>
        </is>
      </c>
      <c r="BO385" s="75" t="inlineStr">
        <is>
          <t>Venture Capital</t>
        </is>
      </c>
      <c r="BP385" s="76" t="inlineStr">
        <is>
          <t/>
        </is>
      </c>
      <c r="BQ385" s="77" t="inlineStr">
        <is>
          <t/>
        </is>
      </c>
      <c r="BR385" s="78" t="inlineStr">
        <is>
          <t/>
        </is>
      </c>
      <c r="BS385" s="79" t="inlineStr">
        <is>
          <t>Completed</t>
        </is>
      </c>
      <c r="BT385" s="80" t="n">
        <v>42095.0</v>
      </c>
      <c r="BU385" s="81" t="n">
        <v>10.37</v>
      </c>
      <c r="BV385" s="82" t="inlineStr">
        <is>
          <t>Actual</t>
        </is>
      </c>
      <c r="BW385" s="83" t="inlineStr">
        <is>
          <t/>
        </is>
      </c>
      <c r="BX385" s="84" t="inlineStr">
        <is>
          <t/>
        </is>
      </c>
      <c r="BY385" s="85" t="inlineStr">
        <is>
          <t>Early Stage VC</t>
        </is>
      </c>
      <c r="BZ385" s="86" t="inlineStr">
        <is>
          <t>Acquisition Financing</t>
        </is>
      </c>
      <c r="CA385" s="87" t="inlineStr">
        <is>
          <t/>
        </is>
      </c>
      <c r="CB385" s="88" t="inlineStr">
        <is>
          <t>Venture Capital</t>
        </is>
      </c>
      <c r="CC385" s="89" t="inlineStr">
        <is>
          <t/>
        </is>
      </c>
      <c r="CD385" s="90" t="inlineStr">
        <is>
          <t/>
        </is>
      </c>
      <c r="CE385" s="91" t="inlineStr">
        <is>
          <t/>
        </is>
      </c>
      <c r="CF385" s="92" t="inlineStr">
        <is>
          <t>Completed</t>
        </is>
      </c>
      <c r="CG385" s="93" t="inlineStr">
        <is>
          <t/>
        </is>
      </c>
      <c r="CH385" s="94" t="inlineStr">
        <is>
          <t/>
        </is>
      </c>
      <c r="CI385" s="95" t="inlineStr">
        <is>
          <t/>
        </is>
      </c>
      <c r="CJ385" s="96" t="inlineStr">
        <is>
          <t/>
        </is>
      </c>
      <c r="CK385" s="97" t="inlineStr">
        <is>
          <t/>
        </is>
      </c>
      <c r="CL385" s="98" t="inlineStr">
        <is>
          <t/>
        </is>
      </c>
      <c r="CM385" s="99" t="inlineStr">
        <is>
          <t/>
        </is>
      </c>
      <c r="CN385" s="100" t="inlineStr">
        <is>
          <t/>
        </is>
      </c>
      <c r="CO385" s="101" t="inlineStr">
        <is>
          <t/>
        </is>
      </c>
      <c r="CP385" s="102" t="inlineStr">
        <is>
          <t/>
        </is>
      </c>
      <c r="CQ385" s="103" t="inlineStr">
        <is>
          <t/>
        </is>
      </c>
      <c r="CR385" s="104" t="inlineStr">
        <is>
          <t/>
        </is>
      </c>
      <c r="CS385" s="105" t="inlineStr">
        <is>
          <t/>
        </is>
      </c>
      <c r="CT385" s="106" t="inlineStr">
        <is>
          <t/>
        </is>
      </c>
      <c r="CU385" s="107" t="inlineStr">
        <is>
          <t/>
        </is>
      </c>
      <c r="CV385" s="108" t="inlineStr">
        <is>
          <t/>
        </is>
      </c>
      <c r="CW385" s="109" t="inlineStr">
        <is>
          <t/>
        </is>
      </c>
      <c r="CX385" s="110" t="inlineStr">
        <is>
          <t/>
        </is>
      </c>
      <c r="CY385" s="111" t="inlineStr">
        <is>
          <t/>
        </is>
      </c>
      <c r="CZ385" s="112" t="inlineStr">
        <is>
          <t/>
        </is>
      </c>
      <c r="DA385" s="113" t="inlineStr">
        <is>
          <t/>
        </is>
      </c>
      <c r="DB385" s="114" t="inlineStr">
        <is>
          <t/>
        </is>
      </c>
      <c r="DC385" s="115" t="inlineStr">
        <is>
          <t/>
        </is>
      </c>
      <c r="DD385" s="116" t="inlineStr">
        <is>
          <t/>
        </is>
      </c>
      <c r="DE385" s="117" t="inlineStr">
        <is>
          <t/>
        </is>
      </c>
      <c r="DF385" s="118" t="inlineStr">
        <is>
          <t/>
        </is>
      </c>
      <c r="DG385" s="119" t="inlineStr">
        <is>
          <t/>
        </is>
      </c>
      <c r="DH385" s="120" t="inlineStr">
        <is>
          <t/>
        </is>
      </c>
      <c r="DI385" s="121" t="inlineStr">
        <is>
          <t/>
        </is>
      </c>
      <c r="DJ385" s="122" t="inlineStr">
        <is>
          <t/>
        </is>
      </c>
      <c r="DK385" s="123" t="inlineStr">
        <is>
          <t/>
        </is>
      </c>
      <c r="DL385" s="124" t="inlineStr">
        <is>
          <t/>
        </is>
      </c>
      <c r="DM385" s="125" t="inlineStr">
        <is>
          <t/>
        </is>
      </c>
      <c r="DN385" s="126" t="inlineStr">
        <is>
          <t/>
        </is>
      </c>
      <c r="DO385" s="127" t="inlineStr">
        <is>
          <t/>
        </is>
      </c>
      <c r="DP385" s="128" t="inlineStr">
        <is>
          <t/>
        </is>
      </c>
      <c r="DQ385" s="129" t="inlineStr">
        <is>
          <t/>
        </is>
      </c>
      <c r="DR385" s="130" t="inlineStr">
        <is>
          <t/>
        </is>
      </c>
      <c r="DS385" s="131" t="inlineStr">
        <is>
          <t/>
        </is>
      </c>
      <c r="DT385" s="132" t="inlineStr">
        <is>
          <t/>
        </is>
      </c>
      <c r="DU385" s="133" t="inlineStr">
        <is>
          <t/>
        </is>
      </c>
      <c r="DV385" s="134" t="inlineStr">
        <is>
          <t/>
        </is>
      </c>
      <c r="DW385" s="135" t="inlineStr">
        <is>
          <t/>
        </is>
      </c>
      <c r="DX385" s="136" t="inlineStr">
        <is>
          <t/>
        </is>
      </c>
      <c r="DY385" s="137" t="inlineStr">
        <is>
          <t>PitchBook Research</t>
        </is>
      </c>
      <c r="DZ385" s="785">
        <f>HYPERLINK("https://my.pitchbook.com?c=167461-30", "View company online")</f>
      </c>
    </row>
    <row r="386">
      <c r="A386" s="139" t="inlineStr">
        <is>
          <t>108940-87</t>
        </is>
      </c>
      <c r="B386" s="140" t="inlineStr">
        <is>
          <t>Ryefield Court</t>
        </is>
      </c>
      <c r="C386" s="141" t="inlineStr">
        <is>
          <t/>
        </is>
      </c>
      <c r="D386" s="142" t="inlineStr">
        <is>
          <t/>
        </is>
      </c>
      <c r="E386" s="143" t="inlineStr">
        <is>
          <t>108940-87</t>
        </is>
      </c>
      <c r="F386" s="144" t="inlineStr">
        <is>
          <t>Operator of a residential care home for the elderly. The company's services includes a hotel style accommodation including a bistro, private dining room, library and spa.</t>
        </is>
      </c>
      <c r="G386" s="145" t="inlineStr">
        <is>
          <t>Healthcare</t>
        </is>
      </c>
      <c r="H386" s="146" t="inlineStr">
        <is>
          <t>Healthcare Services</t>
        </is>
      </c>
      <c r="I386" s="147" t="inlineStr">
        <is>
          <t>Elder and Disabled Care</t>
        </is>
      </c>
      <c r="J386" s="148" t="inlineStr">
        <is>
          <t>Elder and Disabled Care*</t>
        </is>
      </c>
      <c r="K386" s="149" t="inlineStr">
        <is>
          <t/>
        </is>
      </c>
      <c r="L386" s="150" t="inlineStr">
        <is>
          <t>Venture Capital-Backed</t>
        </is>
      </c>
      <c r="M386" s="151" t="n">
        <v>8.15</v>
      </c>
      <c r="N386" s="152" t="inlineStr">
        <is>
          <t>Generating Revenue</t>
        </is>
      </c>
      <c r="O386" s="153" t="inlineStr">
        <is>
          <t>Privately Held (backing)</t>
        </is>
      </c>
      <c r="P386" s="154" t="inlineStr">
        <is>
          <t>Venture Capital</t>
        </is>
      </c>
      <c r="Q386" s="155" t="inlineStr">
        <is>
          <t>www.ryefieldcourt.com</t>
        </is>
      </c>
      <c r="R386" s="156" t="inlineStr">
        <is>
          <t/>
        </is>
      </c>
      <c r="S386" s="157" t="inlineStr">
        <is>
          <t/>
        </is>
      </c>
      <c r="T386" s="158" t="inlineStr">
        <is>
          <t/>
        </is>
      </c>
      <c r="U386" s="159" t="n">
        <v>2012.0</v>
      </c>
      <c r="V386" s="160" t="inlineStr">
        <is>
          <t/>
        </is>
      </c>
      <c r="W386" s="161" t="inlineStr">
        <is>
          <t/>
        </is>
      </c>
      <c r="X386" s="162" t="inlineStr">
        <is>
          <t/>
        </is>
      </c>
      <c r="Y386" s="163" t="inlineStr">
        <is>
          <t/>
        </is>
      </c>
      <c r="Z386" s="164" t="inlineStr">
        <is>
          <t/>
        </is>
      </c>
      <c r="AA386" s="165" t="inlineStr">
        <is>
          <t/>
        </is>
      </c>
      <c r="AB386" s="166" t="inlineStr">
        <is>
          <t/>
        </is>
      </c>
      <c r="AC386" s="167" t="inlineStr">
        <is>
          <t/>
        </is>
      </c>
      <c r="AD386" s="168" t="inlineStr">
        <is>
          <t/>
        </is>
      </c>
      <c r="AE386" s="169" t="inlineStr">
        <is>
          <t/>
        </is>
      </c>
      <c r="AF386" s="170" t="inlineStr">
        <is>
          <t/>
        </is>
      </c>
      <c r="AG386" s="171" t="inlineStr">
        <is>
          <t/>
        </is>
      </c>
      <c r="AH386" s="172" t="inlineStr">
        <is>
          <t/>
        </is>
      </c>
      <c r="AI386" s="173" t="inlineStr">
        <is>
          <t/>
        </is>
      </c>
      <c r="AJ386" s="174" t="inlineStr">
        <is>
          <t>Hillingdon, United Kingdom</t>
        </is>
      </c>
      <c r="AK386" s="175" t="inlineStr">
        <is>
          <t>Ryefield Avenue</t>
        </is>
      </c>
      <c r="AL386" s="176" t="inlineStr">
        <is>
          <t/>
        </is>
      </c>
      <c r="AM386" s="177" t="inlineStr">
        <is>
          <t>Hillingdon</t>
        </is>
      </c>
      <c r="AN386" s="178" t="inlineStr">
        <is>
          <t>England</t>
        </is>
      </c>
      <c r="AO386" s="179" t="inlineStr">
        <is>
          <t>UB10 9BE</t>
        </is>
      </c>
      <c r="AP386" s="180" t="inlineStr">
        <is>
          <t>United Kingdom</t>
        </is>
      </c>
      <c r="AQ386" s="181" t="inlineStr">
        <is>
          <t>+44 (0)80 0389 5557</t>
        </is>
      </c>
      <c r="AR386" s="182" t="inlineStr">
        <is>
          <t/>
        </is>
      </c>
      <c r="AS386" s="183" t="inlineStr">
        <is>
          <t>info@ryefieldcourt.com</t>
        </is>
      </c>
      <c r="AT386" s="184" t="inlineStr">
        <is>
          <t>Europe</t>
        </is>
      </c>
      <c r="AU386" s="185" t="inlineStr">
        <is>
          <t>Western Europe</t>
        </is>
      </c>
      <c r="AV386" s="186" t="inlineStr">
        <is>
          <t>The company raised GBP 6.75 million of venture funding from Albion Ventures in 2014. The funding will be used for the development of a purpose-built residential care home for the elderly.</t>
        </is>
      </c>
      <c r="AW386" s="187" t="inlineStr">
        <is>
          <t>Albion Capital</t>
        </is>
      </c>
      <c r="AX386" s="188" t="n">
        <v>1.0</v>
      </c>
      <c r="AY386" s="189" t="inlineStr">
        <is>
          <t/>
        </is>
      </c>
      <c r="AZ386" s="190" t="inlineStr">
        <is>
          <t/>
        </is>
      </c>
      <c r="BA386" s="191" t="inlineStr">
        <is>
          <t/>
        </is>
      </c>
      <c r="BB386" s="192" t="inlineStr">
        <is>
          <t/>
        </is>
      </c>
      <c r="BC386" s="193" t="inlineStr">
        <is>
          <t/>
        </is>
      </c>
      <c r="BD386" s="194" t="inlineStr">
        <is>
          <t/>
        </is>
      </c>
      <c r="BE386" s="195" t="inlineStr">
        <is>
          <t/>
        </is>
      </c>
      <c r="BF386" s="196" t="inlineStr">
        <is>
          <t/>
        </is>
      </c>
      <c r="BG386" s="197" t="n">
        <v>41640.0</v>
      </c>
      <c r="BH386" s="198" t="n">
        <v>8.15</v>
      </c>
      <c r="BI386" s="199" t="inlineStr">
        <is>
          <t>Actual</t>
        </is>
      </c>
      <c r="BJ386" s="200" t="inlineStr">
        <is>
          <t/>
        </is>
      </c>
      <c r="BK386" s="201" t="inlineStr">
        <is>
          <t/>
        </is>
      </c>
      <c r="BL386" s="202" t="inlineStr">
        <is>
          <t>Early Stage VC</t>
        </is>
      </c>
      <c r="BM386" s="203" t="inlineStr">
        <is>
          <t/>
        </is>
      </c>
      <c r="BN386" s="204" t="inlineStr">
        <is>
          <t/>
        </is>
      </c>
      <c r="BO386" s="205" t="inlineStr">
        <is>
          <t>Venture Capital</t>
        </is>
      </c>
      <c r="BP386" s="206" t="inlineStr">
        <is>
          <t/>
        </is>
      </c>
      <c r="BQ386" s="207" t="inlineStr">
        <is>
          <t/>
        </is>
      </c>
      <c r="BR386" s="208" t="inlineStr">
        <is>
          <t/>
        </is>
      </c>
      <c r="BS386" s="209" t="inlineStr">
        <is>
          <t>Completed</t>
        </is>
      </c>
      <c r="BT386" s="210" t="n">
        <v>41640.0</v>
      </c>
      <c r="BU386" s="211" t="n">
        <v>8.15</v>
      </c>
      <c r="BV386" s="212" t="inlineStr">
        <is>
          <t>Actual</t>
        </is>
      </c>
      <c r="BW386" s="213" t="inlineStr">
        <is>
          <t/>
        </is>
      </c>
      <c r="BX386" s="214" t="inlineStr">
        <is>
          <t/>
        </is>
      </c>
      <c r="BY386" s="215" t="inlineStr">
        <is>
          <t>Early Stage VC</t>
        </is>
      </c>
      <c r="BZ386" s="216" t="inlineStr">
        <is>
          <t/>
        </is>
      </c>
      <c r="CA386" s="217" t="inlineStr">
        <is>
          <t/>
        </is>
      </c>
      <c r="CB386" s="218" t="inlineStr">
        <is>
          <t>Venture Capital</t>
        </is>
      </c>
      <c r="CC386" s="219" t="inlineStr">
        <is>
          <t/>
        </is>
      </c>
      <c r="CD386" s="220" t="inlineStr">
        <is>
          <t/>
        </is>
      </c>
      <c r="CE386" s="221" t="inlineStr">
        <is>
          <t/>
        </is>
      </c>
      <c r="CF386" s="222" t="inlineStr">
        <is>
          <t>Completed</t>
        </is>
      </c>
      <c r="CG386" s="223" t="inlineStr">
        <is>
          <t>0,21%</t>
        </is>
      </c>
      <c r="CH386" s="224" t="inlineStr">
        <is>
          <t>78</t>
        </is>
      </c>
      <c r="CI386" s="225" t="inlineStr">
        <is>
          <t>0,00%</t>
        </is>
      </c>
      <c r="CJ386" s="226" t="inlineStr">
        <is>
          <t>-0,42%</t>
        </is>
      </c>
      <c r="CK386" s="227" t="inlineStr">
        <is>
          <t>0,00%</t>
        </is>
      </c>
      <c r="CL386" s="228" t="inlineStr">
        <is>
          <t>18</t>
        </is>
      </c>
      <c r="CM386" s="229" t="inlineStr">
        <is>
          <t>0,42%</t>
        </is>
      </c>
      <c r="CN386" s="230" t="inlineStr">
        <is>
          <t>87</t>
        </is>
      </c>
      <c r="CO386" s="231" t="inlineStr">
        <is>
          <t>0,00%</t>
        </is>
      </c>
      <c r="CP386" s="232" t="inlineStr">
        <is>
          <t>26</t>
        </is>
      </c>
      <c r="CQ386" s="233" t="inlineStr">
        <is>
          <t/>
        </is>
      </c>
      <c r="CR386" s="234" t="inlineStr">
        <is>
          <t/>
        </is>
      </c>
      <c r="CS386" s="235" t="inlineStr">
        <is>
          <t>0,42%</t>
        </is>
      </c>
      <c r="CT386" s="236" t="inlineStr">
        <is>
          <t>85</t>
        </is>
      </c>
      <c r="CU386" s="237" t="inlineStr">
        <is>
          <t/>
        </is>
      </c>
      <c r="CV386" s="238" t="inlineStr">
        <is>
          <t/>
        </is>
      </c>
      <c r="CW386" s="239" t="inlineStr">
        <is>
          <t>0,38x</t>
        </is>
      </c>
      <c r="CX386" s="240" t="inlineStr">
        <is>
          <t>28</t>
        </is>
      </c>
      <c r="CY386" s="241" t="inlineStr">
        <is>
          <t>0,01x</t>
        </is>
      </c>
      <c r="CZ386" s="242" t="inlineStr">
        <is>
          <t>1,71%</t>
        </is>
      </c>
      <c r="DA386" s="243" t="inlineStr">
        <is>
          <t>0,14x</t>
        </is>
      </c>
      <c r="DB386" s="244" t="inlineStr">
        <is>
          <t>14</t>
        </is>
      </c>
      <c r="DC386" s="245" t="inlineStr">
        <is>
          <t>0,61x</t>
        </is>
      </c>
      <c r="DD386" s="246" t="inlineStr">
        <is>
          <t>39</t>
        </is>
      </c>
      <c r="DE386" s="247" t="inlineStr">
        <is>
          <t>0,14x</t>
        </is>
      </c>
      <c r="DF386" s="248" t="inlineStr">
        <is>
          <t>14</t>
        </is>
      </c>
      <c r="DG386" s="249" t="inlineStr">
        <is>
          <t/>
        </is>
      </c>
      <c r="DH386" s="250" t="inlineStr">
        <is>
          <t/>
        </is>
      </c>
      <c r="DI386" s="251" t="inlineStr">
        <is>
          <t>0,61x</t>
        </is>
      </c>
      <c r="DJ386" s="252" t="inlineStr">
        <is>
          <t>42</t>
        </is>
      </c>
      <c r="DK386" s="253" t="inlineStr">
        <is>
          <t/>
        </is>
      </c>
      <c r="DL386" s="254" t="inlineStr">
        <is>
          <t/>
        </is>
      </c>
      <c r="DM386" s="255" t="inlineStr">
        <is>
          <t>89</t>
        </is>
      </c>
      <c r="DN386" s="256" t="inlineStr">
        <is>
          <t>-5</t>
        </is>
      </c>
      <c r="DO386" s="257" t="inlineStr">
        <is>
          <t>-5,32%</t>
        </is>
      </c>
      <c r="DP386" s="258" t="inlineStr">
        <is>
          <t>490</t>
        </is>
      </c>
      <c r="DQ386" s="259" t="inlineStr">
        <is>
          <t>2</t>
        </is>
      </c>
      <c r="DR386" s="260" t="inlineStr">
        <is>
          <t>0,41%</t>
        </is>
      </c>
      <c r="DS386" s="261" t="inlineStr">
        <is>
          <t/>
        </is>
      </c>
      <c r="DT386" s="262" t="inlineStr">
        <is>
          <t/>
        </is>
      </c>
      <c r="DU386" s="263" t="inlineStr">
        <is>
          <t/>
        </is>
      </c>
      <c r="DV386" s="264" t="inlineStr">
        <is>
          <t/>
        </is>
      </c>
      <c r="DW386" s="265" t="inlineStr">
        <is>
          <t/>
        </is>
      </c>
      <c r="DX386" s="266" t="inlineStr">
        <is>
          <t/>
        </is>
      </c>
      <c r="DY386" s="267" t="inlineStr">
        <is>
          <t>PitchBook Research</t>
        </is>
      </c>
      <c r="DZ386" s="786">
        <f>HYPERLINK("https://my.pitchbook.com?c=108940-87", "View company online")</f>
      </c>
    </row>
    <row r="387">
      <c r="A387" s="9" t="inlineStr">
        <is>
          <t>108397-09</t>
        </is>
      </c>
      <c r="B387" s="10" t="inlineStr">
        <is>
          <t>Samlino.dk</t>
        </is>
      </c>
      <c r="C387" s="11" t="inlineStr">
        <is>
          <t/>
        </is>
      </c>
      <c r="D387" s="12" t="inlineStr">
        <is>
          <t/>
        </is>
      </c>
      <c r="E387" s="13" t="inlineStr">
        <is>
          <t>108397-09</t>
        </is>
      </c>
      <c r="F387" s="14" t="inlineStr">
        <is>
          <t>Provider of an online portal designed to compare financial products. The company's online portal provides updated and accurate information on offers including credit cards, loans, broadband, insurance funds, insurance, interest loans, car loans and other products and services, enabling consumers to fairly compare the products they demand.</t>
        </is>
      </c>
      <c r="G387" s="15" t="inlineStr">
        <is>
          <t>Financial Services</t>
        </is>
      </c>
      <c r="H387" s="16" t="inlineStr">
        <is>
          <t>Other Financial Services</t>
        </is>
      </c>
      <c r="I387" s="17" t="inlineStr">
        <is>
          <t>Other Financial Services</t>
        </is>
      </c>
      <c r="J387" s="18" t="inlineStr">
        <is>
          <t>Other Financial Services*; Information Services (B2C); Financial Software</t>
        </is>
      </c>
      <c r="K387" s="19" t="inlineStr">
        <is>
          <t>FinTech</t>
        </is>
      </c>
      <c r="L387" s="20" t="inlineStr">
        <is>
          <t>Venture Capital-Backed</t>
        </is>
      </c>
      <c r="M387" s="21" t="n">
        <v>22.3</v>
      </c>
      <c r="N387" s="22" t="inlineStr">
        <is>
          <t>Startup</t>
        </is>
      </c>
      <c r="O387" s="23" t="inlineStr">
        <is>
          <t>Privately Held (backing)</t>
        </is>
      </c>
      <c r="P387" s="24" t="inlineStr">
        <is>
          <t>Venture Capital</t>
        </is>
      </c>
      <c r="Q387" s="25" t="inlineStr">
        <is>
          <t>www.samlino.dk</t>
        </is>
      </c>
      <c r="R387" s="26" t="n">
        <v>100.0</v>
      </c>
      <c r="S387" s="27" t="inlineStr">
        <is>
          <t/>
        </is>
      </c>
      <c r="T387" s="28" t="inlineStr">
        <is>
          <t/>
        </is>
      </c>
      <c r="U387" s="29" t="n">
        <v>2014.0</v>
      </c>
      <c r="V387" s="30" t="inlineStr">
        <is>
          <t/>
        </is>
      </c>
      <c r="W387" s="31" t="inlineStr">
        <is>
          <t/>
        </is>
      </c>
      <c r="X387" s="32" t="inlineStr">
        <is>
          <t/>
        </is>
      </c>
      <c r="Y387" s="33" t="inlineStr">
        <is>
          <t/>
        </is>
      </c>
      <c r="Z387" s="34" t="n">
        <v>-0.63392</v>
      </c>
      <c r="AA387" s="35" t="n">
        <v>-1.17597</v>
      </c>
      <c r="AB387" s="36" t="inlineStr">
        <is>
          <t/>
        </is>
      </c>
      <c r="AC387" s="37" t="n">
        <v>-3.52792</v>
      </c>
      <c r="AD387" s="38" t="inlineStr">
        <is>
          <t>FY 2015</t>
        </is>
      </c>
      <c r="AE387" s="39" t="inlineStr">
        <is>
          <t>144185-05P</t>
        </is>
      </c>
      <c r="AF387" s="40" t="inlineStr">
        <is>
          <t>Kristian Pitzner-Jorgensen</t>
        </is>
      </c>
      <c r="AG387" s="41" t="inlineStr">
        <is>
          <t>Co-Founder &amp; Managing Director</t>
        </is>
      </c>
      <c r="AH387" s="42" t="inlineStr">
        <is>
          <t>kristian@samlino.dk</t>
        </is>
      </c>
      <c r="AI387" s="43" t="inlineStr">
        <is>
          <t>+45 2498 8414</t>
        </is>
      </c>
      <c r="AJ387" s="44" t="inlineStr">
        <is>
          <t>København K, Denmark</t>
        </is>
      </c>
      <c r="AK387" s="45" t="inlineStr">
        <is>
          <t>Langebrogade 6E</t>
        </is>
      </c>
      <c r="AL387" s="46" t="inlineStr">
        <is>
          <t/>
        </is>
      </c>
      <c r="AM387" s="47" t="inlineStr">
        <is>
          <t>København K</t>
        </is>
      </c>
      <c r="AN387" s="48" t="inlineStr">
        <is>
          <t/>
        </is>
      </c>
      <c r="AO387" s="49" t="inlineStr">
        <is>
          <t>1411</t>
        </is>
      </c>
      <c r="AP387" s="50" t="inlineStr">
        <is>
          <t>Denmark</t>
        </is>
      </c>
      <c r="AQ387" s="51" t="inlineStr">
        <is>
          <t>+45 7060 5888</t>
        </is>
      </c>
      <c r="AR387" s="52" t="inlineStr">
        <is>
          <t/>
        </is>
      </c>
      <c r="AS387" s="53" t="inlineStr">
        <is>
          <t>info@samlino.dk</t>
        </is>
      </c>
      <c r="AT387" s="54" t="inlineStr">
        <is>
          <t>Europe</t>
        </is>
      </c>
      <c r="AU387" s="55" t="inlineStr">
        <is>
          <t>Northern Europe</t>
        </is>
      </c>
      <c r="AV387" s="56" t="inlineStr">
        <is>
          <t>The company raised DKK 150 million of venture funding from ACE &amp; Company, Peter Thiel and Lars Seier Christensen on August 30, 2016. Thorleif Krarup and Mark Pincus also participated in this round.</t>
        </is>
      </c>
      <c r="AW387" s="57" t="inlineStr">
        <is>
          <t>ACE &amp; Company, Lars Christensen, Nova Founders Capital, Peter Thiel, Thorleif Krarup, Waldemar Schmidt</t>
        </is>
      </c>
      <c r="AX387" s="58" t="n">
        <v>6.0</v>
      </c>
      <c r="AY387" s="59" t="inlineStr">
        <is>
          <t/>
        </is>
      </c>
      <c r="AZ387" s="60" t="inlineStr">
        <is>
          <t/>
        </is>
      </c>
      <c r="BA387" s="61" t="inlineStr">
        <is>
          <t/>
        </is>
      </c>
      <c r="BB387" s="62" t="inlineStr">
        <is>
          <t>ACE &amp; Company (www.aceandcompany.com), Nova Founders Capital (www.novafounders.com)</t>
        </is>
      </c>
      <c r="BC387" s="63" t="inlineStr">
        <is>
          <t/>
        </is>
      </c>
      <c r="BD387" s="64" t="inlineStr">
        <is>
          <t/>
        </is>
      </c>
      <c r="BE387" s="65" t="inlineStr">
        <is>
          <t>EY (Auditor)</t>
        </is>
      </c>
      <c r="BF387" s="66" t="inlineStr">
        <is>
          <t/>
        </is>
      </c>
      <c r="BG387" s="67" t="n">
        <v>41974.0</v>
      </c>
      <c r="BH387" s="68" t="n">
        <v>0.16</v>
      </c>
      <c r="BI387" s="69" t="inlineStr">
        <is>
          <t>Actual</t>
        </is>
      </c>
      <c r="BJ387" s="70" t="inlineStr">
        <is>
          <t/>
        </is>
      </c>
      <c r="BK387" s="71" t="inlineStr">
        <is>
          <t/>
        </is>
      </c>
      <c r="BL387" s="72" t="inlineStr">
        <is>
          <t>Seed Round</t>
        </is>
      </c>
      <c r="BM387" s="73" t="inlineStr">
        <is>
          <t>Seed</t>
        </is>
      </c>
      <c r="BN387" s="74" t="inlineStr">
        <is>
          <t/>
        </is>
      </c>
      <c r="BO387" s="75" t="inlineStr">
        <is>
          <t>Venture Capital</t>
        </is>
      </c>
      <c r="BP387" s="76" t="inlineStr">
        <is>
          <t/>
        </is>
      </c>
      <c r="BQ387" s="77" t="inlineStr">
        <is>
          <t/>
        </is>
      </c>
      <c r="BR387" s="78" t="inlineStr">
        <is>
          <t/>
        </is>
      </c>
      <c r="BS387" s="79" t="inlineStr">
        <is>
          <t>Completed</t>
        </is>
      </c>
      <c r="BT387" s="80" t="n">
        <v>42612.0</v>
      </c>
      <c r="BU387" s="81" t="n">
        <v>20.16</v>
      </c>
      <c r="BV387" s="82" t="inlineStr">
        <is>
          <t>Actual</t>
        </is>
      </c>
      <c r="BW387" s="83" t="inlineStr">
        <is>
          <t/>
        </is>
      </c>
      <c r="BX387" s="84" t="inlineStr">
        <is>
          <t/>
        </is>
      </c>
      <c r="BY387" s="85" t="inlineStr">
        <is>
          <t>Early Stage VC</t>
        </is>
      </c>
      <c r="BZ387" s="86" t="inlineStr">
        <is>
          <t/>
        </is>
      </c>
      <c r="CA387" s="87" t="inlineStr">
        <is>
          <t/>
        </is>
      </c>
      <c r="CB387" s="88" t="inlineStr">
        <is>
          <t>Venture Capital</t>
        </is>
      </c>
      <c r="CC387" s="89" t="inlineStr">
        <is>
          <t/>
        </is>
      </c>
      <c r="CD387" s="90" t="inlineStr">
        <is>
          <t/>
        </is>
      </c>
      <c r="CE387" s="91" t="inlineStr">
        <is>
          <t/>
        </is>
      </c>
      <c r="CF387" s="92" t="inlineStr">
        <is>
          <t>Completed</t>
        </is>
      </c>
      <c r="CG387" s="93" t="inlineStr">
        <is>
          <t>1,39%</t>
        </is>
      </c>
      <c r="CH387" s="94" t="inlineStr">
        <is>
          <t>91</t>
        </is>
      </c>
      <c r="CI387" s="95" t="inlineStr">
        <is>
          <t>0,04%</t>
        </is>
      </c>
      <c r="CJ387" s="96" t="inlineStr">
        <is>
          <t>3,33%</t>
        </is>
      </c>
      <c r="CK387" s="97" t="inlineStr">
        <is>
          <t>2,55%</t>
        </is>
      </c>
      <c r="CL387" s="98" t="inlineStr">
        <is>
          <t>92</t>
        </is>
      </c>
      <c r="CM387" s="99" t="inlineStr">
        <is>
          <t>0,23%</t>
        </is>
      </c>
      <c r="CN387" s="100" t="inlineStr">
        <is>
          <t>76</t>
        </is>
      </c>
      <c r="CO387" s="101" t="inlineStr">
        <is>
          <t>1,72%</t>
        </is>
      </c>
      <c r="CP387" s="102" t="inlineStr">
        <is>
          <t>88</t>
        </is>
      </c>
      <c r="CQ387" s="103" t="inlineStr">
        <is>
          <t>3,38%</t>
        </is>
      </c>
      <c r="CR387" s="104" t="inlineStr">
        <is>
          <t>93</t>
        </is>
      </c>
      <c r="CS387" s="105" t="inlineStr">
        <is>
          <t>0,45%</t>
        </is>
      </c>
      <c r="CT387" s="106" t="inlineStr">
        <is>
          <t>86</t>
        </is>
      </c>
      <c r="CU387" s="107" t="inlineStr">
        <is>
          <t>0,00%</t>
        </is>
      </c>
      <c r="CV387" s="108" t="inlineStr">
        <is>
          <t>20</t>
        </is>
      </c>
      <c r="CW387" s="109" t="inlineStr">
        <is>
          <t>11,91x</t>
        </is>
      </c>
      <c r="CX387" s="110" t="inlineStr">
        <is>
          <t>88</t>
        </is>
      </c>
      <c r="CY387" s="111" t="inlineStr">
        <is>
          <t>0,12x</t>
        </is>
      </c>
      <c r="CZ387" s="112" t="inlineStr">
        <is>
          <t>1,04%</t>
        </is>
      </c>
      <c r="DA387" s="113" t="inlineStr">
        <is>
          <t>21,13x</t>
        </is>
      </c>
      <c r="DB387" s="114" t="inlineStr">
        <is>
          <t>93</t>
        </is>
      </c>
      <c r="DC387" s="115" t="inlineStr">
        <is>
          <t>2,69x</t>
        </is>
      </c>
      <c r="DD387" s="116" t="inlineStr">
        <is>
          <t>66</t>
        </is>
      </c>
      <c r="DE387" s="117" t="inlineStr">
        <is>
          <t>33,27x</t>
        </is>
      </c>
      <c r="DF387" s="118" t="inlineStr">
        <is>
          <t>91</t>
        </is>
      </c>
      <c r="DG387" s="119" t="inlineStr">
        <is>
          <t>9,00x</t>
        </is>
      </c>
      <c r="DH387" s="120" t="inlineStr">
        <is>
          <t>85</t>
        </is>
      </c>
      <c r="DI387" s="121" t="inlineStr">
        <is>
          <t>5,16x</t>
        </is>
      </c>
      <c r="DJ387" s="122" t="inlineStr">
        <is>
          <t>75</t>
        </is>
      </c>
      <c r="DK387" s="123" t="inlineStr">
        <is>
          <t>0,23x</t>
        </is>
      </c>
      <c r="DL387" s="124" t="inlineStr">
        <is>
          <t>27</t>
        </is>
      </c>
      <c r="DM387" s="125" t="inlineStr">
        <is>
          <t>20.083</t>
        </is>
      </c>
      <c r="DN387" s="126" t="inlineStr">
        <is>
          <t>1.122</t>
        </is>
      </c>
      <c r="DO387" s="127" t="inlineStr">
        <is>
          <t>5,92%</t>
        </is>
      </c>
      <c r="DP387" s="128" t="inlineStr">
        <is>
          <t>4.103</t>
        </is>
      </c>
      <c r="DQ387" s="129" t="inlineStr">
        <is>
          <t>38</t>
        </is>
      </c>
      <c r="DR387" s="130" t="inlineStr">
        <is>
          <t>0,93%</t>
        </is>
      </c>
      <c r="DS387" s="131" t="inlineStr">
        <is>
          <t>323</t>
        </is>
      </c>
      <c r="DT387" s="132" t="inlineStr">
        <is>
          <t>7</t>
        </is>
      </c>
      <c r="DU387" s="133" t="inlineStr">
        <is>
          <t>2,22%</t>
        </is>
      </c>
      <c r="DV387" s="134" t="inlineStr">
        <is>
          <t>78</t>
        </is>
      </c>
      <c r="DW387" s="135" t="inlineStr">
        <is>
          <t>0</t>
        </is>
      </c>
      <c r="DX387" s="136" t="inlineStr">
        <is>
          <t>0,00%</t>
        </is>
      </c>
      <c r="DY387" s="137" t="inlineStr">
        <is>
          <t>PitchBook Research</t>
        </is>
      </c>
      <c r="DZ387" s="785">
        <f>HYPERLINK("https://my.pitchbook.com?c=108397-09", "View company online")</f>
      </c>
    </row>
    <row r="388">
      <c r="A388" s="139" t="inlineStr">
        <is>
          <t>125143-57</t>
        </is>
      </c>
      <c r="B388" s="140" t="inlineStr">
        <is>
          <t>Scalable Capital</t>
        </is>
      </c>
      <c r="C388" s="141" t="inlineStr">
        <is>
          <t/>
        </is>
      </c>
      <c r="D388" s="142" t="inlineStr">
        <is>
          <t/>
        </is>
      </c>
      <c r="E388" s="143" t="inlineStr">
        <is>
          <t>125143-57</t>
        </is>
      </c>
      <c r="F388" s="144" t="inlineStr">
        <is>
          <t>Developer of an online asset management platform designed to make investment decisions. The company's online asset management platform constantly measure and control the risks of portfolios and makes all the investments in stocks, bonds, real estate and commodities, enabling customers to get back optimal return on their chosen investment plans.</t>
        </is>
      </c>
      <c r="G388" s="145" t="inlineStr">
        <is>
          <t>Financial Services</t>
        </is>
      </c>
      <c r="H388" s="146" t="inlineStr">
        <is>
          <t>Capital Markets/Institutions</t>
        </is>
      </c>
      <c r="I388" s="147" t="inlineStr">
        <is>
          <t>Asset Management</t>
        </is>
      </c>
      <c r="J388" s="148" t="inlineStr">
        <is>
          <t>Asset Management*; Other Financial Services; Financial Software</t>
        </is>
      </c>
      <c r="K388" s="149" t="inlineStr">
        <is>
          <t>FinTech</t>
        </is>
      </c>
      <c r="L388" s="150" t="inlineStr">
        <is>
          <t>Venture Capital-Backed</t>
        </is>
      </c>
      <c r="M388" s="151" t="n">
        <v>41.0</v>
      </c>
      <c r="N388" s="152" t="inlineStr">
        <is>
          <t>Generating Revenue</t>
        </is>
      </c>
      <c r="O388" s="153" t="inlineStr">
        <is>
          <t>Privately Held (backing)</t>
        </is>
      </c>
      <c r="P388" s="154" t="inlineStr">
        <is>
          <t>Venture Capital</t>
        </is>
      </c>
      <c r="Q388" s="155" t="inlineStr">
        <is>
          <t/>
        </is>
      </c>
      <c r="R388" s="156" t="n">
        <v>50.0</v>
      </c>
      <c r="S388" s="157" t="inlineStr">
        <is>
          <t/>
        </is>
      </c>
      <c r="T388" s="158" t="inlineStr">
        <is>
          <t/>
        </is>
      </c>
      <c r="U388" s="159" t="n">
        <v>2014.0</v>
      </c>
      <c r="V388" s="160" t="inlineStr">
        <is>
          <t/>
        </is>
      </c>
      <c r="W388" s="161" t="inlineStr">
        <is>
          <t/>
        </is>
      </c>
      <c r="X388" s="162" t="inlineStr">
        <is>
          <t/>
        </is>
      </c>
      <c r="Y388" s="163" t="inlineStr">
        <is>
          <t/>
        </is>
      </c>
      <c r="Z388" s="164" t="inlineStr">
        <is>
          <t/>
        </is>
      </c>
      <c r="AA388" s="165" t="inlineStr">
        <is>
          <t/>
        </is>
      </c>
      <c r="AB388" s="166" t="inlineStr">
        <is>
          <t/>
        </is>
      </c>
      <c r="AC388" s="167" t="inlineStr">
        <is>
          <t/>
        </is>
      </c>
      <c r="AD388" s="168" t="inlineStr">
        <is>
          <t/>
        </is>
      </c>
      <c r="AE388" s="169" t="inlineStr">
        <is>
          <t>119392-21P</t>
        </is>
      </c>
      <c r="AF388" s="170" t="inlineStr">
        <is>
          <t>Erik Podzuweit</t>
        </is>
      </c>
      <c r="AG388" s="171" t="inlineStr">
        <is>
          <t>Co-Founder &amp; Co-Chief Executive Officer</t>
        </is>
      </c>
      <c r="AH388" s="172" t="inlineStr">
        <is>
          <t>erik@scalable.capital</t>
        </is>
      </c>
      <c r="AI388" s="173" t="inlineStr">
        <is>
          <t>+49 (0)89 3803 8067</t>
        </is>
      </c>
      <c r="AJ388" s="174" t="inlineStr">
        <is>
          <t>Munich, Germany</t>
        </is>
      </c>
      <c r="AK388" s="175" t="inlineStr">
        <is>
          <t>Prinzregentenstr. 48</t>
        </is>
      </c>
      <c r="AL388" s="176" t="inlineStr">
        <is>
          <t/>
        </is>
      </c>
      <c r="AM388" s="177" t="inlineStr">
        <is>
          <t>Munich</t>
        </is>
      </c>
      <c r="AN388" s="178" t="inlineStr">
        <is>
          <t/>
        </is>
      </c>
      <c r="AO388" s="179" t="inlineStr">
        <is>
          <t>80538</t>
        </is>
      </c>
      <c r="AP388" s="180" t="inlineStr">
        <is>
          <t>Germany</t>
        </is>
      </c>
      <c r="AQ388" s="181" t="inlineStr">
        <is>
          <t>+49 (0)89 3803 8067</t>
        </is>
      </c>
      <c r="AR388" s="182" t="inlineStr">
        <is>
          <t/>
        </is>
      </c>
      <c r="AS388" s="183" t="inlineStr">
        <is>
          <t/>
        </is>
      </c>
      <c r="AT388" s="184" t="inlineStr">
        <is>
          <t>Europe</t>
        </is>
      </c>
      <c r="AU388" s="185" t="inlineStr">
        <is>
          <t>Western Europe</t>
        </is>
      </c>
      <c r="AV388" s="186" t="inlineStr">
        <is>
          <t>The company raised EUR 30 million of Series B venture funding in a deal led by BlackRock on June 20, 2017. Holtzbrinck Ventures and Tengelmann Ventures also participated in the round. The investment will allow to meet the evolving needs of their clients, customers and help to shape their business models for the future.</t>
        </is>
      </c>
      <c r="AW388" s="187" t="inlineStr">
        <is>
          <t>BlackRock, German Startups Group, Holtzbrinck Ventures, Monk's Hill Ventures, MPGI, Rahul Mehta, Reiner Mauch, Steffen Pauls, Tengelmann Ventures, Tim Marbach</t>
        </is>
      </c>
      <c r="AX388" s="188" t="n">
        <v>10.0</v>
      </c>
      <c r="AY388" s="189" t="inlineStr">
        <is>
          <t/>
        </is>
      </c>
      <c r="AZ388" s="190" t="inlineStr">
        <is>
          <t/>
        </is>
      </c>
      <c r="BA388" s="191" t="inlineStr">
        <is>
          <t/>
        </is>
      </c>
      <c r="BB388" s="192" t="inlineStr">
        <is>
          <t>German Startups Group (www.german-startups.com), Holtzbrinck Ventures (www.holtzbrinck-ventures.com), Monk's Hill Ventures (www.monkshill.com), Tengelmann Ventures (www.tev.de)</t>
        </is>
      </c>
      <c r="BC388" s="193" t="inlineStr">
        <is>
          <t/>
        </is>
      </c>
      <c r="BD388" s="194" t="inlineStr">
        <is>
          <t/>
        </is>
      </c>
      <c r="BE388" s="195" t="inlineStr">
        <is>
          <t>FinTech Sandbox (Advisor)</t>
        </is>
      </c>
      <c r="BF388" s="196" t="inlineStr">
        <is>
          <t/>
        </is>
      </c>
      <c r="BG388" s="197" t="n">
        <v>42229.0</v>
      </c>
      <c r="BH388" s="198" t="n">
        <v>4.0</v>
      </c>
      <c r="BI388" s="199" t="inlineStr">
        <is>
          <t>Actual</t>
        </is>
      </c>
      <c r="BJ388" s="200" t="inlineStr">
        <is>
          <t/>
        </is>
      </c>
      <c r="BK388" s="201" t="inlineStr">
        <is>
          <t/>
        </is>
      </c>
      <c r="BL388" s="202" t="inlineStr">
        <is>
          <t>Seed Round</t>
        </is>
      </c>
      <c r="BM388" s="203" t="inlineStr">
        <is>
          <t>Seed</t>
        </is>
      </c>
      <c r="BN388" s="204" t="inlineStr">
        <is>
          <t/>
        </is>
      </c>
      <c r="BO388" s="205" t="inlineStr">
        <is>
          <t>Venture Capital</t>
        </is>
      </c>
      <c r="BP388" s="206" t="inlineStr">
        <is>
          <t/>
        </is>
      </c>
      <c r="BQ388" s="207" t="inlineStr">
        <is>
          <t/>
        </is>
      </c>
      <c r="BR388" s="208" t="inlineStr">
        <is>
          <t/>
        </is>
      </c>
      <c r="BS388" s="209" t="inlineStr">
        <is>
          <t>Completed</t>
        </is>
      </c>
      <c r="BT388" s="210" t="n">
        <v>42906.0</v>
      </c>
      <c r="BU388" s="211" t="n">
        <v>30.0</v>
      </c>
      <c r="BV388" s="212" t="inlineStr">
        <is>
          <t>Actual</t>
        </is>
      </c>
      <c r="BW388" s="213" t="inlineStr">
        <is>
          <t/>
        </is>
      </c>
      <c r="BX388" s="214" t="inlineStr">
        <is>
          <t/>
        </is>
      </c>
      <c r="BY388" s="215" t="inlineStr">
        <is>
          <t>Early Stage VC</t>
        </is>
      </c>
      <c r="BZ388" s="216" t="inlineStr">
        <is>
          <t>Series B</t>
        </is>
      </c>
      <c r="CA388" s="217" t="inlineStr">
        <is>
          <t/>
        </is>
      </c>
      <c r="CB388" s="218" t="inlineStr">
        <is>
          <t>Venture Capital</t>
        </is>
      </c>
      <c r="CC388" s="219" t="inlineStr">
        <is>
          <t/>
        </is>
      </c>
      <c r="CD388" s="220" t="inlineStr">
        <is>
          <t/>
        </is>
      </c>
      <c r="CE388" s="221" t="inlineStr">
        <is>
          <t/>
        </is>
      </c>
      <c r="CF388" s="222" t="inlineStr">
        <is>
          <t>Completed</t>
        </is>
      </c>
      <c r="CG388" s="223" t="inlineStr">
        <is>
          <t>-0,25%</t>
        </is>
      </c>
      <c r="CH388" s="224" t="inlineStr">
        <is>
          <t>11</t>
        </is>
      </c>
      <c r="CI388" s="225" t="inlineStr">
        <is>
          <t>0,00%</t>
        </is>
      </c>
      <c r="CJ388" s="226" t="inlineStr">
        <is>
          <t>1,30%</t>
        </is>
      </c>
      <c r="CK388" s="227" t="inlineStr">
        <is>
          <t>-1,34%</t>
        </is>
      </c>
      <c r="CL388" s="228" t="inlineStr">
        <is>
          <t>7</t>
        </is>
      </c>
      <c r="CM388" s="229" t="inlineStr">
        <is>
          <t>0,83%</t>
        </is>
      </c>
      <c r="CN388" s="230" t="inlineStr">
        <is>
          <t>95</t>
        </is>
      </c>
      <c r="CO388" s="231" t="inlineStr">
        <is>
          <t>-1,34%</t>
        </is>
      </c>
      <c r="CP388" s="232" t="inlineStr">
        <is>
          <t>18</t>
        </is>
      </c>
      <c r="CQ388" s="233" t="inlineStr">
        <is>
          <t/>
        </is>
      </c>
      <c r="CR388" s="234" t="inlineStr">
        <is>
          <t/>
        </is>
      </c>
      <c r="CS388" s="235" t="inlineStr">
        <is>
          <t>1,33%</t>
        </is>
      </c>
      <c r="CT388" s="236" t="inlineStr">
        <is>
          <t>96</t>
        </is>
      </c>
      <c r="CU388" s="237" t="inlineStr">
        <is>
          <t>0,34%</t>
        </is>
      </c>
      <c r="CV388" s="238" t="inlineStr">
        <is>
          <t>86</t>
        </is>
      </c>
      <c r="CW388" s="239" t="inlineStr">
        <is>
          <t>26,25x</t>
        </is>
      </c>
      <c r="CX388" s="240" t="inlineStr">
        <is>
          <t>93</t>
        </is>
      </c>
      <c r="CY388" s="241" t="inlineStr">
        <is>
          <t>0,12x</t>
        </is>
      </c>
      <c r="CZ388" s="242" t="inlineStr">
        <is>
          <t>0,45%</t>
        </is>
      </c>
      <c r="DA388" s="243" t="inlineStr">
        <is>
          <t>44,05x</t>
        </is>
      </c>
      <c r="DB388" s="244" t="inlineStr">
        <is>
          <t>96</t>
        </is>
      </c>
      <c r="DC388" s="245" t="inlineStr">
        <is>
          <t>8,45x</t>
        </is>
      </c>
      <c r="DD388" s="246" t="inlineStr">
        <is>
          <t>82</t>
        </is>
      </c>
      <c r="DE388" s="247" t="inlineStr">
        <is>
          <t>44,05x</t>
        </is>
      </c>
      <c r="DF388" s="248" t="inlineStr">
        <is>
          <t>93</t>
        </is>
      </c>
      <c r="DG388" s="249" t="inlineStr">
        <is>
          <t/>
        </is>
      </c>
      <c r="DH388" s="250" t="inlineStr">
        <is>
          <t/>
        </is>
      </c>
      <c r="DI388" s="251" t="inlineStr">
        <is>
          <t>9,00x</t>
        </is>
      </c>
      <c r="DJ388" s="252" t="inlineStr">
        <is>
          <t>81</t>
        </is>
      </c>
      <c r="DK388" s="253" t="inlineStr">
        <is>
          <t>7,90x</t>
        </is>
      </c>
      <c r="DL388" s="254" t="inlineStr">
        <is>
          <t>84</t>
        </is>
      </c>
      <c r="DM388" s="255" t="inlineStr">
        <is>
          <t>27.793</t>
        </is>
      </c>
      <c r="DN388" s="256" t="inlineStr">
        <is>
          <t>-2.104</t>
        </is>
      </c>
      <c r="DO388" s="257" t="inlineStr">
        <is>
          <t>-7,04%</t>
        </is>
      </c>
      <c r="DP388" s="258" t="inlineStr">
        <is>
          <t>7.153</t>
        </is>
      </c>
      <c r="DQ388" s="259" t="inlineStr">
        <is>
          <t>93</t>
        </is>
      </c>
      <c r="DR388" s="260" t="inlineStr">
        <is>
          <t>1,32%</t>
        </is>
      </c>
      <c r="DS388" s="261" t="inlineStr">
        <is>
          <t/>
        </is>
      </c>
      <c r="DT388" s="262" t="inlineStr">
        <is>
          <t/>
        </is>
      </c>
      <c r="DU388" s="263" t="inlineStr">
        <is>
          <t/>
        </is>
      </c>
      <c r="DV388" s="264" t="inlineStr">
        <is>
          <t>2.707</t>
        </is>
      </c>
      <c r="DW388" s="265" t="inlineStr">
        <is>
          <t>4</t>
        </is>
      </c>
      <c r="DX388" s="266" t="inlineStr">
        <is>
          <t>0,15%</t>
        </is>
      </c>
      <c r="DY388" s="267" t="inlineStr">
        <is>
          <t>PitchBook Research</t>
        </is>
      </c>
      <c r="DZ388" s="786">
        <f>HYPERLINK("https://my.pitchbook.com?c=125143-57", "View company online")</f>
      </c>
    </row>
    <row r="389">
      <c r="A389" s="9" t="inlineStr">
        <is>
          <t>182378-44</t>
        </is>
      </c>
      <c r="B389" s="10" t="inlineStr">
        <is>
          <t>Scenic Biotech</t>
        </is>
      </c>
      <c r="C389" s="11" t="inlineStr">
        <is>
          <t/>
        </is>
      </c>
      <c r="D389" s="12" t="inlineStr">
        <is>
          <t/>
        </is>
      </c>
      <c r="E389" s="13" t="inlineStr">
        <is>
          <t>182378-44</t>
        </is>
      </c>
      <c r="F389" s="14" t="inlineStr">
        <is>
          <t>Developer of a genomics and immunotherapy technologies created to unlock genetic suppressors as a new class of drug targets. The company's immunotherapy technologies tackle diseases on the genetic level and focuses on disease suppressing genes., it uses genomics to develop innovative therapies for patients affected by severe diseases.</t>
        </is>
      </c>
      <c r="G389" s="15" t="inlineStr">
        <is>
          <t>Healthcare</t>
        </is>
      </c>
      <c r="H389" s="16" t="inlineStr">
        <is>
          <t>Pharmaceuticals and Biotechnology</t>
        </is>
      </c>
      <c r="I389" s="17" t="inlineStr">
        <is>
          <t>Biotechnology</t>
        </is>
      </c>
      <c r="J389" s="18" t="inlineStr">
        <is>
          <t>Biotechnology*; Drug Discovery</t>
        </is>
      </c>
      <c r="K389" s="19" t="inlineStr">
        <is>
          <t>Life Sciences, Oncology</t>
        </is>
      </c>
      <c r="L389" s="20" t="inlineStr">
        <is>
          <t>Venture Capital-Backed</t>
        </is>
      </c>
      <c r="M389" s="21" t="n">
        <v>6.5</v>
      </c>
      <c r="N389" s="22" t="inlineStr">
        <is>
          <t>Startup</t>
        </is>
      </c>
      <c r="O389" s="23" t="inlineStr">
        <is>
          <t>Privately Held (backing)</t>
        </is>
      </c>
      <c r="P389" s="24" t="inlineStr">
        <is>
          <t>Venture Capital</t>
        </is>
      </c>
      <c r="Q389" s="25" t="inlineStr">
        <is>
          <t>www.scenicbiotech.com</t>
        </is>
      </c>
      <c r="R389" s="26" t="n">
        <v>2.0</v>
      </c>
      <c r="S389" s="27" t="inlineStr">
        <is>
          <t/>
        </is>
      </c>
      <c r="T389" s="28" t="inlineStr">
        <is>
          <t/>
        </is>
      </c>
      <c r="U389" s="29" t="n">
        <v>2017.0</v>
      </c>
      <c r="V389" s="30" t="inlineStr">
        <is>
          <t/>
        </is>
      </c>
      <c r="W389" s="31" t="inlineStr">
        <is>
          <t/>
        </is>
      </c>
      <c r="X389" s="32" t="inlineStr">
        <is>
          <t/>
        </is>
      </c>
      <c r="Y389" s="33" t="inlineStr">
        <is>
          <t/>
        </is>
      </c>
      <c r="Z389" s="34" t="inlineStr">
        <is>
          <t/>
        </is>
      </c>
      <c r="AA389" s="35" t="inlineStr">
        <is>
          <t/>
        </is>
      </c>
      <c r="AB389" s="36" t="inlineStr">
        <is>
          <t/>
        </is>
      </c>
      <c r="AC389" s="37" t="inlineStr">
        <is>
          <t/>
        </is>
      </c>
      <c r="AD389" s="38" t="inlineStr">
        <is>
          <t/>
        </is>
      </c>
      <c r="AE389" s="39" t="inlineStr">
        <is>
          <t>165525-76P</t>
        </is>
      </c>
      <c r="AF389" s="40" t="inlineStr">
        <is>
          <t>Sebastian Nijman</t>
        </is>
      </c>
      <c r="AG389" s="41" t="inlineStr">
        <is>
          <t>Co-Founder</t>
        </is>
      </c>
      <c r="AH389" s="42" t="inlineStr">
        <is>
          <t>sebastian.nijman@scenicbiotech.com</t>
        </is>
      </c>
      <c r="AI389" s="43" t="inlineStr">
        <is>
          <t>+31 (0)62 908 9967</t>
        </is>
      </c>
      <c r="AJ389" s="44" t="inlineStr">
        <is>
          <t>Amsterdam, Netherlands</t>
        </is>
      </c>
      <c r="AK389" s="45" t="inlineStr">
        <is>
          <t>Science Park 406</t>
        </is>
      </c>
      <c r="AL389" s="46" t="inlineStr">
        <is>
          <t/>
        </is>
      </c>
      <c r="AM389" s="47" t="inlineStr">
        <is>
          <t>Amsterdam</t>
        </is>
      </c>
      <c r="AN389" s="48" t="inlineStr">
        <is>
          <t/>
        </is>
      </c>
      <c r="AO389" s="49" t="inlineStr">
        <is>
          <t>1098 XH</t>
        </is>
      </c>
      <c r="AP389" s="50" t="inlineStr">
        <is>
          <t>Netherlands</t>
        </is>
      </c>
      <c r="AQ389" s="51" t="inlineStr">
        <is>
          <t>+31 (0)62 908 9967</t>
        </is>
      </c>
      <c r="AR389" s="52" t="inlineStr">
        <is>
          <t/>
        </is>
      </c>
      <c r="AS389" s="53" t="inlineStr">
        <is>
          <t>info@scenicbiotech.com</t>
        </is>
      </c>
      <c r="AT389" s="54" t="inlineStr">
        <is>
          <t>Europe</t>
        </is>
      </c>
      <c r="AU389" s="55" t="inlineStr">
        <is>
          <t>Western Europe</t>
        </is>
      </c>
      <c r="AV389" s="56" t="inlineStr">
        <is>
          <t>The company raised EUR 6.5 million of Series A funding co-led by BioGeneration Ventures and INKEF Capital on June 5, 2017. Oxford Sciences Innovation also participated in the round. The funds will be used to to develop its 'genetic off-switch' for cancer and rare genetic diseases.</t>
        </is>
      </c>
      <c r="AW389" s="57" t="inlineStr">
        <is>
          <t>BioGeneration Ventures, INKEF Capital, Oxford Sciences Innovation</t>
        </is>
      </c>
      <c r="AX389" s="58" t="n">
        <v>3.0</v>
      </c>
      <c r="AY389" s="59" t="inlineStr">
        <is>
          <t/>
        </is>
      </c>
      <c r="AZ389" s="60" t="inlineStr">
        <is>
          <t/>
        </is>
      </c>
      <c r="BA389" s="61" t="inlineStr">
        <is>
          <t/>
        </is>
      </c>
      <c r="BB389" s="62" t="inlineStr">
        <is>
          <t>BioGeneration Ventures (www.biogenerationventures.com), INKEF Capital (www.inkefcapital.com), Oxford Sciences Innovation (www.oxfordsciencesinnovation.com)</t>
        </is>
      </c>
      <c r="BC389" s="63" t="inlineStr">
        <is>
          <t/>
        </is>
      </c>
      <c r="BD389" s="64" t="inlineStr">
        <is>
          <t/>
        </is>
      </c>
      <c r="BE389" s="65" t="inlineStr">
        <is>
          <t/>
        </is>
      </c>
      <c r="BF389" s="66" t="inlineStr">
        <is>
          <t/>
        </is>
      </c>
      <c r="BG389" s="67" t="n">
        <v>42891.0</v>
      </c>
      <c r="BH389" s="68" t="n">
        <v>6.5</v>
      </c>
      <c r="BI389" s="69" t="inlineStr">
        <is>
          <t>Actual</t>
        </is>
      </c>
      <c r="BJ389" s="70" t="inlineStr">
        <is>
          <t/>
        </is>
      </c>
      <c r="BK389" s="71" t="inlineStr">
        <is>
          <t/>
        </is>
      </c>
      <c r="BL389" s="72" t="inlineStr">
        <is>
          <t>Early Stage VC</t>
        </is>
      </c>
      <c r="BM389" s="73" t="inlineStr">
        <is>
          <t>Series A</t>
        </is>
      </c>
      <c r="BN389" s="74" t="inlineStr">
        <is>
          <t/>
        </is>
      </c>
      <c r="BO389" s="75" t="inlineStr">
        <is>
          <t>Venture Capital</t>
        </is>
      </c>
      <c r="BP389" s="76" t="inlineStr">
        <is>
          <t/>
        </is>
      </c>
      <c r="BQ389" s="77" t="inlineStr">
        <is>
          <t/>
        </is>
      </c>
      <c r="BR389" s="78" t="inlineStr">
        <is>
          <t/>
        </is>
      </c>
      <c r="BS389" s="79" t="inlineStr">
        <is>
          <t>Completed</t>
        </is>
      </c>
      <c r="BT389" s="80" t="n">
        <v>42891.0</v>
      </c>
      <c r="BU389" s="81" t="n">
        <v>6.5</v>
      </c>
      <c r="BV389" s="82" t="inlineStr">
        <is>
          <t>Actual</t>
        </is>
      </c>
      <c r="BW389" s="83" t="inlineStr">
        <is>
          <t/>
        </is>
      </c>
      <c r="BX389" s="84" t="inlineStr">
        <is>
          <t/>
        </is>
      </c>
      <c r="BY389" s="85" t="inlineStr">
        <is>
          <t>Early Stage VC</t>
        </is>
      </c>
      <c r="BZ389" s="86" t="inlineStr">
        <is>
          <t>Series A</t>
        </is>
      </c>
      <c r="CA389" s="87" t="inlineStr">
        <is>
          <t/>
        </is>
      </c>
      <c r="CB389" s="88" t="inlineStr">
        <is>
          <t>Venture Capital</t>
        </is>
      </c>
      <c r="CC389" s="89" t="inlineStr">
        <is>
          <t/>
        </is>
      </c>
      <c r="CD389" s="90" t="inlineStr">
        <is>
          <t/>
        </is>
      </c>
      <c r="CE389" s="91" t="inlineStr">
        <is>
          <t/>
        </is>
      </c>
      <c r="CF389" s="92" t="inlineStr">
        <is>
          <t>Completed</t>
        </is>
      </c>
      <c r="CG389" s="93" t="inlineStr">
        <is>
          <t>0,00%</t>
        </is>
      </c>
      <c r="CH389" s="94" t="inlineStr">
        <is>
          <t>23</t>
        </is>
      </c>
      <c r="CI389" s="95" t="inlineStr">
        <is>
          <t>0,00%</t>
        </is>
      </c>
      <c r="CJ389" s="96" t="inlineStr">
        <is>
          <t>0,00%</t>
        </is>
      </c>
      <c r="CK389" s="97" t="inlineStr">
        <is>
          <t>0,00%</t>
        </is>
      </c>
      <c r="CL389" s="98" t="inlineStr">
        <is>
          <t>18</t>
        </is>
      </c>
      <c r="CM389" s="99" t="inlineStr">
        <is>
          <t/>
        </is>
      </c>
      <c r="CN389" s="100" t="inlineStr">
        <is>
          <t/>
        </is>
      </c>
      <c r="CO389" s="101" t="inlineStr">
        <is>
          <t>0,00%</t>
        </is>
      </c>
      <c r="CP389" s="102" t="inlineStr">
        <is>
          <t>26</t>
        </is>
      </c>
      <c r="CQ389" s="103" t="inlineStr">
        <is>
          <t>0,00%</t>
        </is>
      </c>
      <c r="CR389" s="104" t="inlineStr">
        <is>
          <t>13</t>
        </is>
      </c>
      <c r="CS389" s="105" t="inlineStr">
        <is>
          <t/>
        </is>
      </c>
      <c r="CT389" s="106" t="inlineStr">
        <is>
          <t/>
        </is>
      </c>
      <c r="CU389" s="107" t="inlineStr">
        <is>
          <t/>
        </is>
      </c>
      <c r="CV389" s="108" t="inlineStr">
        <is>
          <t/>
        </is>
      </c>
      <c r="CW389" s="109" t="inlineStr">
        <is>
          <t>0,25x</t>
        </is>
      </c>
      <c r="CX389" s="110" t="inlineStr">
        <is>
          <t>20</t>
        </is>
      </c>
      <c r="CY389" s="111" t="inlineStr">
        <is>
          <t>0,03x</t>
        </is>
      </c>
      <c r="CZ389" s="112" t="inlineStr">
        <is>
          <t>13,58%</t>
        </is>
      </c>
      <c r="DA389" s="113" t="inlineStr">
        <is>
          <t>0,25x</t>
        </is>
      </c>
      <c r="DB389" s="114" t="inlineStr">
        <is>
          <t>23</t>
        </is>
      </c>
      <c r="DC389" s="115" t="inlineStr">
        <is>
          <t/>
        </is>
      </c>
      <c r="DD389" s="116" t="inlineStr">
        <is>
          <t/>
        </is>
      </c>
      <c r="DE389" s="117" t="inlineStr">
        <is>
          <t>0,26x</t>
        </is>
      </c>
      <c r="DF389" s="118" t="inlineStr">
        <is>
          <t>23</t>
        </is>
      </c>
      <c r="DG389" s="119" t="inlineStr">
        <is>
          <t>0,25x</t>
        </is>
      </c>
      <c r="DH389" s="120" t="inlineStr">
        <is>
          <t>23</t>
        </is>
      </c>
      <c r="DI389" s="121" t="inlineStr">
        <is>
          <t/>
        </is>
      </c>
      <c r="DJ389" s="122" t="inlineStr">
        <is>
          <t/>
        </is>
      </c>
      <c r="DK389" s="123" t="inlineStr">
        <is>
          <t/>
        </is>
      </c>
      <c r="DL389" s="124" t="inlineStr">
        <is>
          <t/>
        </is>
      </c>
      <c r="DM389" s="125" t="inlineStr">
        <is>
          <t>167</t>
        </is>
      </c>
      <c r="DN389" s="126" t="inlineStr">
        <is>
          <t>-24</t>
        </is>
      </c>
      <c r="DO389" s="127" t="inlineStr">
        <is>
          <t>-12,57%</t>
        </is>
      </c>
      <c r="DP389" s="128" t="inlineStr">
        <is>
          <t/>
        </is>
      </c>
      <c r="DQ389" s="129" t="inlineStr">
        <is>
          <t/>
        </is>
      </c>
      <c r="DR389" s="130" t="inlineStr">
        <is>
          <t/>
        </is>
      </c>
      <c r="DS389" s="131" t="inlineStr">
        <is>
          <t>8</t>
        </is>
      </c>
      <c r="DT389" s="132" t="inlineStr">
        <is>
          <t>1</t>
        </is>
      </c>
      <c r="DU389" s="133" t="inlineStr">
        <is>
          <t>14,29%</t>
        </is>
      </c>
      <c r="DV389" s="134" t="inlineStr">
        <is>
          <t/>
        </is>
      </c>
      <c r="DW389" s="135" t="inlineStr">
        <is>
          <t/>
        </is>
      </c>
      <c r="DX389" s="136" t="inlineStr">
        <is>
          <t/>
        </is>
      </c>
      <c r="DY389" s="137" t="inlineStr">
        <is>
          <t>PitchBook Research</t>
        </is>
      </c>
      <c r="DZ389" s="785">
        <f>HYPERLINK("https://my.pitchbook.com?c=182378-44", "View company online")</f>
      </c>
    </row>
    <row r="390">
      <c r="A390" s="139" t="inlineStr">
        <is>
          <t>129129-49</t>
        </is>
      </c>
      <c r="B390" s="140" t="inlineStr">
        <is>
          <t>SE FAIRE AIDER</t>
        </is>
      </c>
      <c r="C390" s="141" t="inlineStr">
        <is>
          <t/>
        </is>
      </c>
      <c r="D390" s="142" t="inlineStr">
        <is>
          <t/>
        </is>
      </c>
      <c r="E390" s="143" t="inlineStr">
        <is>
          <t>129129-49</t>
        </is>
      </c>
      <c r="F390" s="144" t="inlineStr">
        <is>
          <t>Developer of an online platform designed to connect individuals with professionals. The company's online platform connects qualified professionals and individuals who seek a service of proximity including child care or assistance to seniors, prepare professional project, personal development coach, pet strollers or shopping assistant etc., providing clients with more than 300 trades everywhere in France.</t>
        </is>
      </c>
      <c r="G390" s="145" t="inlineStr">
        <is>
          <t>Information Technology</t>
        </is>
      </c>
      <c r="H390" s="146" t="inlineStr">
        <is>
          <t>Software</t>
        </is>
      </c>
      <c r="I390" s="147" t="inlineStr">
        <is>
          <t>Social/Platform Software</t>
        </is>
      </c>
      <c r="J390" s="148" t="inlineStr">
        <is>
          <t>Social/Platform Software*; Information Services (B2C)</t>
        </is>
      </c>
      <c r="K390" s="149" t="inlineStr">
        <is>
          <t>FinTech</t>
        </is>
      </c>
      <c r="L390" s="150" t="inlineStr">
        <is>
          <t>Venture Capital-Backed</t>
        </is>
      </c>
      <c r="M390" s="151" t="n">
        <v>10.8</v>
      </c>
      <c r="N390" s="152" t="inlineStr">
        <is>
          <t>Startup</t>
        </is>
      </c>
      <c r="O390" s="153" t="inlineStr">
        <is>
          <t>Privately Held (backing)</t>
        </is>
      </c>
      <c r="P390" s="154" t="inlineStr">
        <is>
          <t>Venture Capital</t>
        </is>
      </c>
      <c r="Q390" s="155" t="inlineStr">
        <is>
          <t>www.sefaireaider.com</t>
        </is>
      </c>
      <c r="R390" s="156" t="n">
        <v>13.0</v>
      </c>
      <c r="S390" s="157" t="inlineStr">
        <is>
          <t/>
        </is>
      </c>
      <c r="T390" s="158" t="inlineStr">
        <is>
          <t/>
        </is>
      </c>
      <c r="U390" s="159" t="n">
        <v>2012.0</v>
      </c>
      <c r="V390" s="160" t="inlineStr">
        <is>
          <t/>
        </is>
      </c>
      <c r="W390" s="161" t="inlineStr">
        <is>
          <t/>
        </is>
      </c>
      <c r="X390" s="162" t="inlineStr">
        <is>
          <t/>
        </is>
      </c>
      <c r="Y390" s="163" t="n">
        <v>0.19293</v>
      </c>
      <c r="Z390" s="164" t="inlineStr">
        <is>
          <t/>
        </is>
      </c>
      <c r="AA390" s="165" t="n">
        <v>-4.04241</v>
      </c>
      <c r="AB390" s="166" t="inlineStr">
        <is>
          <t/>
        </is>
      </c>
      <c r="AC390" s="167" t="inlineStr">
        <is>
          <t/>
        </is>
      </c>
      <c r="AD390" s="168" t="inlineStr">
        <is>
          <t>FY 2015</t>
        </is>
      </c>
      <c r="AE390" s="169" t="inlineStr">
        <is>
          <t>67155-67P</t>
        </is>
      </c>
      <c r="AF390" s="170" t="inlineStr">
        <is>
          <t>Denys Chalumeau</t>
        </is>
      </c>
      <c r="AG390" s="171" t="inlineStr">
        <is>
          <t>Co-Founder</t>
        </is>
      </c>
      <c r="AH390" s="172" t="inlineStr">
        <is>
          <t>denys.chalumeau@sefaireaider.com</t>
        </is>
      </c>
      <c r="AI390" s="173" t="inlineStr">
        <is>
          <t>+33 (0)4 82 78 20 00</t>
        </is>
      </c>
      <c r="AJ390" s="174" t="inlineStr">
        <is>
          <t>Sanary sur Mer, France</t>
        </is>
      </c>
      <c r="AK390" s="175" t="inlineStr">
        <is>
          <t>15 rue de l'innovation</t>
        </is>
      </c>
      <c r="AL390" s="176" t="inlineStr">
        <is>
          <t>ZA La Baou</t>
        </is>
      </c>
      <c r="AM390" s="177" t="inlineStr">
        <is>
          <t>Sanary sur Mer</t>
        </is>
      </c>
      <c r="AN390" s="178" t="inlineStr">
        <is>
          <t/>
        </is>
      </c>
      <c r="AO390" s="179" t="inlineStr">
        <is>
          <t>83110</t>
        </is>
      </c>
      <c r="AP390" s="180" t="inlineStr">
        <is>
          <t>France</t>
        </is>
      </c>
      <c r="AQ390" s="181" t="inlineStr">
        <is>
          <t>+33 (0)4 82 78 20 00</t>
        </is>
      </c>
      <c r="AR390" s="182" t="inlineStr">
        <is>
          <t/>
        </is>
      </c>
      <c r="AS390" s="183" t="inlineStr">
        <is>
          <t>contact@sefaireaider.com</t>
        </is>
      </c>
      <c r="AT390" s="184" t="inlineStr">
        <is>
          <t>Europe</t>
        </is>
      </c>
      <c r="AU390" s="185" t="inlineStr">
        <is>
          <t>Western Europe</t>
        </is>
      </c>
      <c r="AV390" s="186" t="inlineStr">
        <is>
          <t>The company raised EUR 4.5 million of venture funding from 5M Ventures and other undisclosed investors on July 20, 2015.</t>
        </is>
      </c>
      <c r="AW390" s="187" t="inlineStr">
        <is>
          <t>5M Ventures, Alain de Mendonca, Amal Amar, André Saint-Mleux, Claude Léoni, Gilles Blanchard, Kima Ventures, Luc Lechelle, PACA Investissement, Patrice Pichet, Turenne Capital Partenaires, Xavier Niel</t>
        </is>
      </c>
      <c r="AX390" s="188" t="n">
        <v>12.0</v>
      </c>
      <c r="AY390" s="189" t="inlineStr">
        <is>
          <t/>
        </is>
      </c>
      <c r="AZ390" s="190" t="inlineStr">
        <is>
          <t/>
        </is>
      </c>
      <c r="BA390" s="191" t="inlineStr">
        <is>
          <t/>
        </is>
      </c>
      <c r="BB390" s="192" t="inlineStr">
        <is>
          <t>5M Ventures (www.5m-ventures.com), Kima Ventures (www.kimaventures.com), PACA Investissement (www.pacainvestissement.com), Turenne Capital Partenaires (www.turennecapital.com)</t>
        </is>
      </c>
      <c r="BC390" s="193" t="inlineStr">
        <is>
          <t/>
        </is>
      </c>
      <c r="BD390" s="194" t="inlineStr">
        <is>
          <t/>
        </is>
      </c>
      <c r="BE390" s="195" t="inlineStr">
        <is>
          <t/>
        </is>
      </c>
      <c r="BF390" s="196" t="inlineStr">
        <is>
          <t/>
        </is>
      </c>
      <c r="BG390" s="197" t="n">
        <v>41699.0</v>
      </c>
      <c r="BH390" s="198" t="n">
        <v>6.3</v>
      </c>
      <c r="BI390" s="199" t="inlineStr">
        <is>
          <t>Actual</t>
        </is>
      </c>
      <c r="BJ390" s="200" t="inlineStr">
        <is>
          <t/>
        </is>
      </c>
      <c r="BK390" s="201" t="inlineStr">
        <is>
          <t/>
        </is>
      </c>
      <c r="BL390" s="202" t="inlineStr">
        <is>
          <t>Early Stage VC</t>
        </is>
      </c>
      <c r="BM390" s="203" t="inlineStr">
        <is>
          <t/>
        </is>
      </c>
      <c r="BN390" s="204" t="inlineStr">
        <is>
          <t/>
        </is>
      </c>
      <c r="BO390" s="205" t="inlineStr">
        <is>
          <t>Venture Capital</t>
        </is>
      </c>
      <c r="BP390" s="206" t="inlineStr">
        <is>
          <t/>
        </is>
      </c>
      <c r="BQ390" s="207" t="inlineStr">
        <is>
          <t/>
        </is>
      </c>
      <c r="BR390" s="208" t="inlineStr">
        <is>
          <t/>
        </is>
      </c>
      <c r="BS390" s="209" t="inlineStr">
        <is>
          <t>Completed</t>
        </is>
      </c>
      <c r="BT390" s="210" t="n">
        <v>42205.0</v>
      </c>
      <c r="BU390" s="211" t="n">
        <v>4.5</v>
      </c>
      <c r="BV390" s="212" t="inlineStr">
        <is>
          <t>Actual</t>
        </is>
      </c>
      <c r="BW390" s="213" t="inlineStr">
        <is>
          <t/>
        </is>
      </c>
      <c r="BX390" s="214" t="inlineStr">
        <is>
          <t/>
        </is>
      </c>
      <c r="BY390" s="215" t="inlineStr">
        <is>
          <t>Early Stage VC</t>
        </is>
      </c>
      <c r="BZ390" s="216" t="inlineStr">
        <is>
          <t/>
        </is>
      </c>
      <c r="CA390" s="217" t="inlineStr">
        <is>
          <t/>
        </is>
      </c>
      <c r="CB390" s="218" t="inlineStr">
        <is>
          <t>Venture Capital</t>
        </is>
      </c>
      <c r="CC390" s="219" t="inlineStr">
        <is>
          <t/>
        </is>
      </c>
      <c r="CD390" s="220" t="inlineStr">
        <is>
          <t/>
        </is>
      </c>
      <c r="CE390" s="221" t="inlineStr">
        <is>
          <t/>
        </is>
      </c>
      <c r="CF390" s="222" t="inlineStr">
        <is>
          <t>Completed</t>
        </is>
      </c>
      <c r="CG390" s="223" t="inlineStr">
        <is>
          <t>-0,05%</t>
        </is>
      </c>
      <c r="CH390" s="224" t="inlineStr">
        <is>
          <t>16</t>
        </is>
      </c>
      <c r="CI390" s="225" t="inlineStr">
        <is>
          <t>0,05%</t>
        </is>
      </c>
      <c r="CJ390" s="226" t="inlineStr">
        <is>
          <t>47,46%</t>
        </is>
      </c>
      <c r="CK390" s="227" t="inlineStr">
        <is>
          <t>-0,05%</t>
        </is>
      </c>
      <c r="CL390" s="228" t="inlineStr">
        <is>
          <t>17</t>
        </is>
      </c>
      <c r="CM390" s="229" t="inlineStr">
        <is>
          <t>-0,05%</t>
        </is>
      </c>
      <c r="CN390" s="230" t="inlineStr">
        <is>
          <t>8</t>
        </is>
      </c>
      <c r="CO390" s="231" t="inlineStr">
        <is>
          <t>0,40%</t>
        </is>
      </c>
      <c r="CP390" s="232" t="inlineStr">
        <is>
          <t>81</t>
        </is>
      </c>
      <c r="CQ390" s="233" t="inlineStr">
        <is>
          <t>-0,50%</t>
        </is>
      </c>
      <c r="CR390" s="234" t="inlineStr">
        <is>
          <t>7</t>
        </is>
      </c>
      <c r="CS390" s="235" t="inlineStr">
        <is>
          <t>-0,03%</t>
        </is>
      </c>
      <c r="CT390" s="236" t="inlineStr">
        <is>
          <t>10</t>
        </is>
      </c>
      <c r="CU390" s="237" t="inlineStr">
        <is>
          <t>-0,07%</t>
        </is>
      </c>
      <c r="CV390" s="238" t="inlineStr">
        <is>
          <t>9</t>
        </is>
      </c>
      <c r="CW390" s="239" t="inlineStr">
        <is>
          <t>29,17x</t>
        </is>
      </c>
      <c r="CX390" s="240" t="inlineStr">
        <is>
          <t>94</t>
        </is>
      </c>
      <c r="CY390" s="241" t="inlineStr">
        <is>
          <t>0,14x</t>
        </is>
      </c>
      <c r="CZ390" s="242" t="inlineStr">
        <is>
          <t>0,48%</t>
        </is>
      </c>
      <c r="DA390" s="243" t="inlineStr">
        <is>
          <t>51,17x</t>
        </is>
      </c>
      <c r="DB390" s="244" t="inlineStr">
        <is>
          <t>96</t>
        </is>
      </c>
      <c r="DC390" s="245" t="inlineStr">
        <is>
          <t>7,17x</t>
        </is>
      </c>
      <c r="DD390" s="246" t="inlineStr">
        <is>
          <t>80</t>
        </is>
      </c>
      <c r="DE390" s="247" t="inlineStr">
        <is>
          <t>92,20x</t>
        </is>
      </c>
      <c r="DF390" s="248" t="inlineStr">
        <is>
          <t>96</t>
        </is>
      </c>
      <c r="DG390" s="249" t="inlineStr">
        <is>
          <t>10,14x</t>
        </is>
      </c>
      <c r="DH390" s="250" t="inlineStr">
        <is>
          <t>86</t>
        </is>
      </c>
      <c r="DI390" s="251" t="inlineStr">
        <is>
          <t>11,86x</t>
        </is>
      </c>
      <c r="DJ390" s="252" t="inlineStr">
        <is>
          <t>84</t>
        </is>
      </c>
      <c r="DK390" s="253" t="inlineStr">
        <is>
          <t>2,48x</t>
        </is>
      </c>
      <c r="DL390" s="254" t="inlineStr">
        <is>
          <t>67</t>
        </is>
      </c>
      <c r="DM390" s="255" t="inlineStr">
        <is>
          <t>56.272</t>
        </is>
      </c>
      <c r="DN390" s="256" t="inlineStr">
        <is>
          <t>1.285</t>
        </is>
      </c>
      <c r="DO390" s="257" t="inlineStr">
        <is>
          <t>2,34%</t>
        </is>
      </c>
      <c r="DP390" s="258" t="inlineStr">
        <is>
          <t>9.477</t>
        </is>
      </c>
      <c r="DQ390" s="259" t="inlineStr">
        <is>
          <t>-6</t>
        </is>
      </c>
      <c r="DR390" s="260" t="inlineStr">
        <is>
          <t>-0,06%</t>
        </is>
      </c>
      <c r="DS390" s="261" t="inlineStr">
        <is>
          <t>365</t>
        </is>
      </c>
      <c r="DT390" s="262" t="inlineStr">
        <is>
          <t>0</t>
        </is>
      </c>
      <c r="DU390" s="263" t="inlineStr">
        <is>
          <t>0,00%</t>
        </is>
      </c>
      <c r="DV390" s="264" t="inlineStr">
        <is>
          <t>850</t>
        </is>
      </c>
      <c r="DW390" s="265" t="inlineStr">
        <is>
          <t>1</t>
        </is>
      </c>
      <c r="DX390" s="266" t="inlineStr">
        <is>
          <t>0,12%</t>
        </is>
      </c>
      <c r="DY390" s="267" t="inlineStr">
        <is>
          <t>PitchBook Research</t>
        </is>
      </c>
      <c r="DZ390" s="786">
        <f>HYPERLINK("https://my.pitchbook.com?c=129129-49", "View company online")</f>
      </c>
    </row>
    <row r="391">
      <c r="A391" s="9" t="inlineStr">
        <is>
          <t>161866-36</t>
        </is>
      </c>
      <c r="B391" s="10" t="inlineStr">
        <is>
          <t>SeaBubbles</t>
        </is>
      </c>
      <c r="C391" s="11" t="inlineStr">
        <is>
          <t/>
        </is>
      </c>
      <c r="D391" s="12" t="inlineStr">
        <is>
          <t/>
        </is>
      </c>
      <c r="E391" s="13" t="inlineStr">
        <is>
          <t>161866-36</t>
        </is>
      </c>
      <c r="F391" s="14" t="inlineStr">
        <is>
          <t>Developer of an eco-friendly water transport system designed to offer a new way to move people on waterways at car speed. The company's eco-friendly water transport system is an egg-shaped carbon-free river shuttle that navigates over water without creating any waves and is interconnected with other urban transport systems, enabling people to hover a few inches above water and transport as many as five people at a time, being summoned by a smartphone and piloted by a robot.</t>
        </is>
      </c>
      <c r="G391" s="15" t="inlineStr">
        <is>
          <t>Consumer Products and Services (B2C)</t>
        </is>
      </c>
      <c r="H391" s="16" t="inlineStr">
        <is>
          <t>Transportation</t>
        </is>
      </c>
      <c r="I391" s="17" t="inlineStr">
        <is>
          <t>Marine</t>
        </is>
      </c>
      <c r="J391" s="18" t="inlineStr">
        <is>
          <t>Marine*; Automotive</t>
        </is>
      </c>
      <c r="K391" s="19" t="inlineStr">
        <is>
          <t>CleanTech, LOHAS &amp; Wellness</t>
        </is>
      </c>
      <c r="L391" s="20" t="inlineStr">
        <is>
          <t>Venture Capital-Backed</t>
        </is>
      </c>
      <c r="M391" s="21" t="n">
        <v>13.95</v>
      </c>
      <c r="N391" s="22" t="inlineStr">
        <is>
          <t>Product Development</t>
        </is>
      </c>
      <c r="O391" s="23" t="inlineStr">
        <is>
          <t>Privately Held (backing)</t>
        </is>
      </c>
      <c r="P391" s="24" t="inlineStr">
        <is>
          <t>Venture Capital</t>
        </is>
      </c>
      <c r="Q391" s="25" t="inlineStr">
        <is>
          <t>www.seabubbles.fr</t>
        </is>
      </c>
      <c r="R391" s="26" t="n">
        <v>6.0</v>
      </c>
      <c r="S391" s="27" t="inlineStr">
        <is>
          <t/>
        </is>
      </c>
      <c r="T391" s="28" t="inlineStr">
        <is>
          <t/>
        </is>
      </c>
      <c r="U391" s="29" t="n">
        <v>2015.0</v>
      </c>
      <c r="V391" s="30" t="inlineStr">
        <is>
          <t/>
        </is>
      </c>
      <c r="W391" s="31" t="inlineStr">
        <is>
          <t/>
        </is>
      </c>
      <c r="X391" s="32" t="inlineStr">
        <is>
          <t/>
        </is>
      </c>
      <c r="Y391" s="33" t="inlineStr">
        <is>
          <t/>
        </is>
      </c>
      <c r="Z391" s="34" t="inlineStr">
        <is>
          <t/>
        </is>
      </c>
      <c r="AA391" s="35" t="inlineStr">
        <is>
          <t/>
        </is>
      </c>
      <c r="AB391" s="36" t="inlineStr">
        <is>
          <t/>
        </is>
      </c>
      <c r="AC391" s="37" t="inlineStr">
        <is>
          <t/>
        </is>
      </c>
      <c r="AD391" s="38" t="inlineStr">
        <is>
          <t/>
        </is>
      </c>
      <c r="AE391" s="39" t="inlineStr">
        <is>
          <t>139014-73P</t>
        </is>
      </c>
      <c r="AF391" s="40" t="inlineStr">
        <is>
          <t>Anders Bringdal</t>
        </is>
      </c>
      <c r="AG391" s="41" t="inlineStr">
        <is>
          <t>Co-Founder &amp; President</t>
        </is>
      </c>
      <c r="AH391" s="42" t="inlineStr">
        <is>
          <t>anders@seabubbles.fr</t>
        </is>
      </c>
      <c r="AI391" s="43" t="inlineStr">
        <is>
          <t/>
        </is>
      </c>
      <c r="AJ391" s="44" t="inlineStr">
        <is>
          <t>Paris, France</t>
        </is>
      </c>
      <c r="AK391" s="45" t="inlineStr">
        <is>
          <t>21 Rue Clement Marot</t>
        </is>
      </c>
      <c r="AL391" s="46" t="inlineStr">
        <is>
          <t/>
        </is>
      </c>
      <c r="AM391" s="47" t="inlineStr">
        <is>
          <t>Paris</t>
        </is>
      </c>
      <c r="AN391" s="48" t="inlineStr">
        <is>
          <t/>
        </is>
      </c>
      <c r="AO391" s="49" t="inlineStr">
        <is>
          <t>75008</t>
        </is>
      </c>
      <c r="AP391" s="50" t="inlineStr">
        <is>
          <t>France</t>
        </is>
      </c>
      <c r="AQ391" s="51" t="inlineStr">
        <is>
          <t/>
        </is>
      </c>
      <c r="AR391" s="52" t="inlineStr">
        <is>
          <t/>
        </is>
      </c>
      <c r="AS391" s="53" t="inlineStr">
        <is>
          <t>contact@seabubbles.com</t>
        </is>
      </c>
      <c r="AT391" s="54" t="inlineStr">
        <is>
          <t>Europe</t>
        </is>
      </c>
      <c r="AU391" s="55" t="inlineStr">
        <is>
          <t>Western Europe</t>
        </is>
      </c>
      <c r="AV391" s="56" t="inlineStr">
        <is>
          <t>The company plans to raise around EUR 75 million of venture funding as of August 18, 2017. Earlier, the company raised EUR 10 million of venture funding from MAIF Avenir on May 11, 2017. The company hopes to expand its service to a dozen cities in Europe, Asia, the Middle East, and the US by 2018, with its on-demand, water taxi service operational in 50 cities by 2024. The company is being actively tracked by PitchBook.</t>
        </is>
      </c>
      <c r="AW391" s="57" t="inlineStr">
        <is>
          <t>Bpifrance, Henri Seydoux, Horizon 2020, MAIF Avenir, Partech Ventures, Philippe Camus</t>
        </is>
      </c>
      <c r="AX391" s="58" t="n">
        <v>6.0</v>
      </c>
      <c r="AY391" s="59" t="inlineStr">
        <is>
          <t/>
        </is>
      </c>
      <c r="AZ391" s="60" t="inlineStr">
        <is>
          <t/>
        </is>
      </c>
      <c r="BA391" s="61" t="inlineStr">
        <is>
          <t/>
        </is>
      </c>
      <c r="BB391" s="62" t="inlineStr">
        <is>
          <t>Bpifrance (www.bpifrance.fr), MAIF Avenir (www.maif-avenir.fr), Partech Ventures (www.partechventures.com)</t>
        </is>
      </c>
      <c r="BC391" s="63" t="inlineStr">
        <is>
          <t/>
        </is>
      </c>
      <c r="BD391" s="64" t="inlineStr">
        <is>
          <t/>
        </is>
      </c>
      <c r="BE391" s="65" t="inlineStr">
        <is>
          <t/>
        </is>
      </c>
      <c r="BF391" s="66" t="inlineStr">
        <is>
          <t>Gibson, Dunn &amp; Crutcher (Legal Advisor)</t>
        </is>
      </c>
      <c r="BG391" s="67" t="n">
        <v>42580.0</v>
      </c>
      <c r="BH391" s="68" t="n">
        <v>0.5</v>
      </c>
      <c r="BI391" s="69" t="inlineStr">
        <is>
          <t>Actual</t>
        </is>
      </c>
      <c r="BJ391" s="70" t="inlineStr">
        <is>
          <t/>
        </is>
      </c>
      <c r="BK391" s="71" t="inlineStr">
        <is>
          <t/>
        </is>
      </c>
      <c r="BL391" s="72" t="inlineStr">
        <is>
          <t>Seed Round</t>
        </is>
      </c>
      <c r="BM391" s="73" t="inlineStr">
        <is>
          <t>Seed</t>
        </is>
      </c>
      <c r="BN391" s="74" t="inlineStr">
        <is>
          <t/>
        </is>
      </c>
      <c r="BO391" s="75" t="inlineStr">
        <is>
          <t>Venture Capital</t>
        </is>
      </c>
      <c r="BP391" s="76" t="inlineStr">
        <is>
          <t/>
        </is>
      </c>
      <c r="BQ391" s="77" t="inlineStr">
        <is>
          <t/>
        </is>
      </c>
      <c r="BR391" s="78" t="inlineStr">
        <is>
          <t/>
        </is>
      </c>
      <c r="BS391" s="79" t="inlineStr">
        <is>
          <t>Completed</t>
        </is>
      </c>
      <c r="BT391" s="80" t="inlineStr">
        <is>
          <t/>
        </is>
      </c>
      <c r="BU391" s="81" t="n">
        <v>75.0</v>
      </c>
      <c r="BV391" s="82" t="inlineStr">
        <is>
          <t>Estimated</t>
        </is>
      </c>
      <c r="BW391" s="83" t="inlineStr">
        <is>
          <t/>
        </is>
      </c>
      <c r="BX391" s="84" t="inlineStr">
        <is>
          <t/>
        </is>
      </c>
      <c r="BY391" s="85" t="inlineStr">
        <is>
          <t>Early Stage VC</t>
        </is>
      </c>
      <c r="BZ391" s="86" t="inlineStr">
        <is>
          <t/>
        </is>
      </c>
      <c r="CA391" s="87" t="inlineStr">
        <is>
          <t/>
        </is>
      </c>
      <c r="CB391" s="88" t="inlineStr">
        <is>
          <t>Venture Capital</t>
        </is>
      </c>
      <c r="CC391" s="89" t="inlineStr">
        <is>
          <t/>
        </is>
      </c>
      <c r="CD391" s="90" t="inlineStr">
        <is>
          <t/>
        </is>
      </c>
      <c r="CE391" s="91" t="inlineStr">
        <is>
          <t/>
        </is>
      </c>
      <c r="CF391" s="92" t="inlineStr">
        <is>
          <t>Upcoming</t>
        </is>
      </c>
      <c r="CG391" s="93" t="inlineStr">
        <is>
          <t>0,40%</t>
        </is>
      </c>
      <c r="CH391" s="94" t="inlineStr">
        <is>
          <t>82</t>
        </is>
      </c>
      <c r="CI391" s="95" t="inlineStr">
        <is>
          <t>0,45%</t>
        </is>
      </c>
      <c r="CJ391" s="96" t="inlineStr">
        <is>
          <t>862,85%</t>
        </is>
      </c>
      <c r="CK391" s="97" t="inlineStr">
        <is>
          <t>-0,78%</t>
        </is>
      </c>
      <c r="CL391" s="98" t="inlineStr">
        <is>
          <t>10</t>
        </is>
      </c>
      <c r="CM391" s="99" t="inlineStr">
        <is>
          <t>1,57%</t>
        </is>
      </c>
      <c r="CN391" s="100" t="inlineStr">
        <is>
          <t>98</t>
        </is>
      </c>
      <c r="CO391" s="101" t="inlineStr">
        <is>
          <t>-1,52%</t>
        </is>
      </c>
      <c r="CP391" s="102" t="inlineStr">
        <is>
          <t>17</t>
        </is>
      </c>
      <c r="CQ391" s="103" t="inlineStr">
        <is>
          <t>-0,03%</t>
        </is>
      </c>
      <c r="CR391" s="104" t="inlineStr">
        <is>
          <t>13</t>
        </is>
      </c>
      <c r="CS391" s="105" t="inlineStr">
        <is>
          <t>2,32%</t>
        </is>
      </c>
      <c r="CT391" s="106" t="inlineStr">
        <is>
          <t>98</t>
        </is>
      </c>
      <c r="CU391" s="107" t="inlineStr">
        <is>
          <t>0,82%</t>
        </is>
      </c>
      <c r="CV391" s="108" t="inlineStr">
        <is>
          <t>96</t>
        </is>
      </c>
      <c r="CW391" s="109" t="inlineStr">
        <is>
          <t>7,79x</t>
        </is>
      </c>
      <c r="CX391" s="110" t="inlineStr">
        <is>
          <t>84</t>
        </is>
      </c>
      <c r="CY391" s="111" t="inlineStr">
        <is>
          <t>-1,33x</t>
        </is>
      </c>
      <c r="CZ391" s="112" t="inlineStr">
        <is>
          <t>-14,61%</t>
        </is>
      </c>
      <c r="DA391" s="113" t="inlineStr">
        <is>
          <t>9,46x</t>
        </is>
      </c>
      <c r="DB391" s="114" t="inlineStr">
        <is>
          <t>87</t>
        </is>
      </c>
      <c r="DC391" s="115" t="inlineStr">
        <is>
          <t>6,11x</t>
        </is>
      </c>
      <c r="DD391" s="116" t="inlineStr">
        <is>
          <t>79</t>
        </is>
      </c>
      <c r="DE391" s="117" t="inlineStr">
        <is>
          <t>6,63x</t>
        </is>
      </c>
      <c r="DF391" s="118" t="inlineStr">
        <is>
          <t>79</t>
        </is>
      </c>
      <c r="DG391" s="119" t="inlineStr">
        <is>
          <t>12,28x</t>
        </is>
      </c>
      <c r="DH391" s="120" t="inlineStr">
        <is>
          <t>88</t>
        </is>
      </c>
      <c r="DI391" s="121" t="inlineStr">
        <is>
          <t>3,02x</t>
        </is>
      </c>
      <c r="DJ391" s="122" t="inlineStr">
        <is>
          <t>68</t>
        </is>
      </c>
      <c r="DK391" s="123" t="inlineStr">
        <is>
          <t>9,21x</t>
        </is>
      </c>
      <c r="DL391" s="124" t="inlineStr">
        <is>
          <t>85</t>
        </is>
      </c>
      <c r="DM391" s="125" t="inlineStr">
        <is>
          <t>3.930</t>
        </is>
      </c>
      <c r="DN391" s="126" t="inlineStr">
        <is>
          <t>448</t>
        </is>
      </c>
      <c r="DO391" s="127" t="inlineStr">
        <is>
          <t>12,87%</t>
        </is>
      </c>
      <c r="DP391" s="128" t="inlineStr">
        <is>
          <t>2.398</t>
        </is>
      </c>
      <c r="DQ391" s="129" t="inlineStr">
        <is>
          <t>95</t>
        </is>
      </c>
      <c r="DR391" s="130" t="inlineStr">
        <is>
          <t>4,13%</t>
        </is>
      </c>
      <c r="DS391" s="131" t="inlineStr">
        <is>
          <t>441</t>
        </is>
      </c>
      <c r="DT391" s="132" t="inlineStr">
        <is>
          <t>0</t>
        </is>
      </c>
      <c r="DU391" s="133" t="inlineStr">
        <is>
          <t>0,00%</t>
        </is>
      </c>
      <c r="DV391" s="134" t="inlineStr">
        <is>
          <t>3.149</t>
        </is>
      </c>
      <c r="DW391" s="135" t="inlineStr">
        <is>
          <t>39</t>
        </is>
      </c>
      <c r="DX391" s="136" t="inlineStr">
        <is>
          <t>1,25%</t>
        </is>
      </c>
      <c r="DY391" s="137" t="inlineStr">
        <is>
          <t>PitchBook Research</t>
        </is>
      </c>
      <c r="DZ391" s="785">
        <f>HYPERLINK("https://my.pitchbook.com?c=161866-36", "View company online")</f>
      </c>
    </row>
    <row r="392">
      <c r="A392" s="139" t="inlineStr">
        <is>
          <t>99881-20</t>
        </is>
      </c>
      <c r="B392" s="140" t="inlineStr">
        <is>
          <t>Second Home</t>
        </is>
      </c>
      <c r="C392" s="141" t="inlineStr">
        <is>
          <t/>
        </is>
      </c>
      <c r="D392" s="142" t="inlineStr">
        <is>
          <t>S.H</t>
        </is>
      </c>
      <c r="E392" s="143" t="inlineStr">
        <is>
          <t>99881-20</t>
        </is>
      </c>
      <c r="F392" s="144" t="inlineStr">
        <is>
          <t>Operator of office and studio spaces for businesses. The company provides a creative work space and cultural venue that aims to bring together diverse industries, disciplines and types of social businesses. They also host a year-round program of talks, exhibitions, live music, film screenings and more.</t>
        </is>
      </c>
      <c r="G392" s="145" t="inlineStr">
        <is>
          <t>Business Products and Services (B2B)</t>
        </is>
      </c>
      <c r="H392" s="146" t="inlineStr">
        <is>
          <t>Other Business Products and Services</t>
        </is>
      </c>
      <c r="I392" s="147" t="inlineStr">
        <is>
          <t>Buildings and Property</t>
        </is>
      </c>
      <c r="J392" s="148" t="inlineStr">
        <is>
          <t>Buildings and Property*</t>
        </is>
      </c>
      <c r="K392" s="149" t="inlineStr">
        <is>
          <t/>
        </is>
      </c>
      <c r="L392" s="150" t="inlineStr">
        <is>
          <t>Venture Capital-Backed</t>
        </is>
      </c>
      <c r="M392" s="151" t="n">
        <v>32.39</v>
      </c>
      <c r="N392" s="152" t="inlineStr">
        <is>
          <t>Startup</t>
        </is>
      </c>
      <c r="O392" s="153" t="inlineStr">
        <is>
          <t>Privately Held (backing)</t>
        </is>
      </c>
      <c r="P392" s="154" t="inlineStr">
        <is>
          <t>Venture Capital</t>
        </is>
      </c>
      <c r="Q392" s="155" t="inlineStr">
        <is>
          <t>www.secondhome.io</t>
        </is>
      </c>
      <c r="R392" s="156" t="n">
        <v>11.0</v>
      </c>
      <c r="S392" s="157" t="inlineStr">
        <is>
          <t/>
        </is>
      </c>
      <c r="T392" s="158" t="inlineStr">
        <is>
          <t/>
        </is>
      </c>
      <c r="U392" s="159" t="n">
        <v>2014.0</v>
      </c>
      <c r="V392" s="160" t="inlineStr">
        <is>
          <t/>
        </is>
      </c>
      <c r="W392" s="161" t="inlineStr">
        <is>
          <t/>
        </is>
      </c>
      <c r="X392" s="162" t="inlineStr">
        <is>
          <t/>
        </is>
      </c>
      <c r="Y392" s="163" t="inlineStr">
        <is>
          <t/>
        </is>
      </c>
      <c r="Z392" s="164" t="inlineStr">
        <is>
          <t/>
        </is>
      </c>
      <c r="AA392" s="165" t="inlineStr">
        <is>
          <t/>
        </is>
      </c>
      <c r="AB392" s="166" t="inlineStr">
        <is>
          <t/>
        </is>
      </c>
      <c r="AC392" s="167" t="inlineStr">
        <is>
          <t/>
        </is>
      </c>
      <c r="AD392" s="168" t="inlineStr">
        <is>
          <t/>
        </is>
      </c>
      <c r="AE392" s="169" t="inlineStr">
        <is>
          <t>69368-50P</t>
        </is>
      </c>
      <c r="AF392" s="170" t="inlineStr">
        <is>
          <t>Rohan Silva</t>
        </is>
      </c>
      <c r="AG392" s="171" t="inlineStr">
        <is>
          <t>Co-Founder, Board Member &amp; Co-Chief Executive Officer</t>
        </is>
      </c>
      <c r="AH392" s="172" t="inlineStr">
        <is>
          <t>rohan@secondhome.io</t>
        </is>
      </c>
      <c r="AI392" s="173" t="inlineStr">
        <is>
          <t>+44 (0)20 3818 3240</t>
        </is>
      </c>
      <c r="AJ392" s="174" t="inlineStr">
        <is>
          <t>London, United Kingdom</t>
        </is>
      </c>
      <c r="AK392" s="175" t="inlineStr">
        <is>
          <t>68 Hanbury Street</t>
        </is>
      </c>
      <c r="AL392" s="176" t="inlineStr">
        <is>
          <t/>
        </is>
      </c>
      <c r="AM392" s="177" t="inlineStr">
        <is>
          <t>London</t>
        </is>
      </c>
      <c r="AN392" s="178" t="inlineStr">
        <is>
          <t>England</t>
        </is>
      </c>
      <c r="AO392" s="179" t="inlineStr">
        <is>
          <t>E1 5JL</t>
        </is>
      </c>
      <c r="AP392" s="180" t="inlineStr">
        <is>
          <t>United Kingdom</t>
        </is>
      </c>
      <c r="AQ392" s="181" t="inlineStr">
        <is>
          <t>+44 (0)20 3818 3240</t>
        </is>
      </c>
      <c r="AR392" s="182" t="inlineStr">
        <is>
          <t/>
        </is>
      </c>
      <c r="AS392" s="183" t="inlineStr">
        <is>
          <t>hello@secondhome.io</t>
        </is>
      </c>
      <c r="AT392" s="184" t="inlineStr">
        <is>
          <t>Europe</t>
        </is>
      </c>
      <c r="AU392" s="185" t="inlineStr">
        <is>
          <t>Western Europe</t>
        </is>
      </c>
      <c r="AV392" s="186" t="inlineStr">
        <is>
          <t>The company raised GBP 20 million of venture funding from Yuri Milner, Michael Birch, Talis Capital and the Sainsbury Family on October 31, 2016. The company will use the funds to continue its expansion in the UK, Portugal and the US. Previously, the company raised GBP 7.5 million of venture funding from Index Ventures, Yuri Milner and Martin Lau on January 18, 2016.</t>
        </is>
      </c>
      <c r="AW392" s="187" t="inlineStr">
        <is>
          <t>Alex Chesterman, Alexander Asseily, Andrew Bredon, Anil Hansjee, Bill Muirhead, Christian Hernandez, David Kershaw, Index Ventures (UK), Jeremy Sinclair, Jim O'Neill, Lisbon Challenge, Martin Lau, Michael Birch, Pembroke Venture Capital Trust, Peter Bazalgette, Robin Klein, Sainsbury Family, Samos Investments, Startup Lisboa, Talis Capital, Tom Hulme, Yuri Milner</t>
        </is>
      </c>
      <c r="AX392" s="188" t="n">
        <v>22.0</v>
      </c>
      <c r="AY392" s="189" t="inlineStr">
        <is>
          <t/>
        </is>
      </c>
      <c r="AZ392" s="190" t="inlineStr">
        <is>
          <t/>
        </is>
      </c>
      <c r="BA392" s="191" t="inlineStr">
        <is>
          <t/>
        </is>
      </c>
      <c r="BB392" s="192" t="inlineStr">
        <is>
          <t>Anil Hansjee (about.me/ahansjee), Index Ventures (UK) (www.indexventures.com), Lisbon Challenge (www.lisbon-challenge.com), Pembroke Venture Capital Trust (www.pembrokevct.com), Robin Klein (www.the-accelerator.blogspot.com), Samos Investments (www.samos.uk.com), Startup Lisboa (www.startuplisboa.com), Talis Capital (www.taliscapital.com)</t>
        </is>
      </c>
      <c r="BC392" s="193" t="inlineStr">
        <is>
          <t/>
        </is>
      </c>
      <c r="BD392" s="194" t="inlineStr">
        <is>
          <t/>
        </is>
      </c>
      <c r="BE392" s="195" t="inlineStr">
        <is>
          <t/>
        </is>
      </c>
      <c r="BF392" s="196" t="inlineStr">
        <is>
          <t/>
        </is>
      </c>
      <c r="BG392" s="197" t="inlineStr">
        <is>
          <t/>
        </is>
      </c>
      <c r="BH392" s="198" t="inlineStr">
        <is>
          <t/>
        </is>
      </c>
      <c r="BI392" s="199" t="inlineStr">
        <is>
          <t/>
        </is>
      </c>
      <c r="BJ392" s="200" t="inlineStr">
        <is>
          <t/>
        </is>
      </c>
      <c r="BK392" s="201" t="inlineStr">
        <is>
          <t/>
        </is>
      </c>
      <c r="BL392" s="202" t="inlineStr">
        <is>
          <t>Early Stage VC</t>
        </is>
      </c>
      <c r="BM392" s="203" t="inlineStr">
        <is>
          <t/>
        </is>
      </c>
      <c r="BN392" s="204" t="inlineStr">
        <is>
          <t/>
        </is>
      </c>
      <c r="BO392" s="205" t="inlineStr">
        <is>
          <t>Venture Capital</t>
        </is>
      </c>
      <c r="BP392" s="206" t="inlineStr">
        <is>
          <t/>
        </is>
      </c>
      <c r="BQ392" s="207" t="inlineStr">
        <is>
          <t/>
        </is>
      </c>
      <c r="BR392" s="208" t="inlineStr">
        <is>
          <t/>
        </is>
      </c>
      <c r="BS392" s="209" t="inlineStr">
        <is>
          <t>Completed</t>
        </is>
      </c>
      <c r="BT392" s="210" t="n">
        <v>42674.0</v>
      </c>
      <c r="BU392" s="211" t="n">
        <v>22.43</v>
      </c>
      <c r="BV392" s="212" t="inlineStr">
        <is>
          <t>Actual</t>
        </is>
      </c>
      <c r="BW392" s="213" t="inlineStr">
        <is>
          <t/>
        </is>
      </c>
      <c r="BX392" s="214" t="inlineStr">
        <is>
          <t/>
        </is>
      </c>
      <c r="BY392" s="215" t="inlineStr">
        <is>
          <t>Early Stage VC</t>
        </is>
      </c>
      <c r="BZ392" s="216" t="inlineStr">
        <is>
          <t/>
        </is>
      </c>
      <c r="CA392" s="217" t="inlineStr">
        <is>
          <t/>
        </is>
      </c>
      <c r="CB392" s="218" t="inlineStr">
        <is>
          <t>Venture Capital</t>
        </is>
      </c>
      <c r="CC392" s="219" t="inlineStr">
        <is>
          <t/>
        </is>
      </c>
      <c r="CD392" s="220" t="inlineStr">
        <is>
          <t/>
        </is>
      </c>
      <c r="CE392" s="221" t="inlineStr">
        <is>
          <t/>
        </is>
      </c>
      <c r="CF392" s="222" t="inlineStr">
        <is>
          <t>Completed</t>
        </is>
      </c>
      <c r="CG392" s="223" t="inlineStr">
        <is>
          <t>-0,28%</t>
        </is>
      </c>
      <c r="CH392" s="224" t="inlineStr">
        <is>
          <t>11</t>
        </is>
      </c>
      <c r="CI392" s="225" t="inlineStr">
        <is>
          <t>0,21%</t>
        </is>
      </c>
      <c r="CJ392" s="226" t="inlineStr">
        <is>
          <t>42,38%</t>
        </is>
      </c>
      <c r="CK392" s="227" t="inlineStr">
        <is>
          <t>-1,88%</t>
        </is>
      </c>
      <c r="CL392" s="228" t="inlineStr">
        <is>
          <t>6</t>
        </is>
      </c>
      <c r="CM392" s="229" t="inlineStr">
        <is>
          <t>1,32%</t>
        </is>
      </c>
      <c r="CN392" s="230" t="inlineStr">
        <is>
          <t>97</t>
        </is>
      </c>
      <c r="CO392" s="231" t="inlineStr">
        <is>
          <t>-3,76%</t>
        </is>
      </c>
      <c r="CP392" s="232" t="inlineStr">
        <is>
          <t>10</t>
        </is>
      </c>
      <c r="CQ392" s="233" t="inlineStr">
        <is>
          <t>0,00%</t>
        </is>
      </c>
      <c r="CR392" s="234" t="inlineStr">
        <is>
          <t>13</t>
        </is>
      </c>
      <c r="CS392" s="235" t="inlineStr">
        <is>
          <t>2,65%</t>
        </is>
      </c>
      <c r="CT392" s="236" t="inlineStr">
        <is>
          <t>99</t>
        </is>
      </c>
      <c r="CU392" s="237" t="inlineStr">
        <is>
          <t>-0,01%</t>
        </is>
      </c>
      <c r="CV392" s="238" t="inlineStr">
        <is>
          <t>19</t>
        </is>
      </c>
      <c r="CW392" s="239" t="inlineStr">
        <is>
          <t>9,36x</t>
        </is>
      </c>
      <c r="CX392" s="240" t="inlineStr">
        <is>
          <t>86</t>
        </is>
      </c>
      <c r="CY392" s="241" t="inlineStr">
        <is>
          <t>0,21x</t>
        </is>
      </c>
      <c r="CZ392" s="242" t="inlineStr">
        <is>
          <t>2,34%</t>
        </is>
      </c>
      <c r="DA392" s="243" t="inlineStr">
        <is>
          <t>6,11x</t>
        </is>
      </c>
      <c r="DB392" s="244" t="inlineStr">
        <is>
          <t>82</t>
        </is>
      </c>
      <c r="DC392" s="245" t="inlineStr">
        <is>
          <t>12,61x</t>
        </is>
      </c>
      <c r="DD392" s="246" t="inlineStr">
        <is>
          <t>86</t>
        </is>
      </c>
      <c r="DE392" s="247" t="inlineStr">
        <is>
          <t>10,38x</t>
        </is>
      </c>
      <c r="DF392" s="248" t="inlineStr">
        <is>
          <t>84</t>
        </is>
      </c>
      <c r="DG392" s="249" t="inlineStr">
        <is>
          <t>1,83x</t>
        </is>
      </c>
      <c r="DH392" s="250" t="inlineStr">
        <is>
          <t>62</t>
        </is>
      </c>
      <c r="DI392" s="251" t="inlineStr">
        <is>
          <t>6,24x</t>
        </is>
      </c>
      <c r="DJ392" s="252" t="inlineStr">
        <is>
          <t>77</t>
        </is>
      </c>
      <c r="DK392" s="253" t="inlineStr">
        <is>
          <t>18,98x</t>
        </is>
      </c>
      <c r="DL392" s="254" t="inlineStr">
        <is>
          <t>91</t>
        </is>
      </c>
      <c r="DM392" s="255" t="inlineStr">
        <is>
          <t>6.604</t>
        </is>
      </c>
      <c r="DN392" s="256" t="inlineStr">
        <is>
          <t>-661</t>
        </is>
      </c>
      <c r="DO392" s="257" t="inlineStr">
        <is>
          <t>-9,10%</t>
        </is>
      </c>
      <c r="DP392" s="258" t="inlineStr">
        <is>
          <t>4.869</t>
        </is>
      </c>
      <c r="DQ392" s="259" t="inlineStr">
        <is>
          <t>319</t>
        </is>
      </c>
      <c r="DR392" s="260" t="inlineStr">
        <is>
          <t>7,01%</t>
        </is>
      </c>
      <c r="DS392" s="261" t="inlineStr">
        <is>
          <t>67</t>
        </is>
      </c>
      <c r="DT392" s="262" t="inlineStr">
        <is>
          <t>-2</t>
        </is>
      </c>
      <c r="DU392" s="263" t="inlineStr">
        <is>
          <t>-2,90%</t>
        </is>
      </c>
      <c r="DV392" s="264" t="inlineStr">
        <is>
          <t>6.511</t>
        </is>
      </c>
      <c r="DW392" s="265" t="inlineStr">
        <is>
          <t>-1</t>
        </is>
      </c>
      <c r="DX392" s="266" t="inlineStr">
        <is>
          <t>-0,02%</t>
        </is>
      </c>
      <c r="DY392" s="267" t="inlineStr">
        <is>
          <t>PitchBook Research</t>
        </is>
      </c>
      <c r="DZ392" s="786">
        <f>HYPERLINK("https://my.pitchbook.com?c=99881-20", "View company online")</f>
      </c>
    </row>
    <row r="393">
      <c r="A393" s="9" t="inlineStr">
        <is>
          <t>102854-44</t>
        </is>
      </c>
      <c r="B393" s="10" t="inlineStr">
        <is>
          <t>SendCloud</t>
        </is>
      </c>
      <c r="C393" s="11" t="inlineStr">
        <is>
          <t/>
        </is>
      </c>
      <c r="D393" s="12" t="inlineStr">
        <is>
          <t/>
        </is>
      </c>
      <c r="E393" s="13" t="inlineStr">
        <is>
          <t>102854-44</t>
        </is>
      </c>
      <c r="F393" s="14" t="inlineStr">
        <is>
          <t>Provider of an online eCommerce shipping platform designed to operate more efficiently and ship goods at competitive rates. The company's eCommerce shipping platform helps online shops with the optimization of the shipping process, through partnerships with various carriers in Europe, enabling small to medium-sized online stores to select their shipping service, print the associated labels, send and return packages anywhere around the world. It also enhances the customer journey with multiple shipping options in the check out, faster order processing, customer notifications and automatic processing of European returns.</t>
        </is>
      </c>
      <c r="G393" s="15" t="inlineStr">
        <is>
          <t>Business Products and Services (B2B)</t>
        </is>
      </c>
      <c r="H393" s="16" t="inlineStr">
        <is>
          <t>Commercial Services</t>
        </is>
      </c>
      <c r="I393" s="17" t="inlineStr">
        <is>
          <t>Logistics</t>
        </is>
      </c>
      <c r="J393" s="18" t="inlineStr">
        <is>
          <t>Logistics*; Social/Platform Software</t>
        </is>
      </c>
      <c r="K393" s="19" t="inlineStr">
        <is>
          <t>E-Commerce</t>
        </is>
      </c>
      <c r="L393" s="20" t="inlineStr">
        <is>
          <t>Venture Capital-Backed</t>
        </is>
      </c>
      <c r="M393" s="21" t="n">
        <v>7.0</v>
      </c>
      <c r="N393" s="22" t="inlineStr">
        <is>
          <t>Generating Revenue</t>
        </is>
      </c>
      <c r="O393" s="23" t="inlineStr">
        <is>
          <t>Privately Held (backing)</t>
        </is>
      </c>
      <c r="P393" s="24" t="inlineStr">
        <is>
          <t>Venture Capital</t>
        </is>
      </c>
      <c r="Q393" s="25" t="inlineStr">
        <is>
          <t>www.sendcloud.nl</t>
        </is>
      </c>
      <c r="R393" s="26" t="n">
        <v>55.0</v>
      </c>
      <c r="S393" s="27" t="inlineStr">
        <is>
          <t/>
        </is>
      </c>
      <c r="T393" s="28" t="inlineStr">
        <is>
          <t/>
        </is>
      </c>
      <c r="U393" s="29" t="n">
        <v>2012.0</v>
      </c>
      <c r="V393" s="30" t="inlineStr">
        <is>
          <t/>
        </is>
      </c>
      <c r="W393" s="31" t="inlineStr">
        <is>
          <t/>
        </is>
      </c>
      <c r="X393" s="32" t="inlineStr">
        <is>
          <t/>
        </is>
      </c>
      <c r="Y393" s="33" t="inlineStr">
        <is>
          <t/>
        </is>
      </c>
      <c r="Z393" s="34" t="inlineStr">
        <is>
          <t/>
        </is>
      </c>
      <c r="AA393" s="35" t="inlineStr">
        <is>
          <t/>
        </is>
      </c>
      <c r="AB393" s="36" t="inlineStr">
        <is>
          <t/>
        </is>
      </c>
      <c r="AC393" s="37" t="inlineStr">
        <is>
          <t/>
        </is>
      </c>
      <c r="AD393" s="38" t="inlineStr">
        <is>
          <t/>
        </is>
      </c>
      <c r="AE393" s="39" t="inlineStr">
        <is>
          <t>93453-94P</t>
        </is>
      </c>
      <c r="AF393" s="40" t="inlineStr">
        <is>
          <t>Rob van den Heuvel</t>
        </is>
      </c>
      <c r="AG393" s="41" t="inlineStr">
        <is>
          <t>Co-Founder &amp; Chief Executive Officer</t>
        </is>
      </c>
      <c r="AH393" s="42" t="inlineStr">
        <is>
          <t>rob@sendcloud.nl</t>
        </is>
      </c>
      <c r="AI393" s="43" t="inlineStr">
        <is>
          <t>+31 (0)40 304 1316</t>
        </is>
      </c>
      <c r="AJ393" s="44" t="inlineStr">
        <is>
          <t>Eindhoven, Netherlands</t>
        </is>
      </c>
      <c r="AK393" s="45" t="inlineStr">
        <is>
          <t>Bogert 1</t>
        </is>
      </c>
      <c r="AL393" s="46" t="inlineStr">
        <is>
          <t/>
        </is>
      </c>
      <c r="AM393" s="47" t="inlineStr">
        <is>
          <t>Eindhoven</t>
        </is>
      </c>
      <c r="AN393" s="48" t="inlineStr">
        <is>
          <t/>
        </is>
      </c>
      <c r="AO393" s="49" t="inlineStr">
        <is>
          <t>5612 LX</t>
        </is>
      </c>
      <c r="AP393" s="50" t="inlineStr">
        <is>
          <t>Netherlands</t>
        </is>
      </c>
      <c r="AQ393" s="51" t="inlineStr">
        <is>
          <t>+31 (0)40 304 1316</t>
        </is>
      </c>
      <c r="AR393" s="52" t="inlineStr">
        <is>
          <t/>
        </is>
      </c>
      <c r="AS393" s="53" t="inlineStr">
        <is>
          <t>contact@sendcloud.sc</t>
        </is>
      </c>
      <c r="AT393" s="54" t="inlineStr">
        <is>
          <t>Europe</t>
        </is>
      </c>
      <c r="AU393" s="55" t="inlineStr">
        <is>
          <t>Western Europe</t>
        </is>
      </c>
      <c r="AV393" s="56" t="inlineStr">
        <is>
          <t>The company raised EUR 5 million of Series A venture funding from lead investor The Informal Investors Network on August 29, 2017. HenQ and Brabantse Ontwikkelings Maatschappij also participated. The company intends to use the funds to further improve the eCommerce logistics in Europe.</t>
        </is>
      </c>
      <c r="AW393" s="57" t="inlineStr">
        <is>
          <t>Brabantse Ontwikkelings Maatschappij, HenQ, SanomaVentures, Startupbootcamp, The Informal Investors Network</t>
        </is>
      </c>
      <c r="AX393" s="58" t="n">
        <v>5.0</v>
      </c>
      <c r="AY393" s="59" t="inlineStr">
        <is>
          <t/>
        </is>
      </c>
      <c r="AZ393" s="60" t="inlineStr">
        <is>
          <t/>
        </is>
      </c>
      <c r="BA393" s="61" t="inlineStr">
        <is>
          <t/>
        </is>
      </c>
      <c r="BB393" s="62" t="inlineStr">
        <is>
          <t>Brabantse Ontwikkelings Maatschappij (www.bom.nl), HenQ (www.henq.nl), Startupbootcamp (www.startupbootcamp.org), The Informal Investors Network (www.tiincapital.nl)</t>
        </is>
      </c>
      <c r="BC393" s="63" t="inlineStr">
        <is>
          <t/>
        </is>
      </c>
      <c r="BD393" s="64" t="inlineStr">
        <is>
          <t/>
        </is>
      </c>
      <c r="BE393" s="65" t="inlineStr">
        <is>
          <t/>
        </is>
      </c>
      <c r="BF393" s="66" t="inlineStr">
        <is>
          <t/>
        </is>
      </c>
      <c r="BG393" s="67" t="n">
        <v>41640.0</v>
      </c>
      <c r="BH393" s="68" t="inlineStr">
        <is>
          <t/>
        </is>
      </c>
      <c r="BI393" s="69" t="inlineStr">
        <is>
          <t/>
        </is>
      </c>
      <c r="BJ393" s="70" t="inlineStr">
        <is>
          <t/>
        </is>
      </c>
      <c r="BK393" s="71" t="inlineStr">
        <is>
          <t/>
        </is>
      </c>
      <c r="BL393" s="72" t="inlineStr">
        <is>
          <t>Accelerator/Incubator</t>
        </is>
      </c>
      <c r="BM393" s="73" t="inlineStr">
        <is>
          <t/>
        </is>
      </c>
      <c r="BN393" s="74" t="inlineStr">
        <is>
          <t/>
        </is>
      </c>
      <c r="BO393" s="75" t="inlineStr">
        <is>
          <t>Other</t>
        </is>
      </c>
      <c r="BP393" s="76" t="inlineStr">
        <is>
          <t/>
        </is>
      </c>
      <c r="BQ393" s="77" t="inlineStr">
        <is>
          <t/>
        </is>
      </c>
      <c r="BR393" s="78" t="inlineStr">
        <is>
          <t/>
        </is>
      </c>
      <c r="BS393" s="79" t="inlineStr">
        <is>
          <t>Completed</t>
        </is>
      </c>
      <c r="BT393" s="80" t="n">
        <v>42976.0</v>
      </c>
      <c r="BU393" s="81" t="n">
        <v>5.0</v>
      </c>
      <c r="BV393" s="82" t="inlineStr">
        <is>
          <t>Actual</t>
        </is>
      </c>
      <c r="BW393" s="83" t="inlineStr">
        <is>
          <t/>
        </is>
      </c>
      <c r="BX393" s="84" t="inlineStr">
        <is>
          <t/>
        </is>
      </c>
      <c r="BY393" s="85" t="inlineStr">
        <is>
          <t>Early Stage VC</t>
        </is>
      </c>
      <c r="BZ393" s="86" t="inlineStr">
        <is>
          <t>Series A</t>
        </is>
      </c>
      <c r="CA393" s="87" t="inlineStr">
        <is>
          <t/>
        </is>
      </c>
      <c r="CB393" s="88" t="inlineStr">
        <is>
          <t>Venture Capital</t>
        </is>
      </c>
      <c r="CC393" s="89" t="inlineStr">
        <is>
          <t/>
        </is>
      </c>
      <c r="CD393" s="90" t="inlineStr">
        <is>
          <t/>
        </is>
      </c>
      <c r="CE393" s="91" t="inlineStr">
        <is>
          <t/>
        </is>
      </c>
      <c r="CF393" s="92" t="inlineStr">
        <is>
          <t>Completed</t>
        </is>
      </c>
      <c r="CG393" s="93" t="inlineStr">
        <is>
          <t>-0,71%</t>
        </is>
      </c>
      <c r="CH393" s="94" t="inlineStr">
        <is>
          <t>7</t>
        </is>
      </c>
      <c r="CI393" s="95" t="inlineStr">
        <is>
          <t>0,07%</t>
        </is>
      </c>
      <c r="CJ393" s="96" t="inlineStr">
        <is>
          <t>8,99%</t>
        </is>
      </c>
      <c r="CK393" s="97" t="inlineStr">
        <is>
          <t>-2,46%</t>
        </is>
      </c>
      <c r="CL393" s="98" t="inlineStr">
        <is>
          <t>4</t>
        </is>
      </c>
      <c r="CM393" s="99" t="inlineStr">
        <is>
          <t>1,05%</t>
        </is>
      </c>
      <c r="CN393" s="100" t="inlineStr">
        <is>
          <t>96</t>
        </is>
      </c>
      <c r="CO393" s="101" t="inlineStr">
        <is>
          <t>-5,37%</t>
        </is>
      </c>
      <c r="CP393" s="102" t="inlineStr">
        <is>
          <t>6</t>
        </is>
      </c>
      <c r="CQ393" s="103" t="inlineStr">
        <is>
          <t>0,45%</t>
        </is>
      </c>
      <c r="CR393" s="104" t="inlineStr">
        <is>
          <t>86</t>
        </is>
      </c>
      <c r="CS393" s="105" t="inlineStr">
        <is>
          <t>1,50%</t>
        </is>
      </c>
      <c r="CT393" s="106" t="inlineStr">
        <is>
          <t>97</t>
        </is>
      </c>
      <c r="CU393" s="107" t="inlineStr">
        <is>
          <t>0,59%</t>
        </is>
      </c>
      <c r="CV393" s="108" t="inlineStr">
        <is>
          <t>93</t>
        </is>
      </c>
      <c r="CW393" s="109" t="inlineStr">
        <is>
          <t>7,93x</t>
        </is>
      </c>
      <c r="CX393" s="110" t="inlineStr">
        <is>
          <t>84</t>
        </is>
      </c>
      <c r="CY393" s="111" t="inlineStr">
        <is>
          <t>0,17x</t>
        </is>
      </c>
      <c r="CZ393" s="112" t="inlineStr">
        <is>
          <t>2,22%</t>
        </is>
      </c>
      <c r="DA393" s="113" t="inlineStr">
        <is>
          <t>10,20x</t>
        </is>
      </c>
      <c r="DB393" s="114" t="inlineStr">
        <is>
          <t>88</t>
        </is>
      </c>
      <c r="DC393" s="115" t="inlineStr">
        <is>
          <t>5,66x</t>
        </is>
      </c>
      <c r="DD393" s="116" t="inlineStr">
        <is>
          <t>78</t>
        </is>
      </c>
      <c r="DE393" s="117" t="inlineStr">
        <is>
          <t>13,24x</t>
        </is>
      </c>
      <c r="DF393" s="118" t="inlineStr">
        <is>
          <t>86</t>
        </is>
      </c>
      <c r="DG393" s="119" t="inlineStr">
        <is>
          <t>7,17x</t>
        </is>
      </c>
      <c r="DH393" s="120" t="inlineStr">
        <is>
          <t>82</t>
        </is>
      </c>
      <c r="DI393" s="121" t="inlineStr">
        <is>
          <t>7,69x</t>
        </is>
      </c>
      <c r="DJ393" s="122" t="inlineStr">
        <is>
          <t>79</t>
        </is>
      </c>
      <c r="DK393" s="123" t="inlineStr">
        <is>
          <t>3,64x</t>
        </is>
      </c>
      <c r="DL393" s="124" t="inlineStr">
        <is>
          <t>73</t>
        </is>
      </c>
      <c r="DM393" s="125" t="inlineStr">
        <is>
          <t>8.202</t>
        </is>
      </c>
      <c r="DN393" s="126" t="inlineStr">
        <is>
          <t>-183</t>
        </is>
      </c>
      <c r="DO393" s="127" t="inlineStr">
        <is>
          <t>-2,18%</t>
        </is>
      </c>
      <c r="DP393" s="128" t="inlineStr">
        <is>
          <t>6.099</t>
        </is>
      </c>
      <c r="DQ393" s="129" t="inlineStr">
        <is>
          <t>111</t>
        </is>
      </c>
      <c r="DR393" s="130" t="inlineStr">
        <is>
          <t>1,85%</t>
        </is>
      </c>
      <c r="DS393" s="131" t="inlineStr">
        <is>
          <t>255</t>
        </is>
      </c>
      <c r="DT393" s="132" t="inlineStr">
        <is>
          <t>3</t>
        </is>
      </c>
      <c r="DU393" s="133" t="inlineStr">
        <is>
          <t>1,19%</t>
        </is>
      </c>
      <c r="DV393" s="134" t="inlineStr">
        <is>
          <t>1.247</t>
        </is>
      </c>
      <c r="DW393" s="135" t="inlineStr">
        <is>
          <t>3</t>
        </is>
      </c>
      <c r="DX393" s="136" t="inlineStr">
        <is>
          <t>0,24%</t>
        </is>
      </c>
      <c r="DY393" s="137" t="inlineStr">
        <is>
          <t>PitchBook Research</t>
        </is>
      </c>
      <c r="DZ393" s="785">
        <f>HYPERLINK("https://my.pitchbook.com?c=102854-44", "View company online")</f>
      </c>
    </row>
    <row r="394">
      <c r="A394" s="139" t="inlineStr">
        <is>
          <t>58637-98</t>
        </is>
      </c>
      <c r="B394" s="140" t="inlineStr">
        <is>
          <t>Seriously</t>
        </is>
      </c>
      <c r="C394" s="141" t="inlineStr">
        <is>
          <t/>
        </is>
      </c>
      <c r="D394" s="142" t="inlineStr">
        <is>
          <t/>
        </is>
      </c>
      <c r="E394" s="143" t="inlineStr">
        <is>
          <t>58637-98</t>
        </is>
      </c>
      <c r="F394" s="144" t="inlineStr">
        <is>
          <t>Developer of a platform designed to create mobile games. The company's platform creates an animated experience that further brings the world of Best Fiends to life beyond their first two mobile games with the help of characters, stories and music, enabling users to enjoy and play different types of online games.</t>
        </is>
      </c>
      <c r="G394" s="145" t="inlineStr">
        <is>
          <t>Information Technology</t>
        </is>
      </c>
      <c r="H394" s="146" t="inlineStr">
        <is>
          <t>Software</t>
        </is>
      </c>
      <c r="I394" s="147" t="inlineStr">
        <is>
          <t>Entertainment Software</t>
        </is>
      </c>
      <c r="J394" s="148" t="inlineStr">
        <is>
          <t>Entertainment Software*</t>
        </is>
      </c>
      <c r="K394" s="149" t="inlineStr">
        <is>
          <t>Mobile</t>
        </is>
      </c>
      <c r="L394" s="150" t="inlineStr">
        <is>
          <t>Venture Capital-Backed</t>
        </is>
      </c>
      <c r="M394" s="151" t="n">
        <v>28.96</v>
      </c>
      <c r="N394" s="152" t="inlineStr">
        <is>
          <t>Startup</t>
        </is>
      </c>
      <c r="O394" s="153" t="inlineStr">
        <is>
          <t>Privately Held (backing)</t>
        </is>
      </c>
      <c r="P394" s="154" t="inlineStr">
        <is>
          <t>Venture Capital</t>
        </is>
      </c>
      <c r="Q394" s="155" t="inlineStr">
        <is>
          <t>www.seriously.com</t>
        </is>
      </c>
      <c r="R394" s="156" t="n">
        <v>14.0</v>
      </c>
      <c r="S394" s="157" t="inlineStr">
        <is>
          <t/>
        </is>
      </c>
      <c r="T394" s="158" t="inlineStr">
        <is>
          <t/>
        </is>
      </c>
      <c r="U394" s="159" t="n">
        <v>2013.0</v>
      </c>
      <c r="V394" s="160" t="inlineStr">
        <is>
          <t/>
        </is>
      </c>
      <c r="W394" s="161" t="inlineStr">
        <is>
          <t/>
        </is>
      </c>
      <c r="X394" s="162" t="inlineStr">
        <is>
          <t/>
        </is>
      </c>
      <c r="Y394" s="163" t="inlineStr">
        <is>
          <t/>
        </is>
      </c>
      <c r="Z394" s="164" t="inlineStr">
        <is>
          <t/>
        </is>
      </c>
      <c r="AA394" s="165" t="inlineStr">
        <is>
          <t/>
        </is>
      </c>
      <c r="AB394" s="166" t="inlineStr">
        <is>
          <t/>
        </is>
      </c>
      <c r="AC394" s="167" t="inlineStr">
        <is>
          <t/>
        </is>
      </c>
      <c r="AD394" s="168" t="inlineStr">
        <is>
          <t/>
        </is>
      </c>
      <c r="AE394" s="169" t="inlineStr">
        <is>
          <t>55938-79P</t>
        </is>
      </c>
      <c r="AF394" s="170" t="inlineStr">
        <is>
          <t>Andrew Stalbow</t>
        </is>
      </c>
      <c r="AG394" s="171" t="inlineStr">
        <is>
          <t>Chief Executive Officer &amp; Co-Founder</t>
        </is>
      </c>
      <c r="AH394" s="172" t="inlineStr">
        <is>
          <t>andrew@seriously.com</t>
        </is>
      </c>
      <c r="AI394" s="173" t="inlineStr">
        <is>
          <t/>
        </is>
      </c>
      <c r="AJ394" s="174" t="inlineStr">
        <is>
          <t>Helsinki, Finland</t>
        </is>
      </c>
      <c r="AK394" s="175" t="inlineStr">
        <is>
          <t>Kaivokatu 10 A</t>
        </is>
      </c>
      <c r="AL394" s="176" t="inlineStr">
        <is>
          <t>5th floor</t>
        </is>
      </c>
      <c r="AM394" s="177" t="inlineStr">
        <is>
          <t>Helsinki</t>
        </is>
      </c>
      <c r="AN394" s="178" t="inlineStr">
        <is>
          <t/>
        </is>
      </c>
      <c r="AO394" s="179" t="inlineStr">
        <is>
          <t>00100</t>
        </is>
      </c>
      <c r="AP394" s="180" t="inlineStr">
        <is>
          <t>Finland</t>
        </is>
      </c>
      <c r="AQ394" s="181" t="inlineStr">
        <is>
          <t/>
        </is>
      </c>
      <c r="AR394" s="182" t="inlineStr">
        <is>
          <t/>
        </is>
      </c>
      <c r="AS394" s="183" t="inlineStr">
        <is>
          <t>fanart@seriously.com</t>
        </is>
      </c>
      <c r="AT394" s="184" t="inlineStr">
        <is>
          <t>Europe</t>
        </is>
      </c>
      <c r="AU394" s="185" t="inlineStr">
        <is>
          <t>Northern Europe</t>
        </is>
      </c>
      <c r="AV394" s="186" t="inlineStr">
        <is>
          <t>The company raised $23.3 million in Series A venture funding led by Northzone Ventures on August 7, 2015. Korea Investment Partners, Upfront Ventures, Sunstone Capital, Michael Montgomery, Ynon Kreiz and Daher Capital also participated. The funds will be used to build out the company's production teams and invest further in marketing programs. Previously, the company raised $10 million of seed funding from Daher Capital, Sunstone Capital and Upfront Ventures on November 18, 2014. The funding gives extra firepower to extend their talented team of 13 people as they take strategy of creating global entertainment brands 'mobile first' to a new level.</t>
        </is>
      </c>
      <c r="AW394" s="187" t="inlineStr">
        <is>
          <t>Daher Capital, Korea Investment Partners, Michael Montgomery, Northzone Ventures, Sunstone Capital, Upfront Ventures, Ynon Kreiz</t>
        </is>
      </c>
      <c r="AX394" s="188" t="n">
        <v>7.0</v>
      </c>
      <c r="AY394" s="189" t="inlineStr">
        <is>
          <t/>
        </is>
      </c>
      <c r="AZ394" s="190" t="inlineStr">
        <is>
          <t/>
        </is>
      </c>
      <c r="BA394" s="191" t="inlineStr">
        <is>
          <t/>
        </is>
      </c>
      <c r="BB394" s="192" t="inlineStr">
        <is>
          <t>Daher Capital (www.dahercapital.com), Korea Investment Partners (www.kipvc.com), Northzone Ventures (www.northzone.com), Sunstone Capital (www.sunstone.eu), Upfront Ventures (www.upfront.com)</t>
        </is>
      </c>
      <c r="BC394" s="193" t="inlineStr">
        <is>
          <t/>
        </is>
      </c>
      <c r="BD394" s="194" t="inlineStr">
        <is>
          <t/>
        </is>
      </c>
      <c r="BE394" s="195" t="inlineStr">
        <is>
          <t/>
        </is>
      </c>
      <c r="BF394" s="196" t="inlineStr">
        <is>
          <t/>
        </is>
      </c>
      <c r="BG394" s="197" t="n">
        <v>41961.0</v>
      </c>
      <c r="BH394" s="198" t="n">
        <v>8.01</v>
      </c>
      <c r="BI394" s="199" t="inlineStr">
        <is>
          <t>Actual</t>
        </is>
      </c>
      <c r="BJ394" s="200" t="inlineStr">
        <is>
          <t/>
        </is>
      </c>
      <c r="BK394" s="201" t="inlineStr">
        <is>
          <t/>
        </is>
      </c>
      <c r="BL394" s="202" t="inlineStr">
        <is>
          <t>Seed Round</t>
        </is>
      </c>
      <c r="BM394" s="203" t="inlineStr">
        <is>
          <t>Seed</t>
        </is>
      </c>
      <c r="BN394" s="204" t="inlineStr">
        <is>
          <t/>
        </is>
      </c>
      <c r="BO394" s="205" t="inlineStr">
        <is>
          <t>Venture Capital</t>
        </is>
      </c>
      <c r="BP394" s="206" t="inlineStr">
        <is>
          <t/>
        </is>
      </c>
      <c r="BQ394" s="207" t="inlineStr">
        <is>
          <t/>
        </is>
      </c>
      <c r="BR394" s="208" t="inlineStr">
        <is>
          <t/>
        </is>
      </c>
      <c r="BS394" s="209" t="inlineStr">
        <is>
          <t>Completed</t>
        </is>
      </c>
      <c r="BT394" s="210" t="n">
        <v>42223.0</v>
      </c>
      <c r="BU394" s="211" t="n">
        <v>20.95</v>
      </c>
      <c r="BV394" s="212" t="inlineStr">
        <is>
          <t>Actual</t>
        </is>
      </c>
      <c r="BW394" s="213" t="inlineStr">
        <is>
          <t/>
        </is>
      </c>
      <c r="BX394" s="214" t="inlineStr">
        <is>
          <t/>
        </is>
      </c>
      <c r="BY394" s="215" t="inlineStr">
        <is>
          <t>Early Stage VC</t>
        </is>
      </c>
      <c r="BZ394" s="216" t="inlineStr">
        <is>
          <t>Series A</t>
        </is>
      </c>
      <c r="CA394" s="217" t="inlineStr">
        <is>
          <t/>
        </is>
      </c>
      <c r="CB394" s="218" t="inlineStr">
        <is>
          <t>Venture Capital</t>
        </is>
      </c>
      <c r="CC394" s="219" t="inlineStr">
        <is>
          <t/>
        </is>
      </c>
      <c r="CD394" s="220" t="inlineStr">
        <is>
          <t/>
        </is>
      </c>
      <c r="CE394" s="221" t="inlineStr">
        <is>
          <t/>
        </is>
      </c>
      <c r="CF394" s="222" t="inlineStr">
        <is>
          <t>Completed</t>
        </is>
      </c>
      <c r="CG394" s="223" t="inlineStr">
        <is>
          <t>-0,66%</t>
        </is>
      </c>
      <c r="CH394" s="224" t="inlineStr">
        <is>
          <t>7</t>
        </is>
      </c>
      <c r="CI394" s="225" t="inlineStr">
        <is>
          <t>-0,06%</t>
        </is>
      </c>
      <c r="CJ394" s="226" t="inlineStr">
        <is>
          <t>-9,55%</t>
        </is>
      </c>
      <c r="CK394" s="227" t="inlineStr">
        <is>
          <t>-1,56%</t>
        </is>
      </c>
      <c r="CL394" s="228" t="inlineStr">
        <is>
          <t>7</t>
        </is>
      </c>
      <c r="CM394" s="229" t="inlineStr">
        <is>
          <t>0,25%</t>
        </is>
      </c>
      <c r="CN394" s="230" t="inlineStr">
        <is>
          <t>78</t>
        </is>
      </c>
      <c r="CO394" s="231" t="inlineStr">
        <is>
          <t>-2,95%</t>
        </is>
      </c>
      <c r="CP394" s="232" t="inlineStr">
        <is>
          <t>12</t>
        </is>
      </c>
      <c r="CQ394" s="233" t="inlineStr">
        <is>
          <t>-0,17%</t>
        </is>
      </c>
      <c r="CR394" s="234" t="inlineStr">
        <is>
          <t>11</t>
        </is>
      </c>
      <c r="CS394" s="235" t="inlineStr">
        <is>
          <t>0,06%</t>
        </is>
      </c>
      <c r="CT394" s="236" t="inlineStr">
        <is>
          <t>51</t>
        </is>
      </c>
      <c r="CU394" s="237" t="inlineStr">
        <is>
          <t>0,43%</t>
        </is>
      </c>
      <c r="CV394" s="238" t="inlineStr">
        <is>
          <t>90</t>
        </is>
      </c>
      <c r="CW394" s="239" t="inlineStr">
        <is>
          <t>6,99x</t>
        </is>
      </c>
      <c r="CX394" s="240" t="inlineStr">
        <is>
          <t>83</t>
        </is>
      </c>
      <c r="CY394" s="241" t="inlineStr">
        <is>
          <t>0,12x</t>
        </is>
      </c>
      <c r="CZ394" s="242" t="inlineStr">
        <is>
          <t>1,75%</t>
        </is>
      </c>
      <c r="DA394" s="243" t="inlineStr">
        <is>
          <t>6,77x</t>
        </is>
      </c>
      <c r="DB394" s="244" t="inlineStr">
        <is>
          <t>83</t>
        </is>
      </c>
      <c r="DC394" s="245" t="inlineStr">
        <is>
          <t>7,21x</t>
        </is>
      </c>
      <c r="DD394" s="246" t="inlineStr">
        <is>
          <t>80</t>
        </is>
      </c>
      <c r="DE394" s="247" t="inlineStr">
        <is>
          <t>5,49x</t>
        </is>
      </c>
      <c r="DF394" s="248" t="inlineStr">
        <is>
          <t>77</t>
        </is>
      </c>
      <c r="DG394" s="249" t="inlineStr">
        <is>
          <t>8,06x</t>
        </is>
      </c>
      <c r="DH394" s="250" t="inlineStr">
        <is>
          <t>83</t>
        </is>
      </c>
      <c r="DI394" s="251" t="inlineStr">
        <is>
          <t>5,35x</t>
        </is>
      </c>
      <c r="DJ394" s="252" t="inlineStr">
        <is>
          <t>76</t>
        </is>
      </c>
      <c r="DK394" s="253" t="inlineStr">
        <is>
          <t>9,07x</t>
        </is>
      </c>
      <c r="DL394" s="254" t="inlineStr">
        <is>
          <t>85</t>
        </is>
      </c>
      <c r="DM394" s="255" t="inlineStr">
        <is>
          <t>3.415</t>
        </is>
      </c>
      <c r="DN394" s="256" t="inlineStr">
        <is>
          <t>-116</t>
        </is>
      </c>
      <c r="DO394" s="257" t="inlineStr">
        <is>
          <t>-3,29%</t>
        </is>
      </c>
      <c r="DP394" s="258" t="inlineStr">
        <is>
          <t>4.277</t>
        </is>
      </c>
      <c r="DQ394" s="259" t="inlineStr">
        <is>
          <t>7</t>
        </is>
      </c>
      <c r="DR394" s="260" t="inlineStr">
        <is>
          <t>0,16%</t>
        </is>
      </c>
      <c r="DS394" s="261" t="inlineStr">
        <is>
          <t>290</t>
        </is>
      </c>
      <c r="DT394" s="262" t="inlineStr">
        <is>
          <t>-2</t>
        </is>
      </c>
      <c r="DU394" s="263" t="inlineStr">
        <is>
          <t>-0,68%</t>
        </is>
      </c>
      <c r="DV394" s="264" t="inlineStr">
        <is>
          <t>3.109</t>
        </is>
      </c>
      <c r="DW394" s="265" t="inlineStr">
        <is>
          <t>9</t>
        </is>
      </c>
      <c r="DX394" s="266" t="inlineStr">
        <is>
          <t>0,29%</t>
        </is>
      </c>
      <c r="DY394" s="267" t="inlineStr">
        <is>
          <t>PitchBook Research</t>
        </is>
      </c>
      <c r="DZ394" s="786">
        <f>HYPERLINK("https://my.pitchbook.com?c=58637-98", "View company online")</f>
      </c>
    </row>
    <row r="395">
      <c r="A395" s="9" t="inlineStr">
        <is>
          <t>121400-83</t>
        </is>
      </c>
      <c r="B395" s="10" t="inlineStr">
        <is>
          <t>Service Partner ONE</t>
        </is>
      </c>
      <c r="C395" s="11" t="inlineStr">
        <is>
          <t/>
        </is>
      </c>
      <c r="D395" s="12" t="inlineStr">
        <is>
          <t/>
        </is>
      </c>
      <c r="E395" s="13" t="inlineStr">
        <is>
          <t>121400-83</t>
        </is>
      </c>
      <c r="F395" s="14" t="inlineStr">
        <is>
          <t>Provider of an online platform for office management services. The company offers an online digital platform to book and manage of office management services such as office cleaning, delivery of fruit and beverages, coffee machines, water dispensers and office supplies.</t>
        </is>
      </c>
      <c r="G395" s="15" t="inlineStr">
        <is>
          <t>Business Products and Services (B2B)</t>
        </is>
      </c>
      <c r="H395" s="16" t="inlineStr">
        <is>
          <t>Other Business Products and Services</t>
        </is>
      </c>
      <c r="I395" s="17" t="inlineStr">
        <is>
          <t>Other Business Products and Services</t>
        </is>
      </c>
      <c r="J395" s="18" t="inlineStr">
        <is>
          <t>Other Business Products and Services*; Social/Platform Software</t>
        </is>
      </c>
      <c r="K395" s="19" t="inlineStr">
        <is>
          <t>SaaS</t>
        </is>
      </c>
      <c r="L395" s="20" t="inlineStr">
        <is>
          <t>Venture Capital-Backed</t>
        </is>
      </c>
      <c r="M395" s="21" t="n">
        <v>10.24</v>
      </c>
      <c r="N395" s="22" t="inlineStr">
        <is>
          <t>Startup</t>
        </is>
      </c>
      <c r="O395" s="23" t="inlineStr">
        <is>
          <t>Privately Held (backing)</t>
        </is>
      </c>
      <c r="P395" s="24" t="inlineStr">
        <is>
          <t>Venture Capital</t>
        </is>
      </c>
      <c r="Q395" s="25" t="inlineStr">
        <is>
          <t>www.servicepartner.one</t>
        </is>
      </c>
      <c r="R395" s="26" t="n">
        <v>70.0</v>
      </c>
      <c r="S395" s="27" t="inlineStr">
        <is>
          <t/>
        </is>
      </c>
      <c r="T395" s="28" t="inlineStr">
        <is>
          <t/>
        </is>
      </c>
      <c r="U395" s="29" t="n">
        <v>2015.0</v>
      </c>
      <c r="V395" s="30" t="inlineStr">
        <is>
          <t/>
        </is>
      </c>
      <c r="W395" s="31" t="inlineStr">
        <is>
          <t/>
        </is>
      </c>
      <c r="X395" s="32" t="inlineStr">
        <is>
          <t/>
        </is>
      </c>
      <c r="Y395" s="33" t="inlineStr">
        <is>
          <t/>
        </is>
      </c>
      <c r="Z395" s="34" t="inlineStr">
        <is>
          <t/>
        </is>
      </c>
      <c r="AA395" s="35" t="inlineStr">
        <is>
          <t/>
        </is>
      </c>
      <c r="AB395" s="36" t="inlineStr">
        <is>
          <t/>
        </is>
      </c>
      <c r="AC395" s="37" t="inlineStr">
        <is>
          <t/>
        </is>
      </c>
      <c r="AD395" s="38" t="inlineStr">
        <is>
          <t/>
        </is>
      </c>
      <c r="AE395" s="39" t="inlineStr">
        <is>
          <t>119038-96P</t>
        </is>
      </c>
      <c r="AF395" s="40" t="inlineStr">
        <is>
          <t>Sven Hock</t>
        </is>
      </c>
      <c r="AG395" s="41" t="inlineStr">
        <is>
          <t>Co-Founder &amp; Chief Executive Officer</t>
        </is>
      </c>
      <c r="AH395" s="42" t="inlineStr">
        <is>
          <t>sven.hock@servicepartner.one</t>
        </is>
      </c>
      <c r="AI395" s="43" t="inlineStr">
        <is>
          <t/>
        </is>
      </c>
      <c r="AJ395" s="44" t="inlineStr">
        <is>
          <t>Berlin, Germany</t>
        </is>
      </c>
      <c r="AK395" s="45" t="inlineStr">
        <is>
          <t>Winsstraße 62</t>
        </is>
      </c>
      <c r="AL395" s="46" t="inlineStr">
        <is>
          <t/>
        </is>
      </c>
      <c r="AM395" s="47" t="inlineStr">
        <is>
          <t>Berlin</t>
        </is>
      </c>
      <c r="AN395" s="48" t="inlineStr">
        <is>
          <t/>
        </is>
      </c>
      <c r="AO395" s="49" t="inlineStr">
        <is>
          <t>10405</t>
        </is>
      </c>
      <c r="AP395" s="50" t="inlineStr">
        <is>
          <t>Germany</t>
        </is>
      </c>
      <c r="AQ395" s="51" t="inlineStr">
        <is>
          <t/>
        </is>
      </c>
      <c r="AR395" s="52" t="inlineStr">
        <is>
          <t/>
        </is>
      </c>
      <c r="AS395" s="53" t="inlineStr">
        <is>
          <t>info@servicepartner.one</t>
        </is>
      </c>
      <c r="AT395" s="54" t="inlineStr">
        <is>
          <t>Europe</t>
        </is>
      </c>
      <c r="AU395" s="55" t="inlineStr">
        <is>
          <t>Western Europe</t>
        </is>
      </c>
      <c r="AV395" s="56" t="inlineStr">
        <is>
          <t>The company raised $10 million of Series A venture funding in a deal led by EQT Ventures on July 6, 2016. Target Global, Vito Ventures, Rheingau Founders, Ringier Digital Ventures and Earlybird Venture Capital also participated in the round. The funding will the company to growth in Europe and international expansion.</t>
        </is>
      </c>
      <c r="AW395" s="57" t="inlineStr">
        <is>
          <t>500 Startups, Born2Grow, Cavalry Ventures, Earlybird Venture Capital, EQT Ventures, German Startups Group, Heilemann Ventures, Kai Hansen, Mountain Partners, Rheingau Founders, Ringier Digital Ventures, Target Global, Vito Ventures, Voltage Ventures</t>
        </is>
      </c>
      <c r="AX395" s="58" t="n">
        <v>14.0</v>
      </c>
      <c r="AY395" s="59" t="inlineStr">
        <is>
          <t/>
        </is>
      </c>
      <c r="AZ395" s="60" t="inlineStr">
        <is>
          <t/>
        </is>
      </c>
      <c r="BA395" s="61" t="inlineStr">
        <is>
          <t/>
        </is>
      </c>
      <c r="BB395" s="62" t="inlineStr">
        <is>
          <t>500 Startups (www.500.co), Born2Grow (www.born2grow.de), Cavalry Ventures (www.cavalry.vc), Earlybird Venture Capital (www.earlybird.com), EQT Ventures (www.eqtventures.com), German Startups Group (www.german-startups.com), Heilemann Ventures (www.heilemann-ventures.com), Rheingau Founders (www.rheingau-founders.com), Target Global (www.targetglobal.vc), Vito Ventures (www.vito.vc), Voltage Ventures (www.voltage.vc)</t>
        </is>
      </c>
      <c r="BC395" s="63" t="inlineStr">
        <is>
          <t/>
        </is>
      </c>
      <c r="BD395" s="64" t="inlineStr">
        <is>
          <t/>
        </is>
      </c>
      <c r="BE395" s="65" t="inlineStr">
        <is>
          <t/>
        </is>
      </c>
      <c r="BF395" s="66" t="inlineStr">
        <is>
          <t/>
        </is>
      </c>
      <c r="BG395" s="67" t="n">
        <v>42125.0</v>
      </c>
      <c r="BH395" s="68" t="inlineStr">
        <is>
          <t/>
        </is>
      </c>
      <c r="BI395" s="69" t="inlineStr">
        <is>
          <t/>
        </is>
      </c>
      <c r="BJ395" s="70" t="inlineStr">
        <is>
          <t/>
        </is>
      </c>
      <c r="BK395" s="71" t="inlineStr">
        <is>
          <t/>
        </is>
      </c>
      <c r="BL395" s="72" t="inlineStr">
        <is>
          <t>Seed Round</t>
        </is>
      </c>
      <c r="BM395" s="73" t="inlineStr">
        <is>
          <t>Seed</t>
        </is>
      </c>
      <c r="BN395" s="74" t="inlineStr">
        <is>
          <t/>
        </is>
      </c>
      <c r="BO395" s="75" t="inlineStr">
        <is>
          <t>Venture Capital</t>
        </is>
      </c>
      <c r="BP395" s="76" t="inlineStr">
        <is>
          <t/>
        </is>
      </c>
      <c r="BQ395" s="77" t="inlineStr">
        <is>
          <t/>
        </is>
      </c>
      <c r="BR395" s="78" t="inlineStr">
        <is>
          <t/>
        </is>
      </c>
      <c r="BS395" s="79" t="inlineStr">
        <is>
          <t>Completed</t>
        </is>
      </c>
      <c r="BT395" s="80" t="n">
        <v>42557.0</v>
      </c>
      <c r="BU395" s="81" t="n">
        <v>9.04</v>
      </c>
      <c r="BV395" s="82" t="inlineStr">
        <is>
          <t>Actual</t>
        </is>
      </c>
      <c r="BW395" s="83" t="inlineStr">
        <is>
          <t/>
        </is>
      </c>
      <c r="BX395" s="84" t="inlineStr">
        <is>
          <t/>
        </is>
      </c>
      <c r="BY395" s="85" t="inlineStr">
        <is>
          <t>Early Stage VC</t>
        </is>
      </c>
      <c r="BZ395" s="86" t="inlineStr">
        <is>
          <t>Series A</t>
        </is>
      </c>
      <c r="CA395" s="87" t="inlineStr">
        <is>
          <t/>
        </is>
      </c>
      <c r="CB395" s="88" t="inlineStr">
        <is>
          <t>Venture Capital</t>
        </is>
      </c>
      <c r="CC395" s="89" t="inlineStr">
        <is>
          <t/>
        </is>
      </c>
      <c r="CD395" s="90" t="inlineStr">
        <is>
          <t/>
        </is>
      </c>
      <c r="CE395" s="91" t="inlineStr">
        <is>
          <t/>
        </is>
      </c>
      <c r="CF395" s="92" t="inlineStr">
        <is>
          <t>Completed</t>
        </is>
      </c>
      <c r="CG395" s="93" t="inlineStr">
        <is>
          <t>0,04%</t>
        </is>
      </c>
      <c r="CH395" s="94" t="inlineStr">
        <is>
          <t>68</t>
        </is>
      </c>
      <c r="CI395" s="95" t="inlineStr">
        <is>
          <t>-0,12%</t>
        </is>
      </c>
      <c r="CJ395" s="96" t="inlineStr">
        <is>
          <t>-72,86%</t>
        </is>
      </c>
      <c r="CK395" s="97" t="inlineStr">
        <is>
          <t/>
        </is>
      </c>
      <c r="CL395" s="98" t="inlineStr">
        <is>
          <t/>
        </is>
      </c>
      <c r="CM395" s="99" t="inlineStr">
        <is>
          <t>0,04%</t>
        </is>
      </c>
      <c r="CN395" s="100" t="inlineStr">
        <is>
          <t>50</t>
        </is>
      </c>
      <c r="CO395" s="101" t="inlineStr">
        <is>
          <t/>
        </is>
      </c>
      <c r="CP395" s="102" t="inlineStr">
        <is>
          <t/>
        </is>
      </c>
      <c r="CQ395" s="103" t="inlineStr">
        <is>
          <t/>
        </is>
      </c>
      <c r="CR395" s="104" t="inlineStr">
        <is>
          <t/>
        </is>
      </c>
      <c r="CS395" s="105" t="inlineStr">
        <is>
          <t>-0,03%</t>
        </is>
      </c>
      <c r="CT395" s="106" t="inlineStr">
        <is>
          <t>10</t>
        </is>
      </c>
      <c r="CU395" s="107" t="inlineStr">
        <is>
          <t>0,12%</t>
        </is>
      </c>
      <c r="CV395" s="108" t="inlineStr">
        <is>
          <t>70</t>
        </is>
      </c>
      <c r="CW395" s="109" t="inlineStr">
        <is>
          <t>1,56x</t>
        </is>
      </c>
      <c r="CX395" s="110" t="inlineStr">
        <is>
          <t>59</t>
        </is>
      </c>
      <c r="CY395" s="111" t="inlineStr">
        <is>
          <t>0,03x</t>
        </is>
      </c>
      <c r="CZ395" s="112" t="inlineStr">
        <is>
          <t>1,92%</t>
        </is>
      </c>
      <c r="DA395" s="113" t="inlineStr">
        <is>
          <t/>
        </is>
      </c>
      <c r="DB395" s="114" t="inlineStr">
        <is>
          <t/>
        </is>
      </c>
      <c r="DC395" s="115" t="inlineStr">
        <is>
          <t>1,56x</t>
        </is>
      </c>
      <c r="DD395" s="116" t="inlineStr">
        <is>
          <t>57</t>
        </is>
      </c>
      <c r="DE395" s="117" t="inlineStr">
        <is>
          <t/>
        </is>
      </c>
      <c r="DF395" s="118" t="inlineStr">
        <is>
          <t/>
        </is>
      </c>
      <c r="DG395" s="119" t="inlineStr">
        <is>
          <t/>
        </is>
      </c>
      <c r="DH395" s="120" t="inlineStr">
        <is>
          <t/>
        </is>
      </c>
      <c r="DI395" s="121" t="inlineStr">
        <is>
          <t>2,49x</t>
        </is>
      </c>
      <c r="DJ395" s="122" t="inlineStr">
        <is>
          <t>65</t>
        </is>
      </c>
      <c r="DK395" s="123" t="inlineStr">
        <is>
          <t>0,64x</t>
        </is>
      </c>
      <c r="DL395" s="124" t="inlineStr">
        <is>
          <t>43</t>
        </is>
      </c>
      <c r="DM395" s="125" t="inlineStr">
        <is>
          <t/>
        </is>
      </c>
      <c r="DN395" s="126" t="inlineStr">
        <is>
          <t/>
        </is>
      </c>
      <c r="DO395" s="127" t="inlineStr">
        <is>
          <t/>
        </is>
      </c>
      <c r="DP395" s="128" t="inlineStr">
        <is>
          <t>1.986</t>
        </is>
      </c>
      <c r="DQ395" s="129" t="inlineStr">
        <is>
          <t>1</t>
        </is>
      </c>
      <c r="DR395" s="130" t="inlineStr">
        <is>
          <t>0,05%</t>
        </is>
      </c>
      <c r="DS395" s="131" t="inlineStr">
        <is>
          <t/>
        </is>
      </c>
      <c r="DT395" s="132" t="inlineStr">
        <is>
          <t/>
        </is>
      </c>
      <c r="DU395" s="133" t="inlineStr">
        <is>
          <t/>
        </is>
      </c>
      <c r="DV395" s="134" t="inlineStr">
        <is>
          <t>219</t>
        </is>
      </c>
      <c r="DW395" s="135" t="inlineStr">
        <is>
          <t>-2</t>
        </is>
      </c>
      <c r="DX395" s="136" t="inlineStr">
        <is>
          <t>-0,90%</t>
        </is>
      </c>
      <c r="DY395" s="137" t="inlineStr">
        <is>
          <t>PitchBook Research</t>
        </is>
      </c>
      <c r="DZ395" s="785">
        <f>HYPERLINK("https://my.pitchbook.com?c=121400-83", "View company online")</f>
      </c>
    </row>
    <row r="396">
      <c r="A396" s="139" t="inlineStr">
        <is>
          <t>152523-19</t>
        </is>
      </c>
      <c r="B396" s="140" t="inlineStr">
        <is>
          <t>Seven Senders</t>
        </is>
      </c>
      <c r="C396" s="141" t="inlineStr">
        <is>
          <t/>
        </is>
      </c>
      <c r="D396" s="142" t="inlineStr">
        <is>
          <t/>
        </is>
      </c>
      <c r="E396" s="143" t="inlineStr">
        <is>
          <t>152523-19</t>
        </is>
      </c>
      <c r="F396" s="144" t="inlineStr">
        <is>
          <t>Developer of an end-to-end logistics platform designed to optimize all e-commerce processes. The company's logistics platform provides a standardized tracking page compatible with all carriers, analyzes delivery times, delivery and return rates in real time and ensures tracking from pick-up to delivery, enabling e-Commerce stores to monitor all of their parcels and get in touch with customers during delivery.</t>
        </is>
      </c>
      <c r="G396" s="145" t="inlineStr">
        <is>
          <t>Information Technology</t>
        </is>
      </c>
      <c r="H396" s="146" t="inlineStr">
        <is>
          <t>Software</t>
        </is>
      </c>
      <c r="I396" s="147" t="inlineStr">
        <is>
          <t>Business/Productivity Software</t>
        </is>
      </c>
      <c r="J396" s="148" t="inlineStr">
        <is>
          <t>Business/Productivity Software*; Logistics</t>
        </is>
      </c>
      <c r="K396" s="149" t="inlineStr">
        <is>
          <t>SaaS</t>
        </is>
      </c>
      <c r="L396" s="150" t="inlineStr">
        <is>
          <t>Venture Capital-Backed</t>
        </is>
      </c>
      <c r="M396" s="151" t="n">
        <v>6.5</v>
      </c>
      <c r="N396" s="152" t="inlineStr">
        <is>
          <t>Generating Revenue</t>
        </is>
      </c>
      <c r="O396" s="153" t="inlineStr">
        <is>
          <t>Privately Held (backing)</t>
        </is>
      </c>
      <c r="P396" s="154" t="inlineStr">
        <is>
          <t>Venture Capital</t>
        </is>
      </c>
      <c r="Q396" s="155" t="inlineStr">
        <is>
          <t>www.sevensenders.com</t>
        </is>
      </c>
      <c r="R396" s="156" t="n">
        <v>8.0</v>
      </c>
      <c r="S396" s="157" t="inlineStr">
        <is>
          <t/>
        </is>
      </c>
      <c r="T396" s="158" t="inlineStr">
        <is>
          <t/>
        </is>
      </c>
      <c r="U396" s="159" t="n">
        <v>2014.0</v>
      </c>
      <c r="V396" s="160" t="inlineStr">
        <is>
          <t/>
        </is>
      </c>
      <c r="W396" s="161" t="inlineStr">
        <is>
          <t/>
        </is>
      </c>
      <c r="X396" s="162" t="inlineStr">
        <is>
          <t/>
        </is>
      </c>
      <c r="Y396" s="163" t="inlineStr">
        <is>
          <t/>
        </is>
      </c>
      <c r="Z396" s="164" t="inlineStr">
        <is>
          <t/>
        </is>
      </c>
      <c r="AA396" s="165" t="inlineStr">
        <is>
          <t/>
        </is>
      </c>
      <c r="AB396" s="166" t="inlineStr">
        <is>
          <t/>
        </is>
      </c>
      <c r="AC396" s="167" t="inlineStr">
        <is>
          <t/>
        </is>
      </c>
      <c r="AD396" s="168" t="inlineStr">
        <is>
          <t/>
        </is>
      </c>
      <c r="AE396" s="169" t="inlineStr">
        <is>
          <t>126271-99P</t>
        </is>
      </c>
      <c r="AF396" s="170" t="inlineStr">
        <is>
          <t>Johannes Plehn</t>
        </is>
      </c>
      <c r="AG396" s="171" t="inlineStr">
        <is>
          <t>Co-Founder &amp; Managing Director</t>
        </is>
      </c>
      <c r="AH396" s="172" t="inlineStr">
        <is>
          <t>j.plehn@sevensenders.com</t>
        </is>
      </c>
      <c r="AI396" s="173" t="inlineStr">
        <is>
          <t>+49 (0)30 6890 8850</t>
        </is>
      </c>
      <c r="AJ396" s="174" t="inlineStr">
        <is>
          <t>Berlin, Germany</t>
        </is>
      </c>
      <c r="AK396" s="175" t="inlineStr">
        <is>
          <t>Schwedter Straße 36 A</t>
        </is>
      </c>
      <c r="AL396" s="176" t="inlineStr">
        <is>
          <t/>
        </is>
      </c>
      <c r="AM396" s="177" t="inlineStr">
        <is>
          <t>Berlin</t>
        </is>
      </c>
      <c r="AN396" s="178" t="inlineStr">
        <is>
          <t/>
        </is>
      </c>
      <c r="AO396" s="179" t="inlineStr">
        <is>
          <t>10435</t>
        </is>
      </c>
      <c r="AP396" s="180" t="inlineStr">
        <is>
          <t>Germany</t>
        </is>
      </c>
      <c r="AQ396" s="181" t="inlineStr">
        <is>
          <t>+49 (0)30 6890 8850</t>
        </is>
      </c>
      <c r="AR396" s="182" t="inlineStr">
        <is>
          <t/>
        </is>
      </c>
      <c r="AS396" s="183" t="inlineStr">
        <is>
          <t>info@sevensenders.com</t>
        </is>
      </c>
      <c r="AT396" s="184" t="inlineStr">
        <is>
          <t>Europe</t>
        </is>
      </c>
      <c r="AU396" s="185" t="inlineStr">
        <is>
          <t>Western Europe</t>
        </is>
      </c>
      <c r="AV396" s="186" t="inlineStr">
        <is>
          <t>The company raised EUR 6.5 million of Series A venture funding in a deal led by btov Partners on August 25, 2017. Rene Kohler and other existing investors also participated in the round. The funds will be used to further develop its software-solution as well as to facilitate geographic expansion beyond Germany.</t>
        </is>
      </c>
      <c r="AW396" s="187" t="inlineStr">
        <is>
          <t>btov Partners, Holger Hengstler, Rene Kohler, Robert Maier, Stefan Wiskemann</t>
        </is>
      </c>
      <c r="AX396" s="188" t="n">
        <v>5.0</v>
      </c>
      <c r="AY396" s="189" t="inlineStr">
        <is>
          <t/>
        </is>
      </c>
      <c r="AZ396" s="190" t="inlineStr">
        <is>
          <t/>
        </is>
      </c>
      <c r="BA396" s="191" t="inlineStr">
        <is>
          <t/>
        </is>
      </c>
      <c r="BB396" s="192" t="inlineStr">
        <is>
          <t>btov Partners (www.btov.vc)</t>
        </is>
      </c>
      <c r="BC396" s="193" t="inlineStr">
        <is>
          <t/>
        </is>
      </c>
      <c r="BD396" s="194" t="inlineStr">
        <is>
          <t/>
        </is>
      </c>
      <c r="BE396" s="195" t="inlineStr">
        <is>
          <t/>
        </is>
      </c>
      <c r="BF396" s="196" t="inlineStr">
        <is>
          <t/>
        </is>
      </c>
      <c r="BG396" s="197" t="n">
        <v>42395.0</v>
      </c>
      <c r="BH396" s="198" t="inlineStr">
        <is>
          <t/>
        </is>
      </c>
      <c r="BI396" s="199" t="inlineStr">
        <is>
          <t/>
        </is>
      </c>
      <c r="BJ396" s="200" t="inlineStr">
        <is>
          <t/>
        </is>
      </c>
      <c r="BK396" s="201" t="inlineStr">
        <is>
          <t/>
        </is>
      </c>
      <c r="BL396" s="202" t="inlineStr">
        <is>
          <t>Early Stage VC</t>
        </is>
      </c>
      <c r="BM396" s="203" t="inlineStr">
        <is>
          <t/>
        </is>
      </c>
      <c r="BN396" s="204" t="inlineStr">
        <is>
          <t/>
        </is>
      </c>
      <c r="BO396" s="205" t="inlineStr">
        <is>
          <t>Venture Capital</t>
        </is>
      </c>
      <c r="BP396" s="206" t="inlineStr">
        <is>
          <t/>
        </is>
      </c>
      <c r="BQ396" s="207" t="inlineStr">
        <is>
          <t/>
        </is>
      </c>
      <c r="BR396" s="208" t="inlineStr">
        <is>
          <t/>
        </is>
      </c>
      <c r="BS396" s="209" t="inlineStr">
        <is>
          <t>Completed</t>
        </is>
      </c>
      <c r="BT396" s="210" t="n">
        <v>42972.0</v>
      </c>
      <c r="BU396" s="211" t="n">
        <v>6.5</v>
      </c>
      <c r="BV396" s="212" t="inlineStr">
        <is>
          <t>Actual</t>
        </is>
      </c>
      <c r="BW396" s="213" t="inlineStr">
        <is>
          <t/>
        </is>
      </c>
      <c r="BX396" s="214" t="inlineStr">
        <is>
          <t/>
        </is>
      </c>
      <c r="BY396" s="215" t="inlineStr">
        <is>
          <t>Early Stage VC</t>
        </is>
      </c>
      <c r="BZ396" s="216" t="inlineStr">
        <is>
          <t>Series A</t>
        </is>
      </c>
      <c r="CA396" s="217" t="inlineStr">
        <is>
          <t/>
        </is>
      </c>
      <c r="CB396" s="218" t="inlineStr">
        <is>
          <t>Venture Capital</t>
        </is>
      </c>
      <c r="CC396" s="219" t="inlineStr">
        <is>
          <t/>
        </is>
      </c>
      <c r="CD396" s="220" t="inlineStr">
        <is>
          <t/>
        </is>
      </c>
      <c r="CE396" s="221" t="inlineStr">
        <is>
          <t/>
        </is>
      </c>
      <c r="CF396" s="222" t="inlineStr">
        <is>
          <t>Completed</t>
        </is>
      </c>
      <c r="CG396" s="223" t="inlineStr">
        <is>
          <t>2,78%</t>
        </is>
      </c>
      <c r="CH396" s="224" t="inlineStr">
        <is>
          <t>95</t>
        </is>
      </c>
      <c r="CI396" s="225" t="inlineStr">
        <is>
          <t>-2,78%</t>
        </is>
      </c>
      <c r="CJ396" s="226" t="inlineStr">
        <is>
          <t>-50,00%</t>
        </is>
      </c>
      <c r="CK396" s="227" t="inlineStr">
        <is>
          <t>5,56%</t>
        </is>
      </c>
      <c r="CL396" s="228" t="inlineStr">
        <is>
          <t>97</t>
        </is>
      </c>
      <c r="CM396" s="229" t="inlineStr">
        <is>
          <t>0,00%</t>
        </is>
      </c>
      <c r="CN396" s="230" t="inlineStr">
        <is>
          <t>19</t>
        </is>
      </c>
      <c r="CO396" s="231" t="inlineStr">
        <is>
          <t>11,13%</t>
        </is>
      </c>
      <c r="CP396" s="232" t="inlineStr">
        <is>
          <t>100</t>
        </is>
      </c>
      <c r="CQ396" s="233" t="inlineStr">
        <is>
          <t>0,00%</t>
        </is>
      </c>
      <c r="CR396" s="234" t="inlineStr">
        <is>
          <t>13</t>
        </is>
      </c>
      <c r="CS396" s="235" t="inlineStr">
        <is>
          <t>0,00%</t>
        </is>
      </c>
      <c r="CT396" s="236" t="inlineStr">
        <is>
          <t>18</t>
        </is>
      </c>
      <c r="CU396" s="237" t="inlineStr">
        <is>
          <t/>
        </is>
      </c>
      <c r="CV396" s="238" t="inlineStr">
        <is>
          <t/>
        </is>
      </c>
      <c r="CW396" s="239" t="inlineStr">
        <is>
          <t>1,26x</t>
        </is>
      </c>
      <c r="CX396" s="240" t="inlineStr">
        <is>
          <t>54</t>
        </is>
      </c>
      <c r="CY396" s="241" t="inlineStr">
        <is>
          <t>-1,17x</t>
        </is>
      </c>
      <c r="CZ396" s="242" t="inlineStr">
        <is>
          <t>-48,04%</t>
        </is>
      </c>
      <c r="DA396" s="243" t="inlineStr">
        <is>
          <t>2,45x</t>
        </is>
      </c>
      <c r="DB396" s="244" t="inlineStr">
        <is>
          <t>70</t>
        </is>
      </c>
      <c r="DC396" s="245" t="inlineStr">
        <is>
          <t>0,08x</t>
        </is>
      </c>
      <c r="DD396" s="246" t="inlineStr">
        <is>
          <t>12</t>
        </is>
      </c>
      <c r="DE396" s="247" t="inlineStr">
        <is>
          <t>3,84x</t>
        </is>
      </c>
      <c r="DF396" s="248" t="inlineStr">
        <is>
          <t>73</t>
        </is>
      </c>
      <c r="DG396" s="249" t="inlineStr">
        <is>
          <t>1,06x</t>
        </is>
      </c>
      <c r="DH396" s="250" t="inlineStr">
        <is>
          <t>51</t>
        </is>
      </c>
      <c r="DI396" s="251" t="inlineStr">
        <is>
          <t>0,08x</t>
        </is>
      </c>
      <c r="DJ396" s="252" t="inlineStr">
        <is>
          <t>12</t>
        </is>
      </c>
      <c r="DK396" s="253" t="inlineStr">
        <is>
          <t/>
        </is>
      </c>
      <c r="DL396" s="254" t="inlineStr">
        <is>
          <t/>
        </is>
      </c>
      <c r="DM396" s="255" t="inlineStr">
        <is>
          <t>2.290</t>
        </is>
      </c>
      <c r="DN396" s="256" t="inlineStr">
        <is>
          <t>216</t>
        </is>
      </c>
      <c r="DO396" s="257" t="inlineStr">
        <is>
          <t>10,41%</t>
        </is>
      </c>
      <c r="DP396" s="258" t="inlineStr">
        <is>
          <t>63</t>
        </is>
      </c>
      <c r="DQ396" s="259" t="inlineStr">
        <is>
          <t>3</t>
        </is>
      </c>
      <c r="DR396" s="260" t="inlineStr">
        <is>
          <t>5,00%</t>
        </is>
      </c>
      <c r="DS396" s="261" t="inlineStr">
        <is>
          <t>37</t>
        </is>
      </c>
      <c r="DT396" s="262" t="inlineStr">
        <is>
          <t>3</t>
        </is>
      </c>
      <c r="DU396" s="263" t="inlineStr">
        <is>
          <t>8,82%</t>
        </is>
      </c>
      <c r="DV396" s="264" t="inlineStr">
        <is>
          <t>5</t>
        </is>
      </c>
      <c r="DW396" s="265" t="inlineStr">
        <is>
          <t>0</t>
        </is>
      </c>
      <c r="DX396" s="266" t="inlineStr">
        <is>
          <t>0,00%</t>
        </is>
      </c>
      <c r="DY396" s="267" t="inlineStr">
        <is>
          <t>PitchBook Research</t>
        </is>
      </c>
      <c r="DZ396" s="786">
        <f>HYPERLINK("https://my.pitchbook.com?c=152523-19", "View company online")</f>
      </c>
    </row>
    <row r="397">
      <c r="A397" s="9" t="inlineStr">
        <is>
          <t>109909-81</t>
        </is>
      </c>
      <c r="B397" s="10" t="inlineStr">
        <is>
          <t>ShapeShift</t>
        </is>
      </c>
      <c r="C397" s="11" t="inlineStr">
        <is>
          <t/>
        </is>
      </c>
      <c r="D397" s="12" t="inlineStr">
        <is>
          <t>Shifty</t>
        </is>
      </c>
      <c r="E397" s="13" t="inlineStr">
        <is>
          <t>109909-81</t>
        </is>
      </c>
      <c r="F397" s="14" t="inlineStr">
        <is>
          <t>Developer of an online digital currency exchange designed to trade any leading blockchain asset for any other. The company's digital currency exchange allows its users to swap between Bitcoin and digital currencies and tokens and differs from other exchanges in that it operates without user accounts and requires no form of registration, enabling them to exchange without being at risk either in funds or personal information.</t>
        </is>
      </c>
      <c r="G397" s="15" t="inlineStr">
        <is>
          <t>Information Technology</t>
        </is>
      </c>
      <c r="H397" s="16" t="inlineStr">
        <is>
          <t>Software</t>
        </is>
      </c>
      <c r="I397" s="17" t="inlineStr">
        <is>
          <t>Financial Software</t>
        </is>
      </c>
      <c r="J397" s="18" t="inlineStr">
        <is>
          <t>Financial Software*; Social/Platform Software</t>
        </is>
      </c>
      <c r="K397" s="19" t="inlineStr">
        <is>
          <t>FinTech</t>
        </is>
      </c>
      <c r="L397" s="20" t="inlineStr">
        <is>
          <t>Venture Capital-Backed</t>
        </is>
      </c>
      <c r="M397" s="21" t="n">
        <v>11.66</v>
      </c>
      <c r="N397" s="22" t="inlineStr">
        <is>
          <t>Generating Revenue</t>
        </is>
      </c>
      <c r="O397" s="23" t="inlineStr">
        <is>
          <t>Privately Held (backing)</t>
        </is>
      </c>
      <c r="P397" s="24" t="inlineStr">
        <is>
          <t>Venture Capital</t>
        </is>
      </c>
      <c r="Q397" s="25" t="inlineStr">
        <is>
          <t>www.shapeshift.io</t>
        </is>
      </c>
      <c r="R397" s="26" t="inlineStr">
        <is>
          <t/>
        </is>
      </c>
      <c r="S397" s="27" t="inlineStr">
        <is>
          <t/>
        </is>
      </c>
      <c r="T397" s="28" t="inlineStr">
        <is>
          <t/>
        </is>
      </c>
      <c r="U397" s="29" t="n">
        <v>2013.0</v>
      </c>
      <c r="V397" s="30" t="inlineStr">
        <is>
          <t/>
        </is>
      </c>
      <c r="W397" s="31" t="inlineStr">
        <is>
          <t/>
        </is>
      </c>
      <c r="X397" s="32" t="inlineStr">
        <is>
          <t/>
        </is>
      </c>
      <c r="Y397" s="33" t="inlineStr">
        <is>
          <t/>
        </is>
      </c>
      <c r="Z397" s="34" t="inlineStr">
        <is>
          <t/>
        </is>
      </c>
      <c r="AA397" s="35" t="inlineStr">
        <is>
          <t/>
        </is>
      </c>
      <c r="AB397" s="36" t="inlineStr">
        <is>
          <t/>
        </is>
      </c>
      <c r="AC397" s="37" t="inlineStr">
        <is>
          <t/>
        </is>
      </c>
      <c r="AD397" s="38" t="inlineStr">
        <is>
          <t/>
        </is>
      </c>
      <c r="AE397" s="39" t="inlineStr">
        <is>
          <t>80659-63P</t>
        </is>
      </c>
      <c r="AF397" s="40" t="inlineStr">
        <is>
          <t>Erik Voorhees</t>
        </is>
      </c>
      <c r="AG397" s="41" t="inlineStr">
        <is>
          <t>Founder &amp; Chief Executive Officer</t>
        </is>
      </c>
      <c r="AH397" s="42" t="inlineStr">
        <is>
          <t>erik@shapeshift.io</t>
        </is>
      </c>
      <c r="AI397" s="43" t="inlineStr">
        <is>
          <t/>
        </is>
      </c>
      <c r="AJ397" s="44" t="inlineStr">
        <is>
          <t>Zug, Switzerland</t>
        </is>
      </c>
      <c r="AK397" s="45" t="inlineStr">
        <is>
          <t>Gubelstrasse 11</t>
        </is>
      </c>
      <c r="AL397" s="46" t="inlineStr">
        <is>
          <t/>
        </is>
      </c>
      <c r="AM397" s="47" t="inlineStr">
        <is>
          <t>Zug</t>
        </is>
      </c>
      <c r="AN397" s="48" t="inlineStr">
        <is>
          <t/>
        </is>
      </c>
      <c r="AO397" s="49" t="inlineStr">
        <is>
          <t>6300</t>
        </is>
      </c>
      <c r="AP397" s="50" t="inlineStr">
        <is>
          <t>Switzerland</t>
        </is>
      </c>
      <c r="AQ397" s="51" t="inlineStr">
        <is>
          <t/>
        </is>
      </c>
      <c r="AR397" s="52" t="inlineStr">
        <is>
          <t/>
        </is>
      </c>
      <c r="AS397" s="53" t="inlineStr">
        <is>
          <t>mail@shapeshift.io</t>
        </is>
      </c>
      <c r="AT397" s="54" t="inlineStr">
        <is>
          <t>Europe</t>
        </is>
      </c>
      <c r="AU397" s="55" t="inlineStr">
        <is>
          <t>Western Europe</t>
        </is>
      </c>
      <c r="AV397" s="56" t="inlineStr">
        <is>
          <t>The company raised $10.4 million of Series A venture funding in a round led by Earlybird Venture Capital on March 29, 2017. Lakestar, Blockchain Capital, Pantera Capital, Access Venture Partners, FundersClub, Digital Currency Group and the Founder &amp; CEO of the company, Erik Voorhees, also participated in this round. The funds will be mainly used for further expansion of the company to keep up with its growth and to release two exchange products this year.</t>
        </is>
      </c>
      <c r="AW397" s="57" t="inlineStr">
        <is>
          <t>Access Venture Partners, Barry Silbert, Bitcoin Capital, Blockchain Capital, Bruce Fenton, Digital Currency Group, Earlybird Venture Capital, FundersClub, Lakestar, Mandal Investments, Michael Terpin, Pantera Capital, Roger Ver, Simon Dixon, Trevor Koverko</t>
        </is>
      </c>
      <c r="AX397" s="58" t="n">
        <v>15.0</v>
      </c>
      <c r="AY397" s="59" t="inlineStr">
        <is>
          <t/>
        </is>
      </c>
      <c r="AZ397" s="60" t="inlineStr">
        <is>
          <t/>
        </is>
      </c>
      <c r="BA397" s="61" t="inlineStr">
        <is>
          <t/>
        </is>
      </c>
      <c r="BB397" s="62" t="inlineStr">
        <is>
          <t>Access Venture Partners (www.accessvp.com), Bitcoin Capital (www.bitcoincapital.io), Digital Currency Group (www.dcg.co), Earlybird Venture Capital (www.earlybird.com), FundersClub (www.fundersclub.com), Lakestar (www.lakestar.com), Pantera Capital (www.panteracapital.com), Roger Ver (www.rogerver.com)</t>
        </is>
      </c>
      <c r="BC397" s="63" t="inlineStr">
        <is>
          <t/>
        </is>
      </c>
      <c r="BD397" s="64" t="inlineStr">
        <is>
          <t/>
        </is>
      </c>
      <c r="BE397" s="65" t="inlineStr">
        <is>
          <t/>
        </is>
      </c>
      <c r="BF397" s="66" t="inlineStr">
        <is>
          <t/>
        </is>
      </c>
      <c r="BG397" s="67" t="n">
        <v>42073.0</v>
      </c>
      <c r="BH397" s="68" t="n">
        <v>0.51</v>
      </c>
      <c r="BI397" s="69" t="inlineStr">
        <is>
          <t>Actual</t>
        </is>
      </c>
      <c r="BJ397" s="70" t="n">
        <v>4.34</v>
      </c>
      <c r="BK397" s="71" t="inlineStr">
        <is>
          <t>Actual</t>
        </is>
      </c>
      <c r="BL397" s="72" t="inlineStr">
        <is>
          <t>Seed Round</t>
        </is>
      </c>
      <c r="BM397" s="73" t="inlineStr">
        <is>
          <t>Seed</t>
        </is>
      </c>
      <c r="BN397" s="74" t="inlineStr">
        <is>
          <t/>
        </is>
      </c>
      <c r="BO397" s="75" t="inlineStr">
        <is>
          <t>Individual</t>
        </is>
      </c>
      <c r="BP397" s="76" t="inlineStr">
        <is>
          <t/>
        </is>
      </c>
      <c r="BQ397" s="77" t="inlineStr">
        <is>
          <t/>
        </is>
      </c>
      <c r="BR397" s="78" t="inlineStr">
        <is>
          <t/>
        </is>
      </c>
      <c r="BS397" s="79" t="inlineStr">
        <is>
          <t>Completed</t>
        </is>
      </c>
      <c r="BT397" s="80" t="n">
        <v>42823.0</v>
      </c>
      <c r="BU397" s="81" t="n">
        <v>9.73</v>
      </c>
      <c r="BV397" s="82" t="inlineStr">
        <is>
          <t>Actual</t>
        </is>
      </c>
      <c r="BW397" s="83" t="inlineStr">
        <is>
          <t/>
        </is>
      </c>
      <c r="BX397" s="84" t="inlineStr">
        <is>
          <t/>
        </is>
      </c>
      <c r="BY397" s="85" t="inlineStr">
        <is>
          <t>Early Stage VC</t>
        </is>
      </c>
      <c r="BZ397" s="86" t="inlineStr">
        <is>
          <t>Series A</t>
        </is>
      </c>
      <c r="CA397" s="87" t="inlineStr">
        <is>
          <t/>
        </is>
      </c>
      <c r="CB397" s="88" t="inlineStr">
        <is>
          <t>Venture Capital</t>
        </is>
      </c>
      <c r="CC397" s="89" t="inlineStr">
        <is>
          <t/>
        </is>
      </c>
      <c r="CD397" s="90" t="inlineStr">
        <is>
          <t/>
        </is>
      </c>
      <c r="CE397" s="91" t="inlineStr">
        <is>
          <t/>
        </is>
      </c>
      <c r="CF397" s="92" t="inlineStr">
        <is>
          <t>Completed</t>
        </is>
      </c>
      <c r="CG397" s="93" t="inlineStr">
        <is>
          <t>1,83%</t>
        </is>
      </c>
      <c r="CH397" s="94" t="inlineStr">
        <is>
          <t>93</t>
        </is>
      </c>
      <c r="CI397" s="95" t="inlineStr">
        <is>
          <t>0,03%</t>
        </is>
      </c>
      <c r="CJ397" s="96" t="inlineStr">
        <is>
          <t>1,63%</t>
        </is>
      </c>
      <c r="CK397" s="97" t="inlineStr">
        <is>
          <t>0,72%</t>
        </is>
      </c>
      <c r="CL397" s="98" t="inlineStr">
        <is>
          <t>85</t>
        </is>
      </c>
      <c r="CM397" s="99" t="inlineStr">
        <is>
          <t>2,38%</t>
        </is>
      </c>
      <c r="CN397" s="100" t="inlineStr">
        <is>
          <t>99</t>
        </is>
      </c>
      <c r="CO397" s="101" t="inlineStr">
        <is>
          <t>-0,25%</t>
        </is>
      </c>
      <c r="CP397" s="102" t="inlineStr">
        <is>
          <t>24</t>
        </is>
      </c>
      <c r="CQ397" s="103" t="inlineStr">
        <is>
          <t>1,69%</t>
        </is>
      </c>
      <c r="CR397" s="104" t="inlineStr">
        <is>
          <t>90</t>
        </is>
      </c>
      <c r="CS397" s="105" t="inlineStr">
        <is>
          <t>0,24%</t>
        </is>
      </c>
      <c r="CT397" s="106" t="inlineStr">
        <is>
          <t>74</t>
        </is>
      </c>
      <c r="CU397" s="107" t="inlineStr">
        <is>
          <t>4,52%</t>
        </is>
      </c>
      <c r="CV397" s="108" t="inlineStr">
        <is>
          <t>100</t>
        </is>
      </c>
      <c r="CW397" s="109" t="inlineStr">
        <is>
          <t>188,78x</t>
        </is>
      </c>
      <c r="CX397" s="110" t="inlineStr">
        <is>
          <t>99</t>
        </is>
      </c>
      <c r="CY397" s="111" t="inlineStr">
        <is>
          <t>1,24x</t>
        </is>
      </c>
      <c r="CZ397" s="112" t="inlineStr">
        <is>
          <t>0,66%</t>
        </is>
      </c>
      <c r="DA397" s="113" t="inlineStr">
        <is>
          <t>485,44x</t>
        </is>
      </c>
      <c r="DB397" s="114" t="inlineStr">
        <is>
          <t>100</t>
        </is>
      </c>
      <c r="DC397" s="115" t="inlineStr">
        <is>
          <t>80,07x</t>
        </is>
      </c>
      <c r="DD397" s="116" t="inlineStr">
        <is>
          <t>96</t>
        </is>
      </c>
      <c r="DE397" s="117" t="inlineStr">
        <is>
          <t>964,44x</t>
        </is>
      </c>
      <c r="DF397" s="118" t="inlineStr">
        <is>
          <t>100</t>
        </is>
      </c>
      <c r="DG397" s="119" t="inlineStr">
        <is>
          <t>6,44x</t>
        </is>
      </c>
      <c r="DH397" s="120" t="inlineStr">
        <is>
          <t>81</t>
        </is>
      </c>
      <c r="DI397" s="121" t="inlineStr">
        <is>
          <t>57,21x</t>
        </is>
      </c>
      <c r="DJ397" s="122" t="inlineStr">
        <is>
          <t>93</t>
        </is>
      </c>
      <c r="DK397" s="123" t="inlineStr">
        <is>
          <t>102,94x</t>
        </is>
      </c>
      <c r="DL397" s="124" t="inlineStr">
        <is>
          <t>98</t>
        </is>
      </c>
      <c r="DM397" s="125" t="inlineStr">
        <is>
          <t>585.253</t>
        </is>
      </c>
      <c r="DN397" s="126" t="inlineStr">
        <is>
          <t>23.628</t>
        </is>
      </c>
      <c r="DO397" s="127" t="inlineStr">
        <is>
          <t>4,21%</t>
        </is>
      </c>
      <c r="DP397" s="128" t="inlineStr">
        <is>
          <t>45.672</t>
        </is>
      </c>
      <c r="DQ397" s="129" t="inlineStr">
        <is>
          <t>120</t>
        </is>
      </c>
      <c r="DR397" s="130" t="inlineStr">
        <is>
          <t>0,26%</t>
        </is>
      </c>
      <c r="DS397" s="131" t="inlineStr">
        <is>
          <t>232</t>
        </is>
      </c>
      <c r="DT397" s="132" t="inlineStr">
        <is>
          <t>0</t>
        </is>
      </c>
      <c r="DU397" s="133" t="inlineStr">
        <is>
          <t>0,00%</t>
        </is>
      </c>
      <c r="DV397" s="134" t="inlineStr">
        <is>
          <t>34.729</t>
        </is>
      </c>
      <c r="DW397" s="135" t="inlineStr">
        <is>
          <t>1.660</t>
        </is>
      </c>
      <c r="DX397" s="136" t="inlineStr">
        <is>
          <t>5,02%</t>
        </is>
      </c>
      <c r="DY397" s="137" t="inlineStr">
        <is>
          <t>PitchBook Research</t>
        </is>
      </c>
      <c r="DZ397" s="785">
        <f>HYPERLINK("https://my.pitchbook.com?c=109909-81", "View company online")</f>
      </c>
    </row>
    <row r="398">
      <c r="A398" s="139" t="inlineStr">
        <is>
          <t>56483-65</t>
        </is>
      </c>
      <c r="B398" s="140" t="inlineStr">
        <is>
          <t>Sherpa Europe</t>
        </is>
      </c>
      <c r="C398" s="141" t="inlineStr">
        <is>
          <t/>
        </is>
      </c>
      <c r="D398" s="142" t="inlineStr">
        <is>
          <t>Sher.pa</t>
        </is>
      </c>
      <c r="E398" s="143" t="inlineStr">
        <is>
          <t>56483-65</t>
        </is>
      </c>
      <c r="F398" s="144" t="inlineStr">
        <is>
          <t>Developer of a predictive assistant application. The company offers multilingual voice-enabled assistant designed for smartphones, cars and digital devices.</t>
        </is>
      </c>
      <c r="G398" s="145" t="inlineStr">
        <is>
          <t>Information Technology</t>
        </is>
      </c>
      <c r="H398" s="146" t="inlineStr">
        <is>
          <t>Software</t>
        </is>
      </c>
      <c r="I398" s="147" t="inlineStr">
        <is>
          <t>Business/Productivity Software</t>
        </is>
      </c>
      <c r="J398" s="148" t="inlineStr">
        <is>
          <t>Business/Productivity Software*</t>
        </is>
      </c>
      <c r="K398" s="149" t="inlineStr">
        <is>
          <t>Mobile</t>
        </is>
      </c>
      <c r="L398" s="150" t="inlineStr">
        <is>
          <t>Venture Capital-Backed</t>
        </is>
      </c>
      <c r="M398" s="151" t="n">
        <v>6.98</v>
      </c>
      <c r="N398" s="152" t="inlineStr">
        <is>
          <t>Startup</t>
        </is>
      </c>
      <c r="O398" s="153" t="inlineStr">
        <is>
          <t>Privately Held (backing)</t>
        </is>
      </c>
      <c r="P398" s="154" t="inlineStr">
        <is>
          <t>Venture Capital</t>
        </is>
      </c>
      <c r="Q398" s="155" t="inlineStr">
        <is>
          <t>www.sher.pa</t>
        </is>
      </c>
      <c r="R398" s="156" t="inlineStr">
        <is>
          <t/>
        </is>
      </c>
      <c r="S398" s="157" t="inlineStr">
        <is>
          <t/>
        </is>
      </c>
      <c r="T398" s="158" t="inlineStr">
        <is>
          <t/>
        </is>
      </c>
      <c r="U398" s="159" t="n">
        <v>2012.0</v>
      </c>
      <c r="V398" s="160" t="inlineStr">
        <is>
          <t/>
        </is>
      </c>
      <c r="W398" s="161" t="inlineStr">
        <is>
          <t/>
        </is>
      </c>
      <c r="X398" s="162" t="inlineStr">
        <is>
          <t/>
        </is>
      </c>
      <c r="Y398" s="163" t="inlineStr">
        <is>
          <t/>
        </is>
      </c>
      <c r="Z398" s="164" t="inlineStr">
        <is>
          <t/>
        </is>
      </c>
      <c r="AA398" s="165" t="inlineStr">
        <is>
          <t/>
        </is>
      </c>
      <c r="AB398" s="166" t="inlineStr">
        <is>
          <t/>
        </is>
      </c>
      <c r="AC398" s="167" t="inlineStr">
        <is>
          <t/>
        </is>
      </c>
      <c r="AD398" s="168" t="inlineStr">
        <is>
          <t/>
        </is>
      </c>
      <c r="AE398" s="169" t="inlineStr">
        <is>
          <t>47992-96P</t>
        </is>
      </c>
      <c r="AF398" s="170" t="inlineStr">
        <is>
          <t>Xabier Uribe-Etxebarria</t>
        </is>
      </c>
      <c r="AG398" s="171" t="inlineStr">
        <is>
          <t>Co-Founder &amp; Chief Executive Officer</t>
        </is>
      </c>
      <c r="AH398" s="172" t="inlineStr">
        <is>
          <t/>
        </is>
      </c>
      <c r="AI398" s="173" t="inlineStr">
        <is>
          <t/>
        </is>
      </c>
      <c r="AJ398" s="174" t="inlineStr">
        <is>
          <t>Erandio, Spain</t>
        </is>
      </c>
      <c r="AK398" s="175" t="inlineStr">
        <is>
          <t>Legazpi 6</t>
        </is>
      </c>
      <c r="AL398" s="176" t="inlineStr">
        <is>
          <t/>
        </is>
      </c>
      <c r="AM398" s="177" t="inlineStr">
        <is>
          <t>Erandio</t>
        </is>
      </c>
      <c r="AN398" s="178" t="inlineStr">
        <is>
          <t/>
        </is>
      </c>
      <c r="AO398" s="179" t="inlineStr">
        <is>
          <t>48950</t>
        </is>
      </c>
      <c r="AP398" s="180" t="inlineStr">
        <is>
          <t>Spain</t>
        </is>
      </c>
      <c r="AQ398" s="181" t="inlineStr">
        <is>
          <t/>
        </is>
      </c>
      <c r="AR398" s="182" t="inlineStr">
        <is>
          <t/>
        </is>
      </c>
      <c r="AS398" s="183" t="inlineStr">
        <is>
          <t>info@sher.pa</t>
        </is>
      </c>
      <c r="AT398" s="184" t="inlineStr">
        <is>
          <t>Europe</t>
        </is>
      </c>
      <c r="AU398" s="185" t="inlineStr">
        <is>
          <t>Southern Europe</t>
        </is>
      </c>
      <c r="AV398" s="186" t="inlineStr">
        <is>
          <t>The company raised $6.5 million of Series A venture funding from Alma Mundi Venturs and other undisclosed private investors on May 25, 2016. The company intends to use the funding to to continue building out more functionality in the app, on hiring and to expand the reach of the app.</t>
        </is>
      </c>
      <c r="AW398" s="187" t="inlineStr">
        <is>
          <t>Alma Mundi Ventures</t>
        </is>
      </c>
      <c r="AX398" s="188" t="n">
        <v>1.0</v>
      </c>
      <c r="AY398" s="189" t="inlineStr">
        <is>
          <t/>
        </is>
      </c>
      <c r="AZ398" s="190" t="inlineStr">
        <is>
          <t/>
        </is>
      </c>
      <c r="BA398" s="191" t="inlineStr">
        <is>
          <t/>
        </is>
      </c>
      <c r="BB398" s="192" t="inlineStr">
        <is>
          <t>Alma Mundi Ventures (www.mundiventures.com)</t>
        </is>
      </c>
      <c r="BC398" s="193" t="inlineStr">
        <is>
          <t/>
        </is>
      </c>
      <c r="BD398" s="194" t="inlineStr">
        <is>
          <t/>
        </is>
      </c>
      <c r="BE398" s="195" t="inlineStr">
        <is>
          <t/>
        </is>
      </c>
      <c r="BF398" s="196" t="inlineStr">
        <is>
          <t/>
        </is>
      </c>
      <c r="BG398" s="197" t="n">
        <v>41354.0</v>
      </c>
      <c r="BH398" s="198" t="n">
        <v>1.23</v>
      </c>
      <c r="BI398" s="199" t="inlineStr">
        <is>
          <t>Actual</t>
        </is>
      </c>
      <c r="BJ398" s="200" t="inlineStr">
        <is>
          <t/>
        </is>
      </c>
      <c r="BK398" s="201" t="inlineStr">
        <is>
          <t/>
        </is>
      </c>
      <c r="BL398" s="202" t="inlineStr">
        <is>
          <t>Seed Round</t>
        </is>
      </c>
      <c r="BM398" s="203" t="inlineStr">
        <is>
          <t>Seed</t>
        </is>
      </c>
      <c r="BN398" s="204" t="inlineStr">
        <is>
          <t/>
        </is>
      </c>
      <c r="BO398" s="205" t="inlineStr">
        <is>
          <t>Individual</t>
        </is>
      </c>
      <c r="BP398" s="206" t="inlineStr">
        <is>
          <t/>
        </is>
      </c>
      <c r="BQ398" s="207" t="inlineStr">
        <is>
          <t/>
        </is>
      </c>
      <c r="BR398" s="208" t="inlineStr">
        <is>
          <t/>
        </is>
      </c>
      <c r="BS398" s="209" t="inlineStr">
        <is>
          <t>Completed</t>
        </is>
      </c>
      <c r="BT398" s="210" t="n">
        <v>42516.0</v>
      </c>
      <c r="BU398" s="211" t="n">
        <v>5.75</v>
      </c>
      <c r="BV398" s="212" t="inlineStr">
        <is>
          <t>Actual</t>
        </is>
      </c>
      <c r="BW398" s="213" t="inlineStr">
        <is>
          <t/>
        </is>
      </c>
      <c r="BX398" s="214" t="inlineStr">
        <is>
          <t/>
        </is>
      </c>
      <c r="BY398" s="215" t="inlineStr">
        <is>
          <t>Early Stage VC</t>
        </is>
      </c>
      <c r="BZ398" s="216" t="inlineStr">
        <is>
          <t>Series A</t>
        </is>
      </c>
      <c r="CA398" s="217" t="inlineStr">
        <is>
          <t/>
        </is>
      </c>
      <c r="CB398" s="218" t="inlineStr">
        <is>
          <t>Venture Capital</t>
        </is>
      </c>
      <c r="CC398" s="219" t="inlineStr">
        <is>
          <t/>
        </is>
      </c>
      <c r="CD398" s="220" t="inlineStr">
        <is>
          <t/>
        </is>
      </c>
      <c r="CE398" s="221" t="inlineStr">
        <is>
          <t/>
        </is>
      </c>
      <c r="CF398" s="222" t="inlineStr">
        <is>
          <t>Completed</t>
        </is>
      </c>
      <c r="CG398" s="223" t="inlineStr">
        <is>
          <t>1,99%</t>
        </is>
      </c>
      <c r="CH398" s="224" t="inlineStr">
        <is>
          <t>93</t>
        </is>
      </c>
      <c r="CI398" s="225" t="inlineStr">
        <is>
          <t>-0,01%</t>
        </is>
      </c>
      <c r="CJ398" s="226" t="inlineStr">
        <is>
          <t>-0,27%</t>
        </is>
      </c>
      <c r="CK398" s="227" t="inlineStr">
        <is>
          <t>3,95%</t>
        </is>
      </c>
      <c r="CL398" s="228" t="inlineStr">
        <is>
          <t>95</t>
        </is>
      </c>
      <c r="CM398" s="229" t="inlineStr">
        <is>
          <t>0,03%</t>
        </is>
      </c>
      <c r="CN398" s="230" t="inlineStr">
        <is>
          <t>48</t>
        </is>
      </c>
      <c r="CO398" s="231" t="inlineStr">
        <is>
          <t>7,90%</t>
        </is>
      </c>
      <c r="CP398" s="232" t="inlineStr">
        <is>
          <t>99</t>
        </is>
      </c>
      <c r="CQ398" s="233" t="inlineStr">
        <is>
          <t>0,00%</t>
        </is>
      </c>
      <c r="CR398" s="234" t="inlineStr">
        <is>
          <t>13</t>
        </is>
      </c>
      <c r="CS398" s="235" t="inlineStr">
        <is>
          <t>0,07%</t>
        </is>
      </c>
      <c r="CT398" s="236" t="inlineStr">
        <is>
          <t>53</t>
        </is>
      </c>
      <c r="CU398" s="237" t="inlineStr">
        <is>
          <t>-0,01%</t>
        </is>
      </c>
      <c r="CV398" s="238" t="inlineStr">
        <is>
          <t>19</t>
        </is>
      </c>
      <c r="CW398" s="239" t="inlineStr">
        <is>
          <t>5,71x</t>
        </is>
      </c>
      <c r="CX398" s="240" t="inlineStr">
        <is>
          <t>81</t>
        </is>
      </c>
      <c r="CY398" s="241" t="inlineStr">
        <is>
          <t>0,09x</t>
        </is>
      </c>
      <c r="CZ398" s="242" t="inlineStr">
        <is>
          <t>1,61%</t>
        </is>
      </c>
      <c r="DA398" s="243" t="inlineStr">
        <is>
          <t>3,62x</t>
        </is>
      </c>
      <c r="DB398" s="244" t="inlineStr">
        <is>
          <t>76</t>
        </is>
      </c>
      <c r="DC398" s="245" t="inlineStr">
        <is>
          <t>7,81x</t>
        </is>
      </c>
      <c r="DD398" s="246" t="inlineStr">
        <is>
          <t>81</t>
        </is>
      </c>
      <c r="DE398" s="247" t="inlineStr">
        <is>
          <t>5,51x</t>
        </is>
      </c>
      <c r="DF398" s="248" t="inlineStr">
        <is>
          <t>78</t>
        </is>
      </c>
      <c r="DG398" s="249" t="inlineStr">
        <is>
          <t>1,72x</t>
        </is>
      </c>
      <c r="DH398" s="250" t="inlineStr">
        <is>
          <t>61</t>
        </is>
      </c>
      <c r="DI398" s="251" t="inlineStr">
        <is>
          <t>6,51x</t>
        </is>
      </c>
      <c r="DJ398" s="252" t="inlineStr">
        <is>
          <t>78</t>
        </is>
      </c>
      <c r="DK398" s="253" t="inlineStr">
        <is>
          <t>9,12x</t>
        </is>
      </c>
      <c r="DL398" s="254" t="inlineStr">
        <is>
          <t>85</t>
        </is>
      </c>
      <c r="DM398" s="255" t="inlineStr">
        <is>
          <t>3.253</t>
        </is>
      </c>
      <c r="DN398" s="256" t="inlineStr">
        <is>
          <t>402</t>
        </is>
      </c>
      <c r="DO398" s="257" t="inlineStr">
        <is>
          <t>14,10%</t>
        </is>
      </c>
      <c r="DP398" s="258" t="inlineStr">
        <is>
          <t>5.200</t>
        </is>
      </c>
      <c r="DQ398" s="259" t="inlineStr">
        <is>
          <t>3</t>
        </is>
      </c>
      <c r="DR398" s="260" t="inlineStr">
        <is>
          <t>0,06%</t>
        </is>
      </c>
      <c r="DS398" s="261" t="inlineStr">
        <is>
          <t>62</t>
        </is>
      </c>
      <c r="DT398" s="262" t="inlineStr">
        <is>
          <t>1</t>
        </is>
      </c>
      <c r="DU398" s="263" t="inlineStr">
        <is>
          <t>1,64%</t>
        </is>
      </c>
      <c r="DV398" s="264" t="inlineStr">
        <is>
          <t>3.127</t>
        </is>
      </c>
      <c r="DW398" s="265" t="inlineStr">
        <is>
          <t>-1</t>
        </is>
      </c>
      <c r="DX398" s="266" t="inlineStr">
        <is>
          <t>-0,03%</t>
        </is>
      </c>
      <c r="DY398" s="267" t="inlineStr">
        <is>
          <t>PitchBook Research</t>
        </is>
      </c>
      <c r="DZ398" s="786">
        <f>HYPERLINK("https://my.pitchbook.com?c=56483-65", "View company online")</f>
      </c>
    </row>
    <row r="399">
      <c r="A399" s="9" t="inlineStr">
        <is>
          <t>91659-16</t>
        </is>
      </c>
      <c r="B399" s="10" t="inlineStr">
        <is>
          <t>Shift Technology</t>
        </is>
      </c>
      <c r="C399" s="11" t="inlineStr">
        <is>
          <t/>
        </is>
      </c>
      <c r="D399" s="12" t="inlineStr">
        <is>
          <t/>
        </is>
      </c>
      <c r="E399" s="13" t="inlineStr">
        <is>
          <t>91659-16</t>
        </is>
      </c>
      <c r="F399" s="14" t="inlineStr">
        <is>
          <t>Developer of a data security platform for insurers. The company develops an insurance fraud detection platform to facilitate the work of fraud managers and investigators by detecting suspicious claims.</t>
        </is>
      </c>
      <c r="G399" s="15" t="inlineStr">
        <is>
          <t>Information Technology</t>
        </is>
      </c>
      <c r="H399" s="16" t="inlineStr">
        <is>
          <t>Software</t>
        </is>
      </c>
      <c r="I399" s="17" t="inlineStr">
        <is>
          <t>Database Software</t>
        </is>
      </c>
      <c r="J399" s="18" t="inlineStr">
        <is>
          <t>Database Software*; Other Insurance; Other Software</t>
        </is>
      </c>
      <c r="K399" s="19" t="inlineStr">
        <is>
          <t>SaaS</t>
        </is>
      </c>
      <c r="L399" s="20" t="inlineStr">
        <is>
          <t>Venture Capital-Backed</t>
        </is>
      </c>
      <c r="M399" s="21" t="n">
        <v>10.24</v>
      </c>
      <c r="N399" s="22" t="inlineStr">
        <is>
          <t>Startup</t>
        </is>
      </c>
      <c r="O399" s="23" t="inlineStr">
        <is>
          <t>Privately Held (backing)</t>
        </is>
      </c>
      <c r="P399" s="24" t="inlineStr">
        <is>
          <t>Venture Capital</t>
        </is>
      </c>
      <c r="Q399" s="25" t="inlineStr">
        <is>
          <t>www.shift-technology.com</t>
        </is>
      </c>
      <c r="R399" s="26" t="n">
        <v>33.0</v>
      </c>
      <c r="S399" s="27" t="inlineStr">
        <is>
          <t/>
        </is>
      </c>
      <c r="T399" s="28" t="inlineStr">
        <is>
          <t/>
        </is>
      </c>
      <c r="U399" s="29" t="n">
        <v>2013.0</v>
      </c>
      <c r="V399" s="30" t="inlineStr">
        <is>
          <t/>
        </is>
      </c>
      <c r="W399" s="31" t="inlineStr">
        <is>
          <t/>
        </is>
      </c>
      <c r="X399" s="32" t="inlineStr">
        <is>
          <t/>
        </is>
      </c>
      <c r="Y399" s="33" t="inlineStr">
        <is>
          <t/>
        </is>
      </c>
      <c r="Z399" s="34" t="inlineStr">
        <is>
          <t/>
        </is>
      </c>
      <c r="AA399" s="35" t="inlineStr">
        <is>
          <t/>
        </is>
      </c>
      <c r="AB399" s="36" t="inlineStr">
        <is>
          <t/>
        </is>
      </c>
      <c r="AC399" s="37" t="inlineStr">
        <is>
          <t/>
        </is>
      </c>
      <c r="AD399" s="38" t="inlineStr">
        <is>
          <t/>
        </is>
      </c>
      <c r="AE399" s="39" t="inlineStr">
        <is>
          <t>86709-34P</t>
        </is>
      </c>
      <c r="AF399" s="40" t="inlineStr">
        <is>
          <t>Jeremy Jawish</t>
        </is>
      </c>
      <c r="AG399" s="41" t="inlineStr">
        <is>
          <t>Co-Founder &amp; Chief Executive Officer</t>
        </is>
      </c>
      <c r="AH399" s="42" t="inlineStr">
        <is>
          <t>jeremy.jawish@shift-technology.com</t>
        </is>
      </c>
      <c r="AI399" s="43" t="inlineStr">
        <is>
          <t>+33 (0)1 86 95 22 82</t>
        </is>
      </c>
      <c r="AJ399" s="44" t="inlineStr">
        <is>
          <t>Paris, France</t>
        </is>
      </c>
      <c r="AK399" s="45" t="inlineStr">
        <is>
          <t>130 rue de Lourmel</t>
        </is>
      </c>
      <c r="AL399" s="46" t="inlineStr">
        <is>
          <t/>
        </is>
      </c>
      <c r="AM399" s="47" t="inlineStr">
        <is>
          <t>Paris</t>
        </is>
      </c>
      <c r="AN399" s="48" t="inlineStr">
        <is>
          <t/>
        </is>
      </c>
      <c r="AO399" s="49" t="inlineStr">
        <is>
          <t>75015</t>
        </is>
      </c>
      <c r="AP399" s="50" t="inlineStr">
        <is>
          <t>France</t>
        </is>
      </c>
      <c r="AQ399" s="51" t="inlineStr">
        <is>
          <t>+33 (0)1 86 95 22 82</t>
        </is>
      </c>
      <c r="AR399" s="52" t="inlineStr">
        <is>
          <t/>
        </is>
      </c>
      <c r="AS399" s="53" t="inlineStr">
        <is>
          <t>contact@shift-technology.com</t>
        </is>
      </c>
      <c r="AT399" s="54" t="inlineStr">
        <is>
          <t>Europe</t>
        </is>
      </c>
      <c r="AU399" s="55" t="inlineStr">
        <is>
          <t>Western Europe</t>
        </is>
      </c>
      <c r="AV399" s="56" t="inlineStr">
        <is>
          <t>The company raised $10 million of Series A venture funding in a deal led by Accel Partners on May 19, 2016. Elaia Partners and Iris Capital also participated in the round. The funding will be used to build out its technical team, double-down on sales and marketing efforts and for expansion and product development.</t>
        </is>
      </c>
      <c r="AW399" s="57" t="inlineStr">
        <is>
          <t>Accel, Agoranov, Elaia Partners, Iris Capital Management, Microsoft Accelerator, Paris&amp;Co Incubateurs</t>
        </is>
      </c>
      <c r="AX399" s="58" t="n">
        <v>6.0</v>
      </c>
      <c r="AY399" s="59" t="inlineStr">
        <is>
          <t/>
        </is>
      </c>
      <c r="AZ399" s="60" t="inlineStr">
        <is>
          <t/>
        </is>
      </c>
      <c r="BA399" s="61" t="inlineStr">
        <is>
          <t/>
        </is>
      </c>
      <c r="BB399" s="62" t="inlineStr">
        <is>
          <t>Accel (www.accel.com), Agoranov (www.agoranov.com), Elaia Partners (www.elaia.com), Iris Capital Management (www.iriscapital.com), Microsoft Accelerator (www.microsoftaccelerator.com), Paris&amp;Co Incubateurs (www.incubateurs.parisandco.com)</t>
        </is>
      </c>
      <c r="BC399" s="63" t="inlineStr">
        <is>
          <t/>
        </is>
      </c>
      <c r="BD399" s="64" t="inlineStr">
        <is>
          <t/>
        </is>
      </c>
      <c r="BE399" s="65" t="inlineStr">
        <is>
          <t/>
        </is>
      </c>
      <c r="BF399" s="66" t="inlineStr">
        <is>
          <t/>
        </is>
      </c>
      <c r="BG399" s="67" t="inlineStr">
        <is>
          <t/>
        </is>
      </c>
      <c r="BH399" s="68" t="inlineStr">
        <is>
          <t/>
        </is>
      </c>
      <c r="BI399" s="69" t="inlineStr">
        <is>
          <t/>
        </is>
      </c>
      <c r="BJ399" s="70" t="inlineStr">
        <is>
          <t/>
        </is>
      </c>
      <c r="BK399" s="71" t="inlineStr">
        <is>
          <t/>
        </is>
      </c>
      <c r="BL399" s="72" t="inlineStr">
        <is>
          <t>Accelerator/Incubator</t>
        </is>
      </c>
      <c r="BM399" s="73" t="inlineStr">
        <is>
          <t/>
        </is>
      </c>
      <c r="BN399" s="74" t="inlineStr">
        <is>
          <t/>
        </is>
      </c>
      <c r="BO399" s="75" t="inlineStr">
        <is>
          <t>Other</t>
        </is>
      </c>
      <c r="BP399" s="76" t="inlineStr">
        <is>
          <t/>
        </is>
      </c>
      <c r="BQ399" s="77" t="inlineStr">
        <is>
          <t/>
        </is>
      </c>
      <c r="BR399" s="78" t="inlineStr">
        <is>
          <t/>
        </is>
      </c>
      <c r="BS399" s="79" t="inlineStr">
        <is>
          <t>Completed</t>
        </is>
      </c>
      <c r="BT399" s="80" t="n">
        <v>42509.0</v>
      </c>
      <c r="BU399" s="81" t="n">
        <v>8.84</v>
      </c>
      <c r="BV399" s="82" t="inlineStr">
        <is>
          <t>Actual</t>
        </is>
      </c>
      <c r="BW399" s="83" t="inlineStr">
        <is>
          <t/>
        </is>
      </c>
      <c r="BX399" s="84" t="inlineStr">
        <is>
          <t/>
        </is>
      </c>
      <c r="BY399" s="85" t="inlineStr">
        <is>
          <t>Early Stage VC</t>
        </is>
      </c>
      <c r="BZ399" s="86" t="inlineStr">
        <is>
          <t>Series A</t>
        </is>
      </c>
      <c r="CA399" s="87" t="inlineStr">
        <is>
          <t/>
        </is>
      </c>
      <c r="CB399" s="88" t="inlineStr">
        <is>
          <t>Venture Capital</t>
        </is>
      </c>
      <c r="CC399" s="89" t="inlineStr">
        <is>
          <t/>
        </is>
      </c>
      <c r="CD399" s="90" t="inlineStr">
        <is>
          <t/>
        </is>
      </c>
      <c r="CE399" s="91" t="inlineStr">
        <is>
          <t/>
        </is>
      </c>
      <c r="CF399" s="92" t="inlineStr">
        <is>
          <t>Completed</t>
        </is>
      </c>
      <c r="CG399" s="93" t="inlineStr">
        <is>
          <t>-0,92%</t>
        </is>
      </c>
      <c r="CH399" s="94" t="inlineStr">
        <is>
          <t>6</t>
        </is>
      </c>
      <c r="CI399" s="95" t="inlineStr">
        <is>
          <t>-0,04%</t>
        </is>
      </c>
      <c r="CJ399" s="96" t="inlineStr">
        <is>
          <t>-4,27%</t>
        </is>
      </c>
      <c r="CK399" s="97" t="inlineStr">
        <is>
          <t>-2,76%</t>
        </is>
      </c>
      <c r="CL399" s="98" t="inlineStr">
        <is>
          <t>4</t>
        </is>
      </c>
      <c r="CM399" s="99" t="inlineStr">
        <is>
          <t>0,92%</t>
        </is>
      </c>
      <c r="CN399" s="100" t="inlineStr">
        <is>
          <t>95</t>
        </is>
      </c>
      <c r="CO399" s="101" t="inlineStr">
        <is>
          <t>-6,19%</t>
        </is>
      </c>
      <c r="CP399" s="102" t="inlineStr">
        <is>
          <t>5</t>
        </is>
      </c>
      <c r="CQ399" s="103" t="inlineStr">
        <is>
          <t>0,67%</t>
        </is>
      </c>
      <c r="CR399" s="104" t="inlineStr">
        <is>
          <t>87</t>
        </is>
      </c>
      <c r="CS399" s="105" t="inlineStr">
        <is>
          <t/>
        </is>
      </c>
      <c r="CT399" s="106" t="inlineStr">
        <is>
          <t/>
        </is>
      </c>
      <c r="CU399" s="107" t="inlineStr">
        <is>
          <t>0,92%</t>
        </is>
      </c>
      <c r="CV399" s="108" t="inlineStr">
        <is>
          <t>97</t>
        </is>
      </c>
      <c r="CW399" s="109" t="inlineStr">
        <is>
          <t>2,14x</t>
        </is>
      </c>
      <c r="CX399" s="110" t="inlineStr">
        <is>
          <t>65</t>
        </is>
      </c>
      <c r="CY399" s="111" t="inlineStr">
        <is>
          <t>0,05x</t>
        </is>
      </c>
      <c r="CZ399" s="112" t="inlineStr">
        <is>
          <t>2,64%</t>
        </is>
      </c>
      <c r="DA399" s="113" t="inlineStr">
        <is>
          <t>3,43x</t>
        </is>
      </c>
      <c r="DB399" s="114" t="inlineStr">
        <is>
          <t>75</t>
        </is>
      </c>
      <c r="DC399" s="115" t="inlineStr">
        <is>
          <t>0,84x</t>
        </is>
      </c>
      <c r="DD399" s="116" t="inlineStr">
        <is>
          <t>45</t>
        </is>
      </c>
      <c r="DE399" s="117" t="inlineStr">
        <is>
          <t>2,03x</t>
        </is>
      </c>
      <c r="DF399" s="118" t="inlineStr">
        <is>
          <t>64</t>
        </is>
      </c>
      <c r="DG399" s="119" t="inlineStr">
        <is>
          <t>4,83x</t>
        </is>
      </c>
      <c r="DH399" s="120" t="inlineStr">
        <is>
          <t>78</t>
        </is>
      </c>
      <c r="DI399" s="121" t="inlineStr">
        <is>
          <t/>
        </is>
      </c>
      <c r="DJ399" s="122" t="inlineStr">
        <is>
          <t/>
        </is>
      </c>
      <c r="DK399" s="123" t="inlineStr">
        <is>
          <t>0,84x</t>
        </is>
      </c>
      <c r="DL399" s="124" t="inlineStr">
        <is>
          <t>47</t>
        </is>
      </c>
      <c r="DM399" s="125" t="inlineStr">
        <is>
          <t>1.338</t>
        </is>
      </c>
      <c r="DN399" s="126" t="inlineStr">
        <is>
          <t>-269</t>
        </is>
      </c>
      <c r="DO399" s="127" t="inlineStr">
        <is>
          <t>-16,74%</t>
        </is>
      </c>
      <c r="DP399" s="128" t="inlineStr">
        <is>
          <t/>
        </is>
      </c>
      <c r="DQ399" s="129" t="inlineStr">
        <is>
          <t/>
        </is>
      </c>
      <c r="DR399" s="130" t="inlineStr">
        <is>
          <t/>
        </is>
      </c>
      <c r="DS399" s="131" t="inlineStr">
        <is>
          <t>173</t>
        </is>
      </c>
      <c r="DT399" s="132" t="inlineStr">
        <is>
          <t>0</t>
        </is>
      </c>
      <c r="DU399" s="133" t="inlineStr">
        <is>
          <t>0,00%</t>
        </is>
      </c>
      <c r="DV399" s="134" t="inlineStr">
        <is>
          <t>285</t>
        </is>
      </c>
      <c r="DW399" s="135" t="inlineStr">
        <is>
          <t>2</t>
        </is>
      </c>
      <c r="DX399" s="136" t="inlineStr">
        <is>
          <t>0,71%</t>
        </is>
      </c>
      <c r="DY399" s="137" t="inlineStr">
        <is>
          <t>PitchBook Research</t>
        </is>
      </c>
      <c r="DZ399" s="785">
        <f>HYPERLINK("https://my.pitchbook.com?c=91659-16", "View company online")</f>
      </c>
    </row>
    <row r="400">
      <c r="A400" s="139" t="inlineStr">
        <is>
          <t>61950-79</t>
        </is>
      </c>
      <c r="B400" s="140" t="inlineStr">
        <is>
          <t>Shore</t>
        </is>
      </c>
      <c r="C400" s="141" t="inlineStr">
        <is>
          <t>Termine24</t>
        </is>
      </c>
      <c r="D400" s="142" t="inlineStr">
        <is>
          <t/>
        </is>
      </c>
      <c r="E400" s="143" t="inlineStr">
        <is>
          <t>61950-79</t>
        </is>
      </c>
      <c r="F400" s="144" t="inlineStr">
        <is>
          <t>Provider of cloud-based software services for businesses. The company provides customer relationship management services and helps in making appointments by booking services online.</t>
        </is>
      </c>
      <c r="G400" s="145" t="inlineStr">
        <is>
          <t>Information Technology</t>
        </is>
      </c>
      <c r="H400" s="146" t="inlineStr">
        <is>
          <t>Software</t>
        </is>
      </c>
      <c r="I400" s="147" t="inlineStr">
        <is>
          <t>Business/Productivity Software</t>
        </is>
      </c>
      <c r="J400" s="148" t="inlineStr">
        <is>
          <t>Business/Productivity Software*; Social/Platform Software</t>
        </is>
      </c>
      <c r="K400" s="149" t="inlineStr">
        <is>
          <t>SaaS</t>
        </is>
      </c>
      <c r="L400" s="150" t="inlineStr">
        <is>
          <t>Venture Capital-Backed</t>
        </is>
      </c>
      <c r="M400" s="151" t="n">
        <v>15.62</v>
      </c>
      <c r="N400" s="152" t="inlineStr">
        <is>
          <t>Generating Revenue</t>
        </is>
      </c>
      <c r="O400" s="153" t="inlineStr">
        <is>
          <t>Privately Held (backing)</t>
        </is>
      </c>
      <c r="P400" s="154" t="inlineStr">
        <is>
          <t>Venture Capital</t>
        </is>
      </c>
      <c r="Q400" s="155" t="inlineStr">
        <is>
          <t>www.shore.com</t>
        </is>
      </c>
      <c r="R400" s="156" t="n">
        <v>201.0</v>
      </c>
      <c r="S400" s="157" t="inlineStr">
        <is>
          <t/>
        </is>
      </c>
      <c r="T400" s="158" t="inlineStr">
        <is>
          <t/>
        </is>
      </c>
      <c r="U400" s="159" t="n">
        <v>2012.0</v>
      </c>
      <c r="V400" s="160" t="inlineStr">
        <is>
          <t/>
        </is>
      </c>
      <c r="W400" s="161" t="inlineStr">
        <is>
          <t/>
        </is>
      </c>
      <c r="X400" s="162" t="inlineStr">
        <is>
          <t/>
        </is>
      </c>
      <c r="Y400" s="163" t="inlineStr">
        <is>
          <t/>
        </is>
      </c>
      <c r="Z400" s="164" t="inlineStr">
        <is>
          <t/>
        </is>
      </c>
      <c r="AA400" s="165" t="inlineStr">
        <is>
          <t/>
        </is>
      </c>
      <c r="AB400" s="166" t="inlineStr">
        <is>
          <t/>
        </is>
      </c>
      <c r="AC400" s="167" t="inlineStr">
        <is>
          <t/>
        </is>
      </c>
      <c r="AD400" s="168" t="inlineStr">
        <is>
          <t/>
        </is>
      </c>
      <c r="AE400" s="169" t="inlineStr">
        <is>
          <t>74520-01P</t>
        </is>
      </c>
      <c r="AF400" s="170" t="inlineStr">
        <is>
          <t>Henry Brodski</t>
        </is>
      </c>
      <c r="AG400" s="171" t="inlineStr">
        <is>
          <t>Chief Financial Officer</t>
        </is>
      </c>
      <c r="AH400" s="172" t="inlineStr">
        <is>
          <t/>
        </is>
      </c>
      <c r="AI400" s="173" t="inlineStr">
        <is>
          <t>+49 (1)51 2428 2490</t>
        </is>
      </c>
      <c r="AJ400" s="174" t="inlineStr">
        <is>
          <t>Munich, Germany</t>
        </is>
      </c>
      <c r="AK400" s="175" t="inlineStr">
        <is>
          <t>Rosenheimer Straße 145e</t>
        </is>
      </c>
      <c r="AL400" s="176" t="inlineStr">
        <is>
          <t/>
        </is>
      </c>
      <c r="AM400" s="177" t="inlineStr">
        <is>
          <t>Munich</t>
        </is>
      </c>
      <c r="AN400" s="178" t="inlineStr">
        <is>
          <t/>
        </is>
      </c>
      <c r="AO400" s="179" t="inlineStr">
        <is>
          <t>81671</t>
        </is>
      </c>
      <c r="AP400" s="180" t="inlineStr">
        <is>
          <t>Germany</t>
        </is>
      </c>
      <c r="AQ400" s="181" t="inlineStr">
        <is>
          <t/>
        </is>
      </c>
      <c r="AR400" s="182" t="inlineStr">
        <is>
          <t/>
        </is>
      </c>
      <c r="AS400" s="183" t="inlineStr">
        <is>
          <t/>
        </is>
      </c>
      <c r="AT400" s="184" t="inlineStr">
        <is>
          <t>Europe</t>
        </is>
      </c>
      <c r="AU400" s="185" t="inlineStr">
        <is>
          <t>Western Europe</t>
        </is>
      </c>
      <c r="AV400" s="186" t="inlineStr">
        <is>
          <t>The company raised an undisclosed amount of Series B funding in a deal lead by Paua Ventures on October 17, 2014. Martin Sinner, Jens Neiser, Otto Capital and Senovo also participated in this round. Previously, the company raised EUR 2 million of Series A venture funding in a deal led by Paua Ventures on July 17, 2014. Otto Capital, Senovo, Alexander Graf Fugger-Babenhausen, Martin Sinner and Daniel Wild also participated.</t>
        </is>
      </c>
      <c r="AW400" s="187" t="inlineStr">
        <is>
          <t>Alexander Graf Fugger-Babenhausen, Bayern Kapital, Berlin Ventures, Coparion, Daniel Wild, David Schneider, Funke Mediengruppe, Jens Neiser, Martin Sinner, Metro (Supermarkets), Otto Capital, Paua Ventures, Peer Knauer, Robert Gentz, Rubin Ritter, Senovo, Tiburon (Munich), Xantera</t>
        </is>
      </c>
      <c r="AX400" s="188" t="n">
        <v>18.0</v>
      </c>
      <c r="AY400" s="189" t="inlineStr">
        <is>
          <t/>
        </is>
      </c>
      <c r="AZ400" s="190" t="inlineStr">
        <is>
          <t/>
        </is>
      </c>
      <c r="BA400" s="191" t="inlineStr">
        <is>
          <t/>
        </is>
      </c>
      <c r="BB400" s="192" t="inlineStr">
        <is>
          <t>Bayern Kapital (www.bayernkapital.de), Berlin Ventures (www.berlinventures.com), Coparion (www.coparion.vc), Funke Mediengruppe (www.funkemedien.de), Martin Sinner (www.martinsinner.com), Metro (Supermarkets) (archiv.metrogroup.de), Paua Ventures (www.pauaventures.com), Senovo (www.senovo.vc), Tiburon (Munich) (www.tiburon.de), Xantera (www.xantera.ag)</t>
        </is>
      </c>
      <c r="BC400" s="193" t="inlineStr">
        <is>
          <t/>
        </is>
      </c>
      <c r="BD400" s="194" t="inlineStr">
        <is>
          <t/>
        </is>
      </c>
      <c r="BE400" s="195" t="inlineStr">
        <is>
          <t/>
        </is>
      </c>
      <c r="BF400" s="196" t="inlineStr">
        <is>
          <t/>
        </is>
      </c>
      <c r="BG400" s="197" t="n">
        <v>41395.0</v>
      </c>
      <c r="BH400" s="198" t="n">
        <v>0.62</v>
      </c>
      <c r="BI400" s="199" t="inlineStr">
        <is>
          <t>Actual</t>
        </is>
      </c>
      <c r="BJ400" s="200" t="inlineStr">
        <is>
          <t/>
        </is>
      </c>
      <c r="BK400" s="201" t="inlineStr">
        <is>
          <t/>
        </is>
      </c>
      <c r="BL400" s="202" t="inlineStr">
        <is>
          <t>Seed Round</t>
        </is>
      </c>
      <c r="BM400" s="203" t="inlineStr">
        <is>
          <t>Seed</t>
        </is>
      </c>
      <c r="BN400" s="204" t="inlineStr">
        <is>
          <t/>
        </is>
      </c>
      <c r="BO400" s="205" t="inlineStr">
        <is>
          <t>Individual</t>
        </is>
      </c>
      <c r="BP400" s="206" t="inlineStr">
        <is>
          <t/>
        </is>
      </c>
      <c r="BQ400" s="207" t="inlineStr">
        <is>
          <t/>
        </is>
      </c>
      <c r="BR400" s="208" t="inlineStr">
        <is>
          <t/>
        </is>
      </c>
      <c r="BS400" s="209" t="inlineStr">
        <is>
          <t>Completed</t>
        </is>
      </c>
      <c r="BT400" s="210" t="n">
        <v>42583.0</v>
      </c>
      <c r="BU400" s="211" t="inlineStr">
        <is>
          <t/>
        </is>
      </c>
      <c r="BV400" s="212" t="inlineStr">
        <is>
          <t/>
        </is>
      </c>
      <c r="BW400" s="213" t="inlineStr">
        <is>
          <t/>
        </is>
      </c>
      <c r="BX400" s="214" t="inlineStr">
        <is>
          <t/>
        </is>
      </c>
      <c r="BY400" s="215" t="inlineStr">
        <is>
          <t>Corporate</t>
        </is>
      </c>
      <c r="BZ400" s="216" t="inlineStr">
        <is>
          <t>Corporate</t>
        </is>
      </c>
      <c r="CA400" s="217" t="inlineStr">
        <is>
          <t/>
        </is>
      </c>
      <c r="CB400" s="218" t="inlineStr">
        <is>
          <t>Corporate</t>
        </is>
      </c>
      <c r="CC400" s="219" t="inlineStr">
        <is>
          <t/>
        </is>
      </c>
      <c r="CD400" s="220" t="inlineStr">
        <is>
          <t/>
        </is>
      </c>
      <c r="CE400" s="221" t="inlineStr">
        <is>
          <t/>
        </is>
      </c>
      <c r="CF400" s="222" t="inlineStr">
        <is>
          <t>Completed</t>
        </is>
      </c>
      <c r="CG400" s="223" t="inlineStr">
        <is>
          <t>-1,22%</t>
        </is>
      </c>
      <c r="CH400" s="224" t="inlineStr">
        <is>
          <t>5</t>
        </is>
      </c>
      <c r="CI400" s="225" t="inlineStr">
        <is>
          <t>-0,04%</t>
        </is>
      </c>
      <c r="CJ400" s="226" t="inlineStr">
        <is>
          <t>-2,99%</t>
        </is>
      </c>
      <c r="CK400" s="227" t="inlineStr">
        <is>
          <t>-2,50%</t>
        </is>
      </c>
      <c r="CL400" s="228" t="inlineStr">
        <is>
          <t>4</t>
        </is>
      </c>
      <c r="CM400" s="229" t="inlineStr">
        <is>
          <t>0,06%</t>
        </is>
      </c>
      <c r="CN400" s="230" t="inlineStr">
        <is>
          <t>54</t>
        </is>
      </c>
      <c r="CO400" s="231" t="inlineStr">
        <is>
          <t>-5,54%</t>
        </is>
      </c>
      <c r="CP400" s="232" t="inlineStr">
        <is>
          <t>6</t>
        </is>
      </c>
      <c r="CQ400" s="233" t="inlineStr">
        <is>
          <t>0,53%</t>
        </is>
      </c>
      <c r="CR400" s="234" t="inlineStr">
        <is>
          <t>86</t>
        </is>
      </c>
      <c r="CS400" s="235" t="inlineStr">
        <is>
          <t>0,12%</t>
        </is>
      </c>
      <c r="CT400" s="236" t="inlineStr">
        <is>
          <t>61</t>
        </is>
      </c>
      <c r="CU400" s="237" t="inlineStr">
        <is>
          <t>0,00%</t>
        </is>
      </c>
      <c r="CV400" s="238" t="inlineStr">
        <is>
          <t>20</t>
        </is>
      </c>
      <c r="CW400" s="239" t="inlineStr">
        <is>
          <t>14,45x</t>
        </is>
      </c>
      <c r="CX400" s="240" t="inlineStr">
        <is>
          <t>90</t>
        </is>
      </c>
      <c r="CY400" s="241" t="inlineStr">
        <is>
          <t>-1,60x</t>
        </is>
      </c>
      <c r="CZ400" s="242" t="inlineStr">
        <is>
          <t>-10,00%</t>
        </is>
      </c>
      <c r="DA400" s="243" t="inlineStr">
        <is>
          <t>24,78x</t>
        </is>
      </c>
      <c r="DB400" s="244" t="inlineStr">
        <is>
          <t>93</t>
        </is>
      </c>
      <c r="DC400" s="245" t="inlineStr">
        <is>
          <t>4,12x</t>
        </is>
      </c>
      <c r="DD400" s="246" t="inlineStr">
        <is>
          <t>73</t>
        </is>
      </c>
      <c r="DE400" s="247" t="inlineStr">
        <is>
          <t>10,56x</t>
        </is>
      </c>
      <c r="DF400" s="248" t="inlineStr">
        <is>
          <t>84</t>
        </is>
      </c>
      <c r="DG400" s="249" t="inlineStr">
        <is>
          <t>39,00x</t>
        </is>
      </c>
      <c r="DH400" s="250" t="inlineStr">
        <is>
          <t>96</t>
        </is>
      </c>
      <c r="DI400" s="251" t="inlineStr">
        <is>
          <t>8,03x</t>
        </is>
      </c>
      <c r="DJ400" s="252" t="inlineStr">
        <is>
          <t>80</t>
        </is>
      </c>
      <c r="DK400" s="253" t="inlineStr">
        <is>
          <t>0,22x</t>
        </is>
      </c>
      <c r="DL400" s="254" t="inlineStr">
        <is>
          <t>27</t>
        </is>
      </c>
      <c r="DM400" s="255" t="inlineStr">
        <is>
          <t>6.742</t>
        </is>
      </c>
      <c r="DN400" s="256" t="inlineStr">
        <is>
          <t>-752</t>
        </is>
      </c>
      <c r="DO400" s="257" t="inlineStr">
        <is>
          <t>-10,03%</t>
        </is>
      </c>
      <c r="DP400" s="258" t="inlineStr">
        <is>
          <t>6.407</t>
        </is>
      </c>
      <c r="DQ400" s="259" t="inlineStr">
        <is>
          <t>15</t>
        </is>
      </c>
      <c r="DR400" s="260" t="inlineStr">
        <is>
          <t>0,23%</t>
        </is>
      </c>
      <c r="DS400" s="261" t="inlineStr">
        <is>
          <t>1.404</t>
        </is>
      </c>
      <c r="DT400" s="262" t="inlineStr">
        <is>
          <t>3</t>
        </is>
      </c>
      <c r="DU400" s="263" t="inlineStr">
        <is>
          <t>0,21%</t>
        </is>
      </c>
      <c r="DV400" s="264" t="inlineStr">
        <is>
          <t>75</t>
        </is>
      </c>
      <c r="DW400" s="265" t="inlineStr">
        <is>
          <t>0</t>
        </is>
      </c>
      <c r="DX400" s="266" t="inlineStr">
        <is>
          <t>0,00%</t>
        </is>
      </c>
      <c r="DY400" s="267" t="inlineStr">
        <is>
          <t>PitchBook Research</t>
        </is>
      </c>
      <c r="DZ400" s="786">
        <f>HYPERLINK("https://my.pitchbook.com?c=61950-79", "View company online")</f>
      </c>
    </row>
    <row r="401">
      <c r="A401" s="9" t="inlineStr">
        <is>
          <t>167000-86</t>
        </is>
      </c>
      <c r="B401" s="10" t="inlineStr">
        <is>
          <t>Side (Staffing App)</t>
        </is>
      </c>
      <c r="C401" s="11" t="inlineStr">
        <is>
          <t/>
        </is>
      </c>
      <c r="D401" s="12" t="inlineStr">
        <is>
          <t/>
        </is>
      </c>
      <c r="E401" s="13" t="inlineStr">
        <is>
          <t>167000-86</t>
        </is>
      </c>
      <c r="F401" s="14" t="inlineStr">
        <is>
          <t>Operator of an online platform designed to help student find short term jobs. The company's platform helps student freelancers to seek temporary work and get paid on hourly basis working for companies for a few days or weeks, enabling them earn while they study.</t>
        </is>
      </c>
      <c r="G401" s="15" t="inlineStr">
        <is>
          <t>Business Products and Services (B2B)</t>
        </is>
      </c>
      <c r="H401" s="16" t="inlineStr">
        <is>
          <t>Commercial Services</t>
        </is>
      </c>
      <c r="I401" s="17" t="inlineStr">
        <is>
          <t>Human Capital Services</t>
        </is>
      </c>
      <c r="J401" s="18" t="inlineStr">
        <is>
          <t>Human Capital Services*; Social/Platform Software</t>
        </is>
      </c>
      <c r="K401" s="19" t="inlineStr">
        <is>
          <t/>
        </is>
      </c>
      <c r="L401" s="20" t="inlineStr">
        <is>
          <t>Venture Capital-Backed</t>
        </is>
      </c>
      <c r="M401" s="21" t="n">
        <v>6.71</v>
      </c>
      <c r="N401" s="22" t="inlineStr">
        <is>
          <t>Startup</t>
        </is>
      </c>
      <c r="O401" s="23" t="inlineStr">
        <is>
          <t>Privately Held (backing)</t>
        </is>
      </c>
      <c r="P401" s="24" t="inlineStr">
        <is>
          <t>Venture Capital</t>
        </is>
      </c>
      <c r="Q401" s="25" t="inlineStr">
        <is>
          <t>www.side.co</t>
        </is>
      </c>
      <c r="R401" s="26" t="n">
        <v>11.0</v>
      </c>
      <c r="S401" s="27" t="inlineStr">
        <is>
          <t/>
        </is>
      </c>
      <c r="T401" s="28" t="inlineStr">
        <is>
          <t/>
        </is>
      </c>
      <c r="U401" s="29" t="n">
        <v>2015.0</v>
      </c>
      <c r="V401" s="30" t="inlineStr">
        <is>
          <t/>
        </is>
      </c>
      <c r="W401" s="31" t="inlineStr">
        <is>
          <t/>
        </is>
      </c>
      <c r="X401" s="32" t="inlineStr">
        <is>
          <t/>
        </is>
      </c>
      <c r="Y401" s="33" t="inlineStr">
        <is>
          <t/>
        </is>
      </c>
      <c r="Z401" s="34" t="inlineStr">
        <is>
          <t/>
        </is>
      </c>
      <c r="AA401" s="35" t="inlineStr">
        <is>
          <t/>
        </is>
      </c>
      <c r="AB401" s="36" t="inlineStr">
        <is>
          <t/>
        </is>
      </c>
      <c r="AC401" s="37" t="inlineStr">
        <is>
          <t/>
        </is>
      </c>
      <c r="AD401" s="38" t="inlineStr">
        <is>
          <t/>
        </is>
      </c>
      <c r="AE401" s="39" t="inlineStr">
        <is>
          <t>147305-35P</t>
        </is>
      </c>
      <c r="AF401" s="40" t="inlineStr">
        <is>
          <t>Pierre Mugnier</t>
        </is>
      </c>
      <c r="AG401" s="41" t="inlineStr">
        <is>
          <t>Co-Founder &amp; Chief Executive Officer</t>
        </is>
      </c>
      <c r="AH401" s="42" t="inlineStr">
        <is>
          <t>pierre@side.co</t>
        </is>
      </c>
      <c r="AI401" s="43" t="inlineStr">
        <is>
          <t/>
        </is>
      </c>
      <c r="AJ401" s="44" t="inlineStr">
        <is>
          <t>Paris, France</t>
        </is>
      </c>
      <c r="AK401" s="45" t="inlineStr">
        <is>
          <t>25 rue du Petit Musc</t>
        </is>
      </c>
      <c r="AL401" s="46" t="inlineStr">
        <is>
          <t/>
        </is>
      </c>
      <c r="AM401" s="47" t="inlineStr">
        <is>
          <t>Paris</t>
        </is>
      </c>
      <c r="AN401" s="48" t="inlineStr">
        <is>
          <t/>
        </is>
      </c>
      <c r="AO401" s="49" t="inlineStr">
        <is>
          <t>75004</t>
        </is>
      </c>
      <c r="AP401" s="50" t="inlineStr">
        <is>
          <t>France</t>
        </is>
      </c>
      <c r="AQ401" s="51" t="inlineStr">
        <is>
          <t/>
        </is>
      </c>
      <c r="AR401" s="52" t="inlineStr">
        <is>
          <t/>
        </is>
      </c>
      <c r="AS401" s="53" t="inlineStr">
        <is>
          <t>in@side.co</t>
        </is>
      </c>
      <c r="AT401" s="54" t="inlineStr">
        <is>
          <t>Europe</t>
        </is>
      </c>
      <c r="AU401" s="55" t="inlineStr">
        <is>
          <t>Western Europe</t>
        </is>
      </c>
      <c r="AV401" s="56" t="inlineStr">
        <is>
          <t>The company raised $5.7 million of venture funding from lead investor Xavier Niel on June 7, 2017. Aglaé Ventures, Jacques-Antoine Granjon, Connect Ventures, Fly Ventures, TheFamily and other undisclosed investors also participated in the round. The company intends to use the funds to continue to expand operations.</t>
        </is>
      </c>
      <c r="AW401" s="57" t="inlineStr">
        <is>
          <t>Aglaé Ventures, Connect Ventures, Fly Ventures, Jacques Antoine Granjon, Kima Ventures, TheFamily, Xavier Niel</t>
        </is>
      </c>
      <c r="AX401" s="58" t="n">
        <v>7.0</v>
      </c>
      <c r="AY401" s="59" t="inlineStr">
        <is>
          <t/>
        </is>
      </c>
      <c r="AZ401" s="60" t="inlineStr">
        <is>
          <t/>
        </is>
      </c>
      <c r="BA401" s="61" t="inlineStr">
        <is>
          <t/>
        </is>
      </c>
      <c r="BB401" s="62" t="inlineStr">
        <is>
          <t>Aglaé Ventures (www.aglaeventures.com), Connect Ventures (www.connectventures.co), Fly Ventures (www.fly.vc), Kima Ventures (www.kimaventures.com), TheFamily (www.thefamily.co)</t>
        </is>
      </c>
      <c r="BC401" s="63" t="inlineStr">
        <is>
          <t/>
        </is>
      </c>
      <c r="BD401" s="64" t="inlineStr">
        <is>
          <t/>
        </is>
      </c>
      <c r="BE401" s="65" t="inlineStr">
        <is>
          <t>Orrick Herrington &amp; Sutcliffe (Legal Advisor)</t>
        </is>
      </c>
      <c r="BF401" s="66" t="inlineStr">
        <is>
          <t>Orrick Herrington &amp; Sutcliffe (Legal Advisor)</t>
        </is>
      </c>
      <c r="BG401" s="67" t="n">
        <v>42650.0</v>
      </c>
      <c r="BH401" s="68" t="n">
        <v>1.36</v>
      </c>
      <c r="BI401" s="69" t="inlineStr">
        <is>
          <t>Actual</t>
        </is>
      </c>
      <c r="BJ401" s="70" t="inlineStr">
        <is>
          <t/>
        </is>
      </c>
      <c r="BK401" s="71" t="inlineStr">
        <is>
          <t/>
        </is>
      </c>
      <c r="BL401" s="72" t="inlineStr">
        <is>
          <t>Seed Round</t>
        </is>
      </c>
      <c r="BM401" s="73" t="inlineStr">
        <is>
          <t>Seed</t>
        </is>
      </c>
      <c r="BN401" s="74" t="inlineStr">
        <is>
          <t/>
        </is>
      </c>
      <c r="BO401" s="75" t="inlineStr">
        <is>
          <t>Venture Capital</t>
        </is>
      </c>
      <c r="BP401" s="76" t="inlineStr">
        <is>
          <t/>
        </is>
      </c>
      <c r="BQ401" s="77" t="inlineStr">
        <is>
          <t/>
        </is>
      </c>
      <c r="BR401" s="78" t="inlineStr">
        <is>
          <t/>
        </is>
      </c>
      <c r="BS401" s="79" t="inlineStr">
        <is>
          <t>Completed</t>
        </is>
      </c>
      <c r="BT401" s="80" t="n">
        <v>42893.0</v>
      </c>
      <c r="BU401" s="81" t="n">
        <v>5.35</v>
      </c>
      <c r="BV401" s="82" t="inlineStr">
        <is>
          <t>Actual</t>
        </is>
      </c>
      <c r="BW401" s="83" t="inlineStr">
        <is>
          <t/>
        </is>
      </c>
      <c r="BX401" s="84" t="inlineStr">
        <is>
          <t/>
        </is>
      </c>
      <c r="BY401" s="85" t="inlineStr">
        <is>
          <t>Early Stage VC</t>
        </is>
      </c>
      <c r="BZ401" s="86" t="inlineStr">
        <is>
          <t/>
        </is>
      </c>
      <c r="CA401" s="87" t="inlineStr">
        <is>
          <t/>
        </is>
      </c>
      <c r="CB401" s="88" t="inlineStr">
        <is>
          <t>Venture Capital</t>
        </is>
      </c>
      <c r="CC401" s="89" t="inlineStr">
        <is>
          <t/>
        </is>
      </c>
      <c r="CD401" s="90" t="inlineStr">
        <is>
          <t/>
        </is>
      </c>
      <c r="CE401" s="91" t="inlineStr">
        <is>
          <t/>
        </is>
      </c>
      <c r="CF401" s="92" t="inlineStr">
        <is>
          <t>Completed</t>
        </is>
      </c>
      <c r="CG401" s="93" t="inlineStr">
        <is>
          <t>-1,26%</t>
        </is>
      </c>
      <c r="CH401" s="94" t="inlineStr">
        <is>
          <t>4</t>
        </is>
      </c>
      <c r="CI401" s="95" t="inlineStr">
        <is>
          <t>-0,38%</t>
        </is>
      </c>
      <c r="CJ401" s="96" t="inlineStr">
        <is>
          <t>-44,11%</t>
        </is>
      </c>
      <c r="CK401" s="97" t="inlineStr">
        <is>
          <t>-2,79%</t>
        </is>
      </c>
      <c r="CL401" s="98" t="inlineStr">
        <is>
          <t>3</t>
        </is>
      </c>
      <c r="CM401" s="99" t="inlineStr">
        <is>
          <t>0,27%</t>
        </is>
      </c>
      <c r="CN401" s="100" t="inlineStr">
        <is>
          <t>79</t>
        </is>
      </c>
      <c r="CO401" s="101" t="inlineStr">
        <is>
          <t>-9,57%</t>
        </is>
      </c>
      <c r="CP401" s="102" t="inlineStr">
        <is>
          <t>2</t>
        </is>
      </c>
      <c r="CQ401" s="103" t="inlineStr">
        <is>
          <t>4,00%</t>
        </is>
      </c>
      <c r="CR401" s="104" t="inlineStr">
        <is>
          <t>94</t>
        </is>
      </c>
      <c r="CS401" s="105" t="inlineStr">
        <is>
          <t>0,55%</t>
        </is>
      </c>
      <c r="CT401" s="106" t="inlineStr">
        <is>
          <t>89</t>
        </is>
      </c>
      <c r="CU401" s="107" t="inlineStr">
        <is>
          <t>0,00%</t>
        </is>
      </c>
      <c r="CV401" s="108" t="inlineStr">
        <is>
          <t>20</t>
        </is>
      </c>
      <c r="CW401" s="109" t="inlineStr">
        <is>
          <t>5,78x</t>
        </is>
      </c>
      <c r="CX401" s="110" t="inlineStr">
        <is>
          <t>81</t>
        </is>
      </c>
      <c r="CY401" s="111" t="inlineStr">
        <is>
          <t>0,05x</t>
        </is>
      </c>
      <c r="CZ401" s="112" t="inlineStr">
        <is>
          <t>0,82%</t>
        </is>
      </c>
      <c r="DA401" s="113" t="inlineStr">
        <is>
          <t>8,96x</t>
        </is>
      </c>
      <c r="DB401" s="114" t="inlineStr">
        <is>
          <t>86</t>
        </is>
      </c>
      <c r="DC401" s="115" t="inlineStr">
        <is>
          <t>2,59x</t>
        </is>
      </c>
      <c r="DD401" s="116" t="inlineStr">
        <is>
          <t>66</t>
        </is>
      </c>
      <c r="DE401" s="117" t="inlineStr">
        <is>
          <t>13,75x</t>
        </is>
      </c>
      <c r="DF401" s="118" t="inlineStr">
        <is>
          <t>86</t>
        </is>
      </c>
      <c r="DG401" s="119" t="inlineStr">
        <is>
          <t>4,17x</t>
        </is>
      </c>
      <c r="DH401" s="120" t="inlineStr">
        <is>
          <t>76</t>
        </is>
      </c>
      <c r="DI401" s="121" t="inlineStr">
        <is>
          <t>4,90x</t>
        </is>
      </c>
      <c r="DJ401" s="122" t="inlineStr">
        <is>
          <t>74</t>
        </is>
      </c>
      <c r="DK401" s="123" t="inlineStr">
        <is>
          <t>0,29x</t>
        </is>
      </c>
      <c r="DL401" s="124" t="inlineStr">
        <is>
          <t>30</t>
        </is>
      </c>
      <c r="DM401" s="125" t="inlineStr">
        <is>
          <t>9.815</t>
        </is>
      </c>
      <c r="DN401" s="126" t="inlineStr">
        <is>
          <t>-4.074</t>
        </is>
      </c>
      <c r="DO401" s="127" t="inlineStr">
        <is>
          <t>-29,33%</t>
        </is>
      </c>
      <c r="DP401" s="128" t="inlineStr">
        <is>
          <t>3.907</t>
        </is>
      </c>
      <c r="DQ401" s="129" t="inlineStr">
        <is>
          <t>11</t>
        </is>
      </c>
      <c r="DR401" s="130" t="inlineStr">
        <is>
          <t>0,28%</t>
        </is>
      </c>
      <c r="DS401" s="131" t="inlineStr">
        <is>
          <t>150</t>
        </is>
      </c>
      <c r="DT401" s="132" t="inlineStr">
        <is>
          <t>-1</t>
        </is>
      </c>
      <c r="DU401" s="133" t="inlineStr">
        <is>
          <t>-0,66%</t>
        </is>
      </c>
      <c r="DV401" s="134" t="inlineStr">
        <is>
          <t>98</t>
        </is>
      </c>
      <c r="DW401" s="135" t="inlineStr">
        <is>
          <t>1</t>
        </is>
      </c>
      <c r="DX401" s="136" t="inlineStr">
        <is>
          <t>1,03%</t>
        </is>
      </c>
      <c r="DY401" s="137" t="inlineStr">
        <is>
          <t>PitchBook Research</t>
        </is>
      </c>
      <c r="DZ401" s="785">
        <f>HYPERLINK("https://my.pitchbook.com?c=167000-86", "View company online")</f>
      </c>
    </row>
    <row r="402">
      <c r="A402" s="139" t="inlineStr">
        <is>
          <t>103080-70</t>
        </is>
      </c>
      <c r="B402" s="140" t="inlineStr">
        <is>
          <t>Signal Media</t>
        </is>
      </c>
      <c r="C402" s="141" t="inlineStr">
        <is>
          <t/>
        </is>
      </c>
      <c r="D402" s="142" t="inlineStr">
        <is>
          <t/>
        </is>
      </c>
      <c r="E402" s="143" t="inlineStr">
        <is>
          <t>103080-70</t>
        </is>
      </c>
      <c r="F402" s="144" t="inlineStr">
        <is>
          <t>Provider of technology platform for analyzing text and discovering business intelligence. The company offers a machine learning-powered topic classification system that lets users define a topic, and which refines the algorithm to determine what should and shouldn't be part of that topic.</t>
        </is>
      </c>
      <c r="G402" s="145" t="inlineStr">
        <is>
          <t>Information Technology</t>
        </is>
      </c>
      <c r="H402" s="146" t="inlineStr">
        <is>
          <t>Software</t>
        </is>
      </c>
      <c r="I402" s="147" t="inlineStr">
        <is>
          <t>Business/Productivity Software</t>
        </is>
      </c>
      <c r="J402" s="148" t="inlineStr">
        <is>
          <t>Business/Productivity Software*; Social/Platform Software</t>
        </is>
      </c>
      <c r="K402" s="149" t="inlineStr">
        <is>
          <t>Artificial Intelligence &amp; Machine Learning, Big Data</t>
        </is>
      </c>
      <c r="L402" s="150" t="inlineStr">
        <is>
          <t>Venture Capital-Backed</t>
        </is>
      </c>
      <c r="M402" s="151" t="n">
        <v>8.73</v>
      </c>
      <c r="N402" s="152" t="inlineStr">
        <is>
          <t>Startup</t>
        </is>
      </c>
      <c r="O402" s="153" t="inlineStr">
        <is>
          <t>Privately Held (backing)</t>
        </is>
      </c>
      <c r="P402" s="154" t="inlineStr">
        <is>
          <t>Venture Capital</t>
        </is>
      </c>
      <c r="Q402" s="155" t="inlineStr">
        <is>
          <t>www.signalmedia.co</t>
        </is>
      </c>
      <c r="R402" s="156" t="n">
        <v>50.0</v>
      </c>
      <c r="S402" s="157" t="inlineStr">
        <is>
          <t/>
        </is>
      </c>
      <c r="T402" s="158" t="inlineStr">
        <is>
          <t/>
        </is>
      </c>
      <c r="U402" s="159" t="n">
        <v>2013.0</v>
      </c>
      <c r="V402" s="160" t="inlineStr">
        <is>
          <t/>
        </is>
      </c>
      <c r="W402" s="161" t="inlineStr">
        <is>
          <t/>
        </is>
      </c>
      <c r="X402" s="162" t="inlineStr">
        <is>
          <t/>
        </is>
      </c>
      <c r="Y402" s="163" t="inlineStr">
        <is>
          <t/>
        </is>
      </c>
      <c r="Z402" s="164" t="inlineStr">
        <is>
          <t/>
        </is>
      </c>
      <c r="AA402" s="165" t="inlineStr">
        <is>
          <t/>
        </is>
      </c>
      <c r="AB402" s="166" t="inlineStr">
        <is>
          <t/>
        </is>
      </c>
      <c r="AC402" s="167" t="inlineStr">
        <is>
          <t/>
        </is>
      </c>
      <c r="AD402" s="168" t="inlineStr">
        <is>
          <t/>
        </is>
      </c>
      <c r="AE402" s="169" t="inlineStr">
        <is>
          <t>96973-12P</t>
        </is>
      </c>
      <c r="AF402" s="170" t="inlineStr">
        <is>
          <t>David Benigson</t>
        </is>
      </c>
      <c r="AG402" s="171" t="inlineStr">
        <is>
          <t>Co-Founder, Board Member &amp; Chief Executive Officer</t>
        </is>
      </c>
      <c r="AH402" s="172" t="inlineStr">
        <is>
          <t>david.benigson@signal.uk.com</t>
        </is>
      </c>
      <c r="AI402" s="173" t="inlineStr">
        <is>
          <t>+44 (0)20 3828 8200</t>
        </is>
      </c>
      <c r="AJ402" s="174" t="inlineStr">
        <is>
          <t>London, United Kingdom</t>
        </is>
      </c>
      <c r="AK402" s="175" t="inlineStr">
        <is>
          <t>32-38 Leman Street</t>
        </is>
      </c>
      <c r="AL402" s="176" t="inlineStr">
        <is>
          <t/>
        </is>
      </c>
      <c r="AM402" s="177" t="inlineStr">
        <is>
          <t>London</t>
        </is>
      </c>
      <c r="AN402" s="178" t="inlineStr">
        <is>
          <t>England</t>
        </is>
      </c>
      <c r="AO402" s="179" t="inlineStr">
        <is>
          <t>E1 8EW</t>
        </is>
      </c>
      <c r="AP402" s="180" t="inlineStr">
        <is>
          <t>United Kingdom</t>
        </is>
      </c>
      <c r="AQ402" s="181" t="inlineStr">
        <is>
          <t>+44 (0)20 3828 8200</t>
        </is>
      </c>
      <c r="AR402" s="182" t="inlineStr">
        <is>
          <t/>
        </is>
      </c>
      <c r="AS402" s="183" t="inlineStr">
        <is>
          <t>hello@signalmedia.co</t>
        </is>
      </c>
      <c r="AT402" s="184" t="inlineStr">
        <is>
          <t>Europe</t>
        </is>
      </c>
      <c r="AU402" s="185" t="inlineStr">
        <is>
          <t>Western Europe</t>
        </is>
      </c>
      <c r="AV402" s="186" t="inlineStr">
        <is>
          <t>The company raised GBP 5.8 million of venture funding from MMC Ventures, Hearst Ventures and Frontline Ventures on December 13, 2016. Reed Elsevier Ventures, Local Globe, Rahul Powar and Andrew Jennings also participated in the round. The company intends to use the funding to expand its current human resources, explore new coverage areas in new markets and verticals like health, pharma and technology and to expand in the US market.</t>
        </is>
      </c>
      <c r="AW402" s="187" t="inlineStr">
        <is>
          <t>Andrew Jennings, Andrew Phillipps, Darren Shapland, Frontline Ventures, Hearst Ventures, Individual Investor, Jonathan Goodwin, Jonathan Moulton, LocalGlobe, MMC Ventures, Rahul Powar, REV Venture Partners, Robin Klein, Samos Investments, Turi Munthe</t>
        </is>
      </c>
      <c r="AX402" s="188" t="n">
        <v>15.0</v>
      </c>
      <c r="AY402" s="189" t="inlineStr">
        <is>
          <t/>
        </is>
      </c>
      <c r="AZ402" s="190" t="inlineStr">
        <is>
          <t/>
        </is>
      </c>
      <c r="BA402" s="191" t="inlineStr">
        <is>
          <t/>
        </is>
      </c>
      <c r="BB402" s="192" t="inlineStr">
        <is>
          <t>Frontline Ventures (www.frontline.vc), LocalGlobe (www.localglobe.vc), MMC Ventures (www.mmcventures.com), REV Venture Partners (www.rev.vc), Robin Klein (www.the-accelerator.blogspot.com), Samos Investments (www.samos.uk.com)</t>
        </is>
      </c>
      <c r="BC402" s="193" t="inlineStr">
        <is>
          <t/>
        </is>
      </c>
      <c r="BD402" s="194" t="inlineStr">
        <is>
          <t/>
        </is>
      </c>
      <c r="BE402" s="195" t="inlineStr">
        <is>
          <t/>
        </is>
      </c>
      <c r="BF402" s="196" t="inlineStr">
        <is>
          <t/>
        </is>
      </c>
      <c r="BG402" s="197" t="inlineStr">
        <is>
          <t/>
        </is>
      </c>
      <c r="BH402" s="198" t="n">
        <v>0.13</v>
      </c>
      <c r="BI402" s="199" t="inlineStr">
        <is>
          <t>Estimated</t>
        </is>
      </c>
      <c r="BJ402" s="200" t="inlineStr">
        <is>
          <t/>
        </is>
      </c>
      <c r="BK402" s="201" t="inlineStr">
        <is>
          <t/>
        </is>
      </c>
      <c r="BL402" s="202" t="inlineStr">
        <is>
          <t>Seed Round</t>
        </is>
      </c>
      <c r="BM402" s="203" t="inlineStr">
        <is>
          <t>Seed</t>
        </is>
      </c>
      <c r="BN402" s="204" t="inlineStr">
        <is>
          <t/>
        </is>
      </c>
      <c r="BO402" s="205" t="inlineStr">
        <is>
          <t>Venture Capital</t>
        </is>
      </c>
      <c r="BP402" s="206" t="inlineStr">
        <is>
          <t/>
        </is>
      </c>
      <c r="BQ402" s="207" t="inlineStr">
        <is>
          <t/>
        </is>
      </c>
      <c r="BR402" s="208" t="inlineStr">
        <is>
          <t/>
        </is>
      </c>
      <c r="BS402" s="209" t="inlineStr">
        <is>
          <t>Completed</t>
        </is>
      </c>
      <c r="BT402" s="210" t="n">
        <v>42717.0</v>
      </c>
      <c r="BU402" s="211" t="n">
        <v>6.87</v>
      </c>
      <c r="BV402" s="212" t="inlineStr">
        <is>
          <t>Actual</t>
        </is>
      </c>
      <c r="BW402" s="213" t="inlineStr">
        <is>
          <t/>
        </is>
      </c>
      <c r="BX402" s="214" t="inlineStr">
        <is>
          <t/>
        </is>
      </c>
      <c r="BY402" s="215" t="inlineStr">
        <is>
          <t>Early Stage VC</t>
        </is>
      </c>
      <c r="BZ402" s="216" t="inlineStr">
        <is>
          <t/>
        </is>
      </c>
      <c r="CA402" s="217" t="inlineStr">
        <is>
          <t/>
        </is>
      </c>
      <c r="CB402" s="218" t="inlineStr">
        <is>
          <t>Venture Capital</t>
        </is>
      </c>
      <c r="CC402" s="219" t="inlineStr">
        <is>
          <t/>
        </is>
      </c>
      <c r="CD402" s="220" t="inlineStr">
        <is>
          <t/>
        </is>
      </c>
      <c r="CE402" s="221" t="inlineStr">
        <is>
          <t/>
        </is>
      </c>
      <c r="CF402" s="222" t="inlineStr">
        <is>
          <t>Completed</t>
        </is>
      </c>
      <c r="CG402" s="223" t="inlineStr">
        <is>
          <t>-2,89%</t>
        </is>
      </c>
      <c r="CH402" s="224" t="inlineStr">
        <is>
          <t>2</t>
        </is>
      </c>
      <c r="CI402" s="225" t="inlineStr">
        <is>
          <t>0,05%</t>
        </is>
      </c>
      <c r="CJ402" s="226" t="inlineStr">
        <is>
          <t>1,54%</t>
        </is>
      </c>
      <c r="CK402" s="227" t="inlineStr">
        <is>
          <t>-5,91%</t>
        </is>
      </c>
      <c r="CL402" s="228" t="inlineStr">
        <is>
          <t>1</t>
        </is>
      </c>
      <c r="CM402" s="229" t="inlineStr">
        <is>
          <t>0,13%</t>
        </is>
      </c>
      <c r="CN402" s="230" t="inlineStr">
        <is>
          <t>65</t>
        </is>
      </c>
      <c r="CO402" s="231" t="inlineStr">
        <is>
          <t>-5,91%</t>
        </is>
      </c>
      <c r="CP402" s="232" t="inlineStr">
        <is>
          <t>5</t>
        </is>
      </c>
      <c r="CQ402" s="233" t="inlineStr">
        <is>
          <t/>
        </is>
      </c>
      <c r="CR402" s="234" t="inlineStr">
        <is>
          <t/>
        </is>
      </c>
      <c r="CS402" s="235" t="inlineStr">
        <is>
          <t/>
        </is>
      </c>
      <c r="CT402" s="236" t="inlineStr">
        <is>
          <t/>
        </is>
      </c>
      <c r="CU402" s="237" t="inlineStr">
        <is>
          <t>0,13%</t>
        </is>
      </c>
      <c r="CV402" s="238" t="inlineStr">
        <is>
          <t>71</t>
        </is>
      </c>
      <c r="CW402" s="239" t="inlineStr">
        <is>
          <t>3,62x</t>
        </is>
      </c>
      <c r="CX402" s="240" t="inlineStr">
        <is>
          <t>74</t>
        </is>
      </c>
      <c r="CY402" s="241" t="inlineStr">
        <is>
          <t>0,06x</t>
        </is>
      </c>
      <c r="CZ402" s="242" t="inlineStr">
        <is>
          <t>1,65%</t>
        </is>
      </c>
      <c r="DA402" s="243" t="inlineStr">
        <is>
          <t>2,36x</t>
        </is>
      </c>
      <c r="DB402" s="244" t="inlineStr">
        <is>
          <t>69</t>
        </is>
      </c>
      <c r="DC402" s="245" t="inlineStr">
        <is>
          <t>4,87x</t>
        </is>
      </c>
      <c r="DD402" s="246" t="inlineStr">
        <is>
          <t>76</t>
        </is>
      </c>
      <c r="DE402" s="247" t="inlineStr">
        <is>
          <t>2,36x</t>
        </is>
      </c>
      <c r="DF402" s="248" t="inlineStr">
        <is>
          <t>66</t>
        </is>
      </c>
      <c r="DG402" s="249" t="inlineStr">
        <is>
          <t/>
        </is>
      </c>
      <c r="DH402" s="250" t="inlineStr">
        <is>
          <t/>
        </is>
      </c>
      <c r="DI402" s="251" t="inlineStr">
        <is>
          <t/>
        </is>
      </c>
      <c r="DJ402" s="252" t="inlineStr">
        <is>
          <t/>
        </is>
      </c>
      <c r="DK402" s="253" t="inlineStr">
        <is>
          <t>4,87x</t>
        </is>
      </c>
      <c r="DL402" s="254" t="inlineStr">
        <is>
          <t>78</t>
        </is>
      </c>
      <c r="DM402" s="255" t="inlineStr">
        <is>
          <t>1.469</t>
        </is>
      </c>
      <c r="DN402" s="256" t="inlineStr">
        <is>
          <t>-52</t>
        </is>
      </c>
      <c r="DO402" s="257" t="inlineStr">
        <is>
          <t>-3,42%</t>
        </is>
      </c>
      <c r="DP402" s="258" t="inlineStr">
        <is>
          <t/>
        </is>
      </c>
      <c r="DQ402" s="259" t="inlineStr">
        <is>
          <t/>
        </is>
      </c>
      <c r="DR402" s="260" t="inlineStr">
        <is>
          <t/>
        </is>
      </c>
      <c r="DS402" s="261" t="inlineStr">
        <is>
          <t/>
        </is>
      </c>
      <c r="DT402" s="262" t="inlineStr">
        <is>
          <t/>
        </is>
      </c>
      <c r="DU402" s="263" t="inlineStr">
        <is>
          <t/>
        </is>
      </c>
      <c r="DV402" s="264" t="inlineStr">
        <is>
          <t>1.666</t>
        </is>
      </c>
      <c r="DW402" s="265" t="inlineStr">
        <is>
          <t>3</t>
        </is>
      </c>
      <c r="DX402" s="266" t="inlineStr">
        <is>
          <t>0,18%</t>
        </is>
      </c>
      <c r="DY402" s="267" t="inlineStr">
        <is>
          <t>PitchBook Research</t>
        </is>
      </c>
      <c r="DZ402" s="786">
        <f>HYPERLINK("https://my.pitchbook.com?c=103080-70", "View company online")</f>
      </c>
    </row>
    <row r="403">
      <c r="A403" s="9" t="inlineStr">
        <is>
          <t>100111-51</t>
        </is>
      </c>
      <c r="B403" s="10" t="inlineStr">
        <is>
          <t>Silk Biomaterials</t>
        </is>
      </c>
      <c r="C403" s="11" t="inlineStr">
        <is>
          <t/>
        </is>
      </c>
      <c r="D403" s="12" t="inlineStr">
        <is>
          <t/>
        </is>
      </c>
      <c r="E403" s="13" t="inlineStr">
        <is>
          <t>100111-51</t>
        </is>
      </c>
      <c r="F403" s="14" t="inlineStr">
        <is>
          <t>Developer of a regenerative medical technology platform using silk. The company is developing silk-based biomaterials designed to help regenerate human tissues, including in the vascular system, and then to degrade and be safely absorbed in the body.</t>
        </is>
      </c>
      <c r="G403" s="15" t="inlineStr">
        <is>
          <t>Healthcare</t>
        </is>
      </c>
      <c r="H403" s="16" t="inlineStr">
        <is>
          <t>Healthcare Technology Systems</t>
        </is>
      </c>
      <c r="I403" s="17" t="inlineStr">
        <is>
          <t>Other Healthcare Technology Systems</t>
        </is>
      </c>
      <c r="J403" s="18" t="inlineStr">
        <is>
          <t>Other Healthcare Technology Systems*; Biotechnology</t>
        </is>
      </c>
      <c r="K403" s="19" t="inlineStr">
        <is>
          <t>Life Sciences</t>
        </is>
      </c>
      <c r="L403" s="20" t="inlineStr">
        <is>
          <t>Venture Capital-Backed</t>
        </is>
      </c>
      <c r="M403" s="21" t="n">
        <v>7.49</v>
      </c>
      <c r="N403" s="22" t="inlineStr">
        <is>
          <t>Startup</t>
        </is>
      </c>
      <c r="O403" s="23" t="inlineStr">
        <is>
          <t>Privately Held (backing)</t>
        </is>
      </c>
      <c r="P403" s="24" t="inlineStr">
        <is>
          <t>Venture Capital</t>
        </is>
      </c>
      <c r="Q403" s="25" t="inlineStr">
        <is>
          <t>www.silkbiomaterials.com</t>
        </is>
      </c>
      <c r="R403" s="26" t="n">
        <v>3.0</v>
      </c>
      <c r="S403" s="27" t="inlineStr">
        <is>
          <t/>
        </is>
      </c>
      <c r="T403" s="28" t="inlineStr">
        <is>
          <t/>
        </is>
      </c>
      <c r="U403" s="29" t="n">
        <v>2014.0</v>
      </c>
      <c r="V403" s="30" t="inlineStr">
        <is>
          <t/>
        </is>
      </c>
      <c r="W403" s="31" t="inlineStr">
        <is>
          <t/>
        </is>
      </c>
      <c r="X403" s="32" t="inlineStr">
        <is>
          <t/>
        </is>
      </c>
      <c r="Y403" s="33" t="inlineStr">
        <is>
          <t/>
        </is>
      </c>
      <c r="Z403" s="34" t="inlineStr">
        <is>
          <t/>
        </is>
      </c>
      <c r="AA403" s="35" t="inlineStr">
        <is>
          <t/>
        </is>
      </c>
      <c r="AB403" s="36" t="inlineStr">
        <is>
          <t/>
        </is>
      </c>
      <c r="AC403" s="37" t="inlineStr">
        <is>
          <t/>
        </is>
      </c>
      <c r="AD403" s="38" t="inlineStr">
        <is>
          <t/>
        </is>
      </c>
      <c r="AE403" s="39" t="inlineStr">
        <is>
          <t>133595-20P</t>
        </is>
      </c>
      <c r="AF403" s="40" t="inlineStr">
        <is>
          <t>Gabriele Grecchi</t>
        </is>
      </c>
      <c r="AG403" s="41" t="inlineStr">
        <is>
          <t>Co-Founder &amp; Chief Executive Officer</t>
        </is>
      </c>
      <c r="AH403" s="42" t="inlineStr">
        <is>
          <t>gabriele@silkbiomaterials.com</t>
        </is>
      </c>
      <c r="AI403" s="43" t="inlineStr">
        <is>
          <t/>
        </is>
      </c>
      <c r="AJ403" s="44" t="inlineStr">
        <is>
          <t>Lomazzo, Italy</t>
        </is>
      </c>
      <c r="AK403" s="45" t="inlineStr">
        <is>
          <t>Via Cavour 2</t>
        </is>
      </c>
      <c r="AL403" s="46" t="inlineStr">
        <is>
          <t/>
        </is>
      </c>
      <c r="AM403" s="47" t="inlineStr">
        <is>
          <t>Lomazzo</t>
        </is>
      </c>
      <c r="AN403" s="48" t="inlineStr">
        <is>
          <t>Como</t>
        </is>
      </c>
      <c r="AO403" s="49" t="inlineStr">
        <is>
          <t>22074</t>
        </is>
      </c>
      <c r="AP403" s="50" t="inlineStr">
        <is>
          <t>Italy</t>
        </is>
      </c>
      <c r="AQ403" s="51" t="inlineStr">
        <is>
          <t/>
        </is>
      </c>
      <c r="AR403" s="52" t="inlineStr">
        <is>
          <t/>
        </is>
      </c>
      <c r="AS403" s="53" t="inlineStr">
        <is>
          <t/>
        </is>
      </c>
      <c r="AT403" s="54" t="inlineStr">
        <is>
          <t>Europe</t>
        </is>
      </c>
      <c r="AU403" s="55" t="inlineStr">
        <is>
          <t>Southern Europe</t>
        </is>
      </c>
      <c r="AV403" s="56" t="inlineStr">
        <is>
          <t>The company raised EUR 7 million of Series A venture funding from Principia SGR on April 21, 2016. Previously, the company raised EUR 485,000 of seed funding from undisclosed angel investors on December 11, 2015.</t>
        </is>
      </c>
      <c r="AW403" s="57" t="inlineStr">
        <is>
          <t>ComoNext The Incubator, Horizon 2020, Principia SGR, Seedlab</t>
        </is>
      </c>
      <c r="AX403" s="58" t="n">
        <v>4.0</v>
      </c>
      <c r="AY403" s="59" t="inlineStr">
        <is>
          <t/>
        </is>
      </c>
      <c r="AZ403" s="60" t="inlineStr">
        <is>
          <t/>
        </is>
      </c>
      <c r="BA403" s="61" t="inlineStr">
        <is>
          <t/>
        </is>
      </c>
      <c r="BB403" s="62" t="inlineStr">
        <is>
          <t>ComoNext The Incubator (www.comonext.it), Principia SGR (www.principiasgr.it), Seedlab (www.seedlab.com)</t>
        </is>
      </c>
      <c r="BC403" s="63" t="inlineStr">
        <is>
          <t/>
        </is>
      </c>
      <c r="BD403" s="64" t="inlineStr">
        <is>
          <t/>
        </is>
      </c>
      <c r="BE403" s="65" t="inlineStr">
        <is>
          <t/>
        </is>
      </c>
      <c r="BF403" s="66" t="inlineStr">
        <is>
          <t/>
        </is>
      </c>
      <c r="BG403" s="67" t="n">
        <v>42221.0</v>
      </c>
      <c r="BH403" s="68" t="n">
        <v>0.05</v>
      </c>
      <c r="BI403" s="69" t="inlineStr">
        <is>
          <t>Actual</t>
        </is>
      </c>
      <c r="BJ403" s="70" t="inlineStr">
        <is>
          <t/>
        </is>
      </c>
      <c r="BK403" s="71" t="inlineStr">
        <is>
          <t/>
        </is>
      </c>
      <c r="BL403" s="72" t="inlineStr">
        <is>
          <t>Grant</t>
        </is>
      </c>
      <c r="BM403" s="73" t="inlineStr">
        <is>
          <t/>
        </is>
      </c>
      <c r="BN403" s="74" t="inlineStr">
        <is>
          <t/>
        </is>
      </c>
      <c r="BO403" s="75" t="inlineStr">
        <is>
          <t>Other</t>
        </is>
      </c>
      <c r="BP403" s="76" t="inlineStr">
        <is>
          <t/>
        </is>
      </c>
      <c r="BQ403" s="77" t="inlineStr">
        <is>
          <t/>
        </is>
      </c>
      <c r="BR403" s="78" t="inlineStr">
        <is>
          <t/>
        </is>
      </c>
      <c r="BS403" s="79" t="inlineStr">
        <is>
          <t>Completed</t>
        </is>
      </c>
      <c r="BT403" s="80" t="n">
        <v>42481.0</v>
      </c>
      <c r="BU403" s="81" t="n">
        <v>7.0</v>
      </c>
      <c r="BV403" s="82" t="inlineStr">
        <is>
          <t>Actual</t>
        </is>
      </c>
      <c r="BW403" s="83" t="inlineStr">
        <is>
          <t/>
        </is>
      </c>
      <c r="BX403" s="84" t="inlineStr">
        <is>
          <t/>
        </is>
      </c>
      <c r="BY403" s="85" t="inlineStr">
        <is>
          <t>Early Stage VC</t>
        </is>
      </c>
      <c r="BZ403" s="86" t="inlineStr">
        <is>
          <t>Series A</t>
        </is>
      </c>
      <c r="CA403" s="87" t="inlineStr">
        <is>
          <t/>
        </is>
      </c>
      <c r="CB403" s="88" t="inlineStr">
        <is>
          <t>Venture Capital</t>
        </is>
      </c>
      <c r="CC403" s="89" t="inlineStr">
        <is>
          <t/>
        </is>
      </c>
      <c r="CD403" s="90" t="inlineStr">
        <is>
          <t/>
        </is>
      </c>
      <c r="CE403" s="91" t="inlineStr">
        <is>
          <t/>
        </is>
      </c>
      <c r="CF403" s="92" t="inlineStr">
        <is>
          <t>Completed</t>
        </is>
      </c>
      <c r="CG403" s="93" t="inlineStr">
        <is>
          <t>0,10%</t>
        </is>
      </c>
      <c r="CH403" s="94" t="inlineStr">
        <is>
          <t>73</t>
        </is>
      </c>
      <c r="CI403" s="95" t="inlineStr">
        <is>
          <t>0,10%</t>
        </is>
      </c>
      <c r="CJ403" s="96" t="inlineStr">
        <is>
          <t>0,00%</t>
        </is>
      </c>
      <c r="CK403" s="97" t="inlineStr">
        <is>
          <t>0,00%</t>
        </is>
      </c>
      <c r="CL403" s="98" t="inlineStr">
        <is>
          <t>18</t>
        </is>
      </c>
      <c r="CM403" s="99" t="inlineStr">
        <is>
          <t>0,20%</t>
        </is>
      </c>
      <c r="CN403" s="100" t="inlineStr">
        <is>
          <t>73</t>
        </is>
      </c>
      <c r="CO403" s="101" t="inlineStr">
        <is>
          <t>0,00%</t>
        </is>
      </c>
      <c r="CP403" s="102" t="inlineStr">
        <is>
          <t>26</t>
        </is>
      </c>
      <c r="CQ403" s="103" t="inlineStr">
        <is>
          <t>0,00%</t>
        </is>
      </c>
      <c r="CR403" s="104" t="inlineStr">
        <is>
          <t>13</t>
        </is>
      </c>
      <c r="CS403" s="105" t="inlineStr">
        <is>
          <t/>
        </is>
      </c>
      <c r="CT403" s="106" t="inlineStr">
        <is>
          <t/>
        </is>
      </c>
      <c r="CU403" s="107" t="inlineStr">
        <is>
          <t>0,20%</t>
        </is>
      </c>
      <c r="CV403" s="108" t="inlineStr">
        <is>
          <t>78</t>
        </is>
      </c>
      <c r="CW403" s="109" t="inlineStr">
        <is>
          <t>0,38x</t>
        </is>
      </c>
      <c r="CX403" s="110" t="inlineStr">
        <is>
          <t>28</t>
        </is>
      </c>
      <c r="CY403" s="111" t="inlineStr">
        <is>
          <t>0,04x</t>
        </is>
      </c>
      <c r="CZ403" s="112" t="inlineStr">
        <is>
          <t>11,74%</t>
        </is>
      </c>
      <c r="DA403" s="113" t="inlineStr">
        <is>
          <t>0,35x</t>
        </is>
      </c>
      <c r="DB403" s="114" t="inlineStr">
        <is>
          <t>29</t>
        </is>
      </c>
      <c r="DC403" s="115" t="inlineStr">
        <is>
          <t>0,41x</t>
        </is>
      </c>
      <c r="DD403" s="116" t="inlineStr">
        <is>
          <t>32</t>
        </is>
      </c>
      <c r="DE403" s="117" t="inlineStr">
        <is>
          <t>0,08x</t>
        </is>
      </c>
      <c r="DF403" s="118" t="inlineStr">
        <is>
          <t>8</t>
        </is>
      </c>
      <c r="DG403" s="119" t="inlineStr">
        <is>
          <t>0,61x</t>
        </is>
      </c>
      <c r="DH403" s="120" t="inlineStr">
        <is>
          <t>40</t>
        </is>
      </c>
      <c r="DI403" s="121" t="inlineStr">
        <is>
          <t/>
        </is>
      </c>
      <c r="DJ403" s="122" t="inlineStr">
        <is>
          <t/>
        </is>
      </c>
      <c r="DK403" s="123" t="inlineStr">
        <is>
          <t>0,41x</t>
        </is>
      </c>
      <c r="DL403" s="124" t="inlineStr">
        <is>
          <t>35</t>
        </is>
      </c>
      <c r="DM403" s="125" t="inlineStr">
        <is>
          <t>53</t>
        </is>
      </c>
      <c r="DN403" s="126" t="inlineStr">
        <is>
          <t>-5</t>
        </is>
      </c>
      <c r="DO403" s="127" t="inlineStr">
        <is>
          <t>-8,62%</t>
        </is>
      </c>
      <c r="DP403" s="128" t="inlineStr">
        <is>
          <t/>
        </is>
      </c>
      <c r="DQ403" s="129" t="inlineStr">
        <is>
          <t/>
        </is>
      </c>
      <c r="DR403" s="130" t="inlineStr">
        <is>
          <t/>
        </is>
      </c>
      <c r="DS403" s="131" t="inlineStr">
        <is>
          <t>22</t>
        </is>
      </c>
      <c r="DT403" s="132" t="inlineStr">
        <is>
          <t>0</t>
        </is>
      </c>
      <c r="DU403" s="133" t="inlineStr">
        <is>
          <t>0,00%</t>
        </is>
      </c>
      <c r="DV403" s="134" t="inlineStr">
        <is>
          <t>141</t>
        </is>
      </c>
      <c r="DW403" s="135" t="inlineStr">
        <is>
          <t>0</t>
        </is>
      </c>
      <c r="DX403" s="136" t="inlineStr">
        <is>
          <t>0,00%</t>
        </is>
      </c>
      <c r="DY403" s="137" t="inlineStr">
        <is>
          <t>PitchBook Research</t>
        </is>
      </c>
      <c r="DZ403" s="785">
        <f>HYPERLINK("https://my.pitchbook.com?c=100111-51", "View company online")</f>
      </c>
    </row>
    <row r="404">
      <c r="A404" s="139" t="inlineStr">
        <is>
          <t>57686-77</t>
        </is>
      </c>
      <c r="B404" s="140" t="inlineStr">
        <is>
          <t>SilverCloud (Healthcare Technology)</t>
        </is>
      </c>
      <c r="C404" s="141" t="inlineStr">
        <is>
          <t/>
        </is>
      </c>
      <c r="D404" s="142" t="inlineStr">
        <is>
          <t/>
        </is>
      </c>
      <c r="E404" s="143" t="inlineStr">
        <is>
          <t>57686-77</t>
        </is>
      </c>
      <c r="F404" s="144" t="inlineStr">
        <is>
          <t>Provider of online therapeutic services intended to improve behavioral health and mental wellness. The company develops an online health and e-therapy platform which provides outcomes-focused online behavioral health and well-being systems enabling health systems and healthcare organizations to provide care populations with immediate access to clinically proven, evidenced-based content, programs and support within the area of mental health (depression, anxiety, stress) and long term/chronic illness care (diabetes, COPD, CVD).</t>
        </is>
      </c>
      <c r="G404" s="145" t="inlineStr">
        <is>
          <t>Healthcare</t>
        </is>
      </c>
      <c r="H404" s="146" t="inlineStr">
        <is>
          <t>Healthcare Technology Systems</t>
        </is>
      </c>
      <c r="I404" s="147" t="inlineStr">
        <is>
          <t>Other Healthcare Technology Systems</t>
        </is>
      </c>
      <c r="J404" s="148" t="inlineStr">
        <is>
          <t>Other Healthcare Technology Systems*; Application Software</t>
        </is>
      </c>
      <c r="K404" s="149" t="inlineStr">
        <is>
          <t>HealthTech, Mobile</t>
        </is>
      </c>
      <c r="L404" s="150" t="inlineStr">
        <is>
          <t>Venture Capital-Backed</t>
        </is>
      </c>
      <c r="M404" s="151" t="n">
        <v>10.83</v>
      </c>
      <c r="N404" s="152" t="inlineStr">
        <is>
          <t>Generating Revenue</t>
        </is>
      </c>
      <c r="O404" s="153" t="inlineStr">
        <is>
          <t>Privately Held (backing)</t>
        </is>
      </c>
      <c r="P404" s="154" t="inlineStr">
        <is>
          <t>Venture Capital</t>
        </is>
      </c>
      <c r="Q404" s="155" t="inlineStr">
        <is>
          <t>www.silvercloudhealth.com</t>
        </is>
      </c>
      <c r="R404" s="156" t="n">
        <v>24.0</v>
      </c>
      <c r="S404" s="157" t="inlineStr">
        <is>
          <t/>
        </is>
      </c>
      <c r="T404" s="158" t="inlineStr">
        <is>
          <t/>
        </is>
      </c>
      <c r="U404" s="159" t="n">
        <v>2012.0</v>
      </c>
      <c r="V404" s="160" t="inlineStr">
        <is>
          <t/>
        </is>
      </c>
      <c r="W404" s="161" t="inlineStr">
        <is>
          <t/>
        </is>
      </c>
      <c r="X404" s="162" t="inlineStr">
        <is>
          <t/>
        </is>
      </c>
      <c r="Y404" s="163" t="inlineStr">
        <is>
          <t/>
        </is>
      </c>
      <c r="Z404" s="164" t="inlineStr">
        <is>
          <t/>
        </is>
      </c>
      <c r="AA404" s="165" t="inlineStr">
        <is>
          <t/>
        </is>
      </c>
      <c r="AB404" s="166" t="inlineStr">
        <is>
          <t/>
        </is>
      </c>
      <c r="AC404" s="167" t="inlineStr">
        <is>
          <t/>
        </is>
      </c>
      <c r="AD404" s="168" t="inlineStr">
        <is>
          <t>FY 2014</t>
        </is>
      </c>
      <c r="AE404" s="169" t="inlineStr">
        <is>
          <t>51471-19P</t>
        </is>
      </c>
      <c r="AF404" s="170" t="inlineStr">
        <is>
          <t>Ken Cahill</t>
        </is>
      </c>
      <c r="AG404" s="171" t="inlineStr">
        <is>
          <t>Chief Executive Officer &amp; Co-Founder</t>
        </is>
      </c>
      <c r="AH404" s="172" t="inlineStr">
        <is>
          <t>ken.cahill@silvercloudhealth.com</t>
        </is>
      </c>
      <c r="AI404" s="173" t="inlineStr">
        <is>
          <t>+353 (0)1 554 9771</t>
        </is>
      </c>
      <c r="AJ404" s="174" t="inlineStr">
        <is>
          <t>Dublin, Ireland</t>
        </is>
      </c>
      <c r="AK404" s="175" t="inlineStr">
        <is>
          <t>The Priory</t>
        </is>
      </c>
      <c r="AL404" s="176" t="inlineStr">
        <is>
          <t>Johns Street West</t>
        </is>
      </c>
      <c r="AM404" s="177" t="inlineStr">
        <is>
          <t>Dublin</t>
        </is>
      </c>
      <c r="AN404" s="178" t="inlineStr">
        <is>
          <t/>
        </is>
      </c>
      <c r="AO404" s="179" t="inlineStr">
        <is>
          <t>8</t>
        </is>
      </c>
      <c r="AP404" s="180" t="inlineStr">
        <is>
          <t>Ireland</t>
        </is>
      </c>
      <c r="AQ404" s="181" t="inlineStr">
        <is>
          <t>+353 (0)1 554 9771</t>
        </is>
      </c>
      <c r="AR404" s="182" t="inlineStr">
        <is>
          <t/>
        </is>
      </c>
      <c r="AS404" s="183" t="inlineStr">
        <is>
          <t>info@silvercloudhealth.com</t>
        </is>
      </c>
      <c r="AT404" s="184" t="inlineStr">
        <is>
          <t>Europe</t>
        </is>
      </c>
      <c r="AU404" s="185" t="inlineStr">
        <is>
          <t>Western Europe</t>
        </is>
      </c>
      <c r="AV404" s="186" t="inlineStr">
        <is>
          <t>The company raised $8.1 million of Series A venture funding from lead investor B Capital Group on January 18, 2017. ACT Venture Capital, Investec Ventures, Dublin Business Innovation Centre, NDRC and Enterprise Ireland. The company will use the funding to meet growing demand in Europe and North America, build out its commercial, development and clinical teams and drive its clinical research and publishing agenda. Previously, the company joined MedTech Innovator as part of the 2016 Class on June 21, 2016.</t>
        </is>
      </c>
      <c r="AW404" s="187" t="inlineStr">
        <is>
          <t>ACT Venture Capital, B Capital Group, Dublin Business Innovation Centre, Enterprise Equity Venture Capital, Enterprise Ireland, Investec Bank, Investec Ventures, MedTech Innovator, NDRC</t>
        </is>
      </c>
      <c r="AX404" s="188" t="n">
        <v>9.0</v>
      </c>
      <c r="AY404" s="189" t="inlineStr">
        <is>
          <t/>
        </is>
      </c>
      <c r="AZ404" s="190" t="inlineStr">
        <is>
          <t/>
        </is>
      </c>
      <c r="BA404" s="191" t="inlineStr">
        <is>
          <t/>
        </is>
      </c>
      <c r="BB404" s="192" t="inlineStr">
        <is>
          <t>ACT Venture Capital (www.actventure.com), B Capital Group (www.bcapgroup.com), Dublin Business Innovation Centre (dublinbic.ie), Enterprise Equity Venture Capital (www.enterpriseequity.ie), Enterprise Ireland (www.enterprise-ireland.com), Investec Bank (www.investec.com), Investec Ventures (www.investec.ie), MedTech Innovator (www.medtechinnovator.org), NDRC (www.ndrc.ie)</t>
        </is>
      </c>
      <c r="BC404" s="193" t="inlineStr">
        <is>
          <t/>
        </is>
      </c>
      <c r="BD404" s="194" t="inlineStr">
        <is>
          <t/>
        </is>
      </c>
      <c r="BE404" s="195" t="inlineStr">
        <is>
          <t/>
        </is>
      </c>
      <c r="BF404" s="196" t="inlineStr">
        <is>
          <t>Matheson (Legal Advisor), William Fry (Legal Advisor)</t>
        </is>
      </c>
      <c r="BG404" s="197" t="n">
        <v>41452.0</v>
      </c>
      <c r="BH404" s="198" t="n">
        <v>1.5</v>
      </c>
      <c r="BI404" s="199" t="inlineStr">
        <is>
          <t>Actual</t>
        </is>
      </c>
      <c r="BJ404" s="200" t="inlineStr">
        <is>
          <t/>
        </is>
      </c>
      <c r="BK404" s="201" t="inlineStr">
        <is>
          <t/>
        </is>
      </c>
      <c r="BL404" s="202" t="inlineStr">
        <is>
          <t>Seed Round</t>
        </is>
      </c>
      <c r="BM404" s="203" t="inlineStr">
        <is>
          <t>Seed</t>
        </is>
      </c>
      <c r="BN404" s="204" t="inlineStr">
        <is>
          <t/>
        </is>
      </c>
      <c r="BO404" s="205" t="inlineStr">
        <is>
          <t>Venture Capital</t>
        </is>
      </c>
      <c r="BP404" s="206" t="inlineStr">
        <is>
          <t/>
        </is>
      </c>
      <c r="BQ404" s="207" t="inlineStr">
        <is>
          <t/>
        </is>
      </c>
      <c r="BR404" s="208" t="inlineStr">
        <is>
          <t/>
        </is>
      </c>
      <c r="BS404" s="209" t="inlineStr">
        <is>
          <t>Completed</t>
        </is>
      </c>
      <c r="BT404" s="210" t="n">
        <v>42753.0</v>
      </c>
      <c r="BU404" s="211" t="n">
        <v>7.63</v>
      </c>
      <c r="BV404" s="212" t="inlineStr">
        <is>
          <t>Actual</t>
        </is>
      </c>
      <c r="BW404" s="213" t="inlineStr">
        <is>
          <t/>
        </is>
      </c>
      <c r="BX404" s="214" t="inlineStr">
        <is>
          <t/>
        </is>
      </c>
      <c r="BY404" s="215" t="inlineStr">
        <is>
          <t>Later Stage VC</t>
        </is>
      </c>
      <c r="BZ404" s="216" t="inlineStr">
        <is>
          <t>Series A</t>
        </is>
      </c>
      <c r="CA404" s="217" t="inlineStr">
        <is>
          <t/>
        </is>
      </c>
      <c r="CB404" s="218" t="inlineStr">
        <is>
          <t>Venture Capital</t>
        </is>
      </c>
      <c r="CC404" s="219" t="inlineStr">
        <is>
          <t/>
        </is>
      </c>
      <c r="CD404" s="220" t="inlineStr">
        <is>
          <t/>
        </is>
      </c>
      <c r="CE404" s="221" t="inlineStr">
        <is>
          <t/>
        </is>
      </c>
      <c r="CF404" s="222" t="inlineStr">
        <is>
          <t>Completed</t>
        </is>
      </c>
      <c r="CG404" s="223" t="inlineStr">
        <is>
          <t>1,13%</t>
        </is>
      </c>
      <c r="CH404" s="224" t="inlineStr">
        <is>
          <t>89</t>
        </is>
      </c>
      <c r="CI404" s="225" t="inlineStr">
        <is>
          <t>0,34%</t>
        </is>
      </c>
      <c r="CJ404" s="226" t="inlineStr">
        <is>
          <t>43,99%</t>
        </is>
      </c>
      <c r="CK404" s="227" t="inlineStr">
        <is>
          <t>2,96%</t>
        </is>
      </c>
      <c r="CL404" s="228" t="inlineStr">
        <is>
          <t>93</t>
        </is>
      </c>
      <c r="CM404" s="229" t="inlineStr">
        <is>
          <t>-0,70%</t>
        </is>
      </c>
      <c r="CN404" s="230" t="inlineStr">
        <is>
          <t>1</t>
        </is>
      </c>
      <c r="CO404" s="231" t="inlineStr">
        <is>
          <t>5,98%</t>
        </is>
      </c>
      <c r="CP404" s="232" t="inlineStr">
        <is>
          <t>97</t>
        </is>
      </c>
      <c r="CQ404" s="233" t="inlineStr">
        <is>
          <t>-0,07%</t>
        </is>
      </c>
      <c r="CR404" s="234" t="inlineStr">
        <is>
          <t>12</t>
        </is>
      </c>
      <c r="CS404" s="235" t="inlineStr">
        <is>
          <t>0,00%</t>
        </is>
      </c>
      <c r="CT404" s="236" t="inlineStr">
        <is>
          <t>18</t>
        </is>
      </c>
      <c r="CU404" s="237" t="inlineStr">
        <is>
          <t>-1,40%</t>
        </is>
      </c>
      <c r="CV404" s="238" t="inlineStr">
        <is>
          <t>1</t>
        </is>
      </c>
      <c r="CW404" s="239" t="inlineStr">
        <is>
          <t>3,79x</t>
        </is>
      </c>
      <c r="CX404" s="240" t="inlineStr">
        <is>
          <t>75</t>
        </is>
      </c>
      <c r="CY404" s="241" t="inlineStr">
        <is>
          <t>-1,62x</t>
        </is>
      </c>
      <c r="CZ404" s="242" t="inlineStr">
        <is>
          <t>-30,03%</t>
        </is>
      </c>
      <c r="DA404" s="243" t="inlineStr">
        <is>
          <t>4,05x</t>
        </is>
      </c>
      <c r="DB404" s="244" t="inlineStr">
        <is>
          <t>77</t>
        </is>
      </c>
      <c r="DC404" s="245" t="inlineStr">
        <is>
          <t>3,52x</t>
        </is>
      </c>
      <c r="DD404" s="246" t="inlineStr">
        <is>
          <t>71</t>
        </is>
      </c>
      <c r="DE404" s="247" t="inlineStr">
        <is>
          <t>3,24x</t>
        </is>
      </c>
      <c r="DF404" s="248" t="inlineStr">
        <is>
          <t>71</t>
        </is>
      </c>
      <c r="DG404" s="249" t="inlineStr">
        <is>
          <t>4,86x</t>
        </is>
      </c>
      <c r="DH404" s="250" t="inlineStr">
        <is>
          <t>78</t>
        </is>
      </c>
      <c r="DI404" s="251" t="inlineStr">
        <is>
          <t>0,08x</t>
        </is>
      </c>
      <c r="DJ404" s="252" t="inlineStr">
        <is>
          <t>12</t>
        </is>
      </c>
      <c r="DK404" s="253" t="inlineStr">
        <is>
          <t>6,96x</t>
        </is>
      </c>
      <c r="DL404" s="254" t="inlineStr">
        <is>
          <t>82</t>
        </is>
      </c>
      <c r="DM404" s="255" t="inlineStr">
        <is>
          <t>1.991</t>
        </is>
      </c>
      <c r="DN404" s="256" t="inlineStr">
        <is>
          <t>8</t>
        </is>
      </c>
      <c r="DO404" s="257" t="inlineStr">
        <is>
          <t>0,40%</t>
        </is>
      </c>
      <c r="DP404" s="258" t="inlineStr">
        <is>
          <t>62</t>
        </is>
      </c>
      <c r="DQ404" s="259" t="inlineStr">
        <is>
          <t>1</t>
        </is>
      </c>
      <c r="DR404" s="260" t="inlineStr">
        <is>
          <t>1,64%</t>
        </is>
      </c>
      <c r="DS404" s="261" t="inlineStr">
        <is>
          <t>175</t>
        </is>
      </c>
      <c r="DT404" s="262" t="inlineStr">
        <is>
          <t>0</t>
        </is>
      </c>
      <c r="DU404" s="263" t="inlineStr">
        <is>
          <t>0,00%</t>
        </is>
      </c>
      <c r="DV404" s="264" t="inlineStr">
        <is>
          <t>2.386</t>
        </is>
      </c>
      <c r="DW404" s="265" t="inlineStr">
        <is>
          <t>0</t>
        </is>
      </c>
      <c r="DX404" s="266" t="inlineStr">
        <is>
          <t>0,00%</t>
        </is>
      </c>
      <c r="DY404" s="267" t="inlineStr">
        <is>
          <t>PitchBook Research</t>
        </is>
      </c>
      <c r="DZ404" s="786">
        <f>HYPERLINK("https://my.pitchbook.com?c=57686-77", "View company online")</f>
      </c>
    </row>
    <row r="405">
      <c r="A405" s="9" t="inlineStr">
        <is>
          <t>154890-10</t>
        </is>
      </c>
      <c r="B405" s="10" t="inlineStr">
        <is>
          <t>Simba</t>
        </is>
      </c>
      <c r="C405" s="11" t="inlineStr">
        <is>
          <t/>
        </is>
      </c>
      <c r="D405" s="12" t="inlineStr">
        <is>
          <t/>
        </is>
      </c>
      <c r="E405" s="13" t="inlineStr">
        <is>
          <t>154890-10</t>
        </is>
      </c>
      <c r="F405" s="14" t="inlineStr">
        <is>
          <t>Manufacturer and retailer of high-tech mattresses intended to improve sleep quality. The company's high-tech mattresses utilize a combination of dual spring and memory foam which features four layers of propriety cooling foams with the support of 2,500 patented conical pocket springs, enabling consumers to purchase an affordable high-tech mattress that adapts to the body for exceptional support.</t>
        </is>
      </c>
      <c r="G405" s="15" t="inlineStr">
        <is>
          <t>Consumer Products and Services (B2C)</t>
        </is>
      </c>
      <c r="H405" s="16" t="inlineStr">
        <is>
          <t>Consumer Non-Durables</t>
        </is>
      </c>
      <c r="I405" s="17" t="inlineStr">
        <is>
          <t>Personal Products</t>
        </is>
      </c>
      <c r="J405" s="18" t="inlineStr">
        <is>
          <t>Personal Products*; Internet Retail; Other Consumer Products and Services</t>
        </is>
      </c>
      <c r="K405" s="19" t="inlineStr">
        <is>
          <t>E-Commerce, Manufacturing</t>
        </is>
      </c>
      <c r="L405" s="20" t="inlineStr">
        <is>
          <t>Venture Capital-Backed</t>
        </is>
      </c>
      <c r="M405" s="21" t="n">
        <v>20.08</v>
      </c>
      <c r="N405" s="22" t="inlineStr">
        <is>
          <t>Generating Revenue</t>
        </is>
      </c>
      <c r="O405" s="23" t="inlineStr">
        <is>
          <t>Privately Held (backing)</t>
        </is>
      </c>
      <c r="P405" s="24" t="inlineStr">
        <is>
          <t>Venture Capital</t>
        </is>
      </c>
      <c r="Q405" s="25" t="inlineStr">
        <is>
          <t>www.simbasleep.com</t>
        </is>
      </c>
      <c r="R405" s="26" t="n">
        <v>54.0</v>
      </c>
      <c r="S405" s="27" t="inlineStr">
        <is>
          <t/>
        </is>
      </c>
      <c r="T405" s="28" t="inlineStr">
        <is>
          <t/>
        </is>
      </c>
      <c r="U405" s="29" t="n">
        <v>2015.0</v>
      </c>
      <c r="V405" s="30" t="inlineStr">
        <is>
          <t/>
        </is>
      </c>
      <c r="W405" s="31" t="inlineStr">
        <is>
          <t/>
        </is>
      </c>
      <c r="X405" s="32" t="inlineStr">
        <is>
          <t/>
        </is>
      </c>
      <c r="Y405" s="33" t="n">
        <v>43.9121</v>
      </c>
      <c r="Z405" s="34" t="inlineStr">
        <is>
          <t/>
        </is>
      </c>
      <c r="AA405" s="35" t="inlineStr">
        <is>
          <t/>
        </is>
      </c>
      <c r="AB405" s="36" t="inlineStr">
        <is>
          <t/>
        </is>
      </c>
      <c r="AC405" s="37" t="inlineStr">
        <is>
          <t/>
        </is>
      </c>
      <c r="AD405" s="38" t="inlineStr">
        <is>
          <t>FY 2017</t>
        </is>
      </c>
      <c r="AE405" s="39" t="inlineStr">
        <is>
          <t>129770-83P</t>
        </is>
      </c>
      <c r="AF405" s="40" t="inlineStr">
        <is>
          <t>James Cox</t>
        </is>
      </c>
      <c r="AG405" s="41" t="inlineStr">
        <is>
          <t>Board Member, Chief Executive Officer &amp; Co-Founder</t>
        </is>
      </c>
      <c r="AH405" s="42" t="inlineStr">
        <is>
          <t>james@simbasleep.com</t>
        </is>
      </c>
      <c r="AI405" s="43" t="inlineStr">
        <is>
          <t>+44 (0)20 3318 8441</t>
        </is>
      </c>
      <c r="AJ405" s="44" t="inlineStr">
        <is>
          <t>London, United Kingdom</t>
        </is>
      </c>
      <c r="AK405" s="45" t="inlineStr">
        <is>
          <t>42 Brook Street</t>
        </is>
      </c>
      <c r="AL405" s="46" t="inlineStr">
        <is>
          <t/>
        </is>
      </c>
      <c r="AM405" s="47" t="inlineStr">
        <is>
          <t>London</t>
        </is>
      </c>
      <c r="AN405" s="48" t="inlineStr">
        <is>
          <t>England</t>
        </is>
      </c>
      <c r="AO405" s="49" t="inlineStr">
        <is>
          <t>W1K 5DB</t>
        </is>
      </c>
      <c r="AP405" s="50" t="inlineStr">
        <is>
          <t>United Kingdom</t>
        </is>
      </c>
      <c r="AQ405" s="51" t="inlineStr">
        <is>
          <t>+44 (0)20 3318 8441</t>
        </is>
      </c>
      <c r="AR405" s="52" t="inlineStr">
        <is>
          <t/>
        </is>
      </c>
      <c r="AS405" s="53" t="inlineStr">
        <is>
          <t>hello@simbasleep.com</t>
        </is>
      </c>
      <c r="AT405" s="54" t="inlineStr">
        <is>
          <t>Europe</t>
        </is>
      </c>
      <c r="AU405" s="55" t="inlineStr">
        <is>
          <t>Western Europe</t>
        </is>
      </c>
      <c r="AV405" s="56" t="inlineStr">
        <is>
          <t>The company raised GBP 9 million of funding from Nigel Wray, Numis Securities and Richard Goldstein on February 13, 2017, putting the pre-money valuation at GBP 37.93 million. Julian Barnett, Henderson Global Investors, Rishi Passi and Michel de Carvalho also participated in this round. The company intends to use the funds to further scale growth and assist in new sleep innovation product development - accelerating its presence across Europe, Asia and the Middle East.</t>
        </is>
      </c>
      <c r="AW405" s="57" t="inlineStr">
        <is>
          <t>Danny Jatania, JamJar Investments, Janus Henderson Group, Jon Wright, Julian Barnett, JXC Ventures, Michel de Carvalho, Nigel Wray, Numis Securities, Richard Goldstein, Richard Reed, Rishi Passi, SPARKVentures, The Garage Soho, Thomas Teichman</t>
        </is>
      </c>
      <c r="AX405" s="58" t="n">
        <v>15.0</v>
      </c>
      <c r="AY405" s="59" t="inlineStr">
        <is>
          <t/>
        </is>
      </c>
      <c r="AZ405" s="60" t="inlineStr">
        <is>
          <t/>
        </is>
      </c>
      <c r="BA405" s="61" t="inlineStr">
        <is>
          <t/>
        </is>
      </c>
      <c r="BB405" s="62" t="inlineStr">
        <is>
          <t>JamJar Investments (www.jamjarinvestments.com), Janus Henderson Group (en-us.janushenderson.com), JXC Ventures (www.jxcventures.com), Numis Securities (www.numiscorp.com), SPARKVentures (www.sparkventuremanagement.com), The Garage Soho (www.thegaragesoho.london)</t>
        </is>
      </c>
      <c r="BC405" s="63" t="inlineStr">
        <is>
          <t/>
        </is>
      </c>
      <c r="BD405" s="64" t="inlineStr">
        <is>
          <t/>
        </is>
      </c>
      <c r="BE405" s="65" t="inlineStr">
        <is>
          <t/>
        </is>
      </c>
      <c r="BF405" s="66" t="inlineStr">
        <is>
          <t/>
        </is>
      </c>
      <c r="BG405" s="67" t="n">
        <v>42656.0</v>
      </c>
      <c r="BH405" s="68" t="n">
        <v>9.53</v>
      </c>
      <c r="BI405" s="69" t="inlineStr">
        <is>
          <t>Actual</t>
        </is>
      </c>
      <c r="BJ405" s="70" t="n">
        <v>20.38</v>
      </c>
      <c r="BK405" s="71" t="inlineStr">
        <is>
          <t>Actual</t>
        </is>
      </c>
      <c r="BL405" s="72" t="inlineStr">
        <is>
          <t>Early Stage VC</t>
        </is>
      </c>
      <c r="BM405" s="73" t="inlineStr">
        <is>
          <t>Series A</t>
        </is>
      </c>
      <c r="BN405" s="74" t="inlineStr">
        <is>
          <t/>
        </is>
      </c>
      <c r="BO405" s="75" t="inlineStr">
        <is>
          <t>Venture Capital</t>
        </is>
      </c>
      <c r="BP405" s="76" t="inlineStr">
        <is>
          <t>Convertible Debt</t>
        </is>
      </c>
      <c r="BQ405" s="77" t="inlineStr">
        <is>
          <t/>
        </is>
      </c>
      <c r="BR405" s="78" t="inlineStr">
        <is>
          <t/>
        </is>
      </c>
      <c r="BS405" s="79" t="inlineStr">
        <is>
          <t>Completed</t>
        </is>
      </c>
      <c r="BT405" s="80" t="n">
        <v>42779.0</v>
      </c>
      <c r="BU405" s="81" t="n">
        <v>10.55</v>
      </c>
      <c r="BV405" s="82" t="inlineStr">
        <is>
          <t>Actual</t>
        </is>
      </c>
      <c r="BW405" s="83" t="n">
        <v>46.56</v>
      </c>
      <c r="BX405" s="84" t="inlineStr">
        <is>
          <t>Actual</t>
        </is>
      </c>
      <c r="BY405" s="85" t="inlineStr">
        <is>
          <t>Early Stage VC</t>
        </is>
      </c>
      <c r="BZ405" s="86" t="inlineStr">
        <is>
          <t/>
        </is>
      </c>
      <c r="CA405" s="87" t="inlineStr">
        <is>
          <t/>
        </is>
      </c>
      <c r="CB405" s="88" t="inlineStr">
        <is>
          <t>Venture Capital</t>
        </is>
      </c>
      <c r="CC405" s="89" t="inlineStr">
        <is>
          <t>Convertible Debt</t>
        </is>
      </c>
      <c r="CD405" s="90" t="inlineStr">
        <is>
          <t/>
        </is>
      </c>
      <c r="CE405" s="91" t="inlineStr">
        <is>
          <t/>
        </is>
      </c>
      <c r="CF405" s="92" t="inlineStr">
        <is>
          <t>Completed</t>
        </is>
      </c>
      <c r="CG405" s="93" t="inlineStr">
        <is>
          <t>1,36%</t>
        </is>
      </c>
      <c r="CH405" s="94" t="inlineStr">
        <is>
          <t>91</t>
        </is>
      </c>
      <c r="CI405" s="95" t="inlineStr">
        <is>
          <t>0,03%</t>
        </is>
      </c>
      <c r="CJ405" s="96" t="inlineStr">
        <is>
          <t>2,15%</t>
        </is>
      </c>
      <c r="CK405" s="97" t="inlineStr">
        <is>
          <t>0,91%</t>
        </is>
      </c>
      <c r="CL405" s="98" t="inlineStr">
        <is>
          <t>86</t>
        </is>
      </c>
      <c r="CM405" s="99" t="inlineStr">
        <is>
          <t>1,82%</t>
        </is>
      </c>
      <c r="CN405" s="100" t="inlineStr">
        <is>
          <t>98</t>
        </is>
      </c>
      <c r="CO405" s="101" t="inlineStr">
        <is>
          <t>1,82%</t>
        </is>
      </c>
      <c r="CP405" s="102" t="inlineStr">
        <is>
          <t>88</t>
        </is>
      </c>
      <c r="CQ405" s="103" t="inlineStr">
        <is>
          <t>0,00%</t>
        </is>
      </c>
      <c r="CR405" s="104" t="inlineStr">
        <is>
          <t>13</t>
        </is>
      </c>
      <c r="CS405" s="105" t="inlineStr">
        <is>
          <t>2,96%</t>
        </is>
      </c>
      <c r="CT405" s="106" t="inlineStr">
        <is>
          <t>99</t>
        </is>
      </c>
      <c r="CU405" s="107" t="inlineStr">
        <is>
          <t>0,67%</t>
        </is>
      </c>
      <c r="CV405" s="108" t="inlineStr">
        <is>
          <t>94</t>
        </is>
      </c>
      <c r="CW405" s="109" t="inlineStr">
        <is>
          <t>71,45x</t>
        </is>
      </c>
      <c r="CX405" s="110" t="inlineStr">
        <is>
          <t>97</t>
        </is>
      </c>
      <c r="CY405" s="111" t="inlineStr">
        <is>
          <t>1,93x</t>
        </is>
      </c>
      <c r="CZ405" s="112" t="inlineStr">
        <is>
          <t>2,78%</t>
        </is>
      </c>
      <c r="DA405" s="113" t="inlineStr">
        <is>
          <t>50,18x</t>
        </is>
      </c>
      <c r="DB405" s="114" t="inlineStr">
        <is>
          <t>96</t>
        </is>
      </c>
      <c r="DC405" s="115" t="inlineStr">
        <is>
          <t>92,72x</t>
        </is>
      </c>
      <c r="DD405" s="116" t="inlineStr">
        <is>
          <t>97</t>
        </is>
      </c>
      <c r="DE405" s="117" t="inlineStr">
        <is>
          <t>99,34x</t>
        </is>
      </c>
      <c r="DF405" s="118" t="inlineStr">
        <is>
          <t>96</t>
        </is>
      </c>
      <c r="DG405" s="119" t="inlineStr">
        <is>
          <t>1,03x</t>
        </is>
      </c>
      <c r="DH405" s="120" t="inlineStr">
        <is>
          <t>51</t>
        </is>
      </c>
      <c r="DI405" s="121" t="inlineStr">
        <is>
          <t>163,28x</t>
        </is>
      </c>
      <c r="DJ405" s="122" t="inlineStr">
        <is>
          <t>97</t>
        </is>
      </c>
      <c r="DK405" s="123" t="inlineStr">
        <is>
          <t>22,15x</t>
        </is>
      </c>
      <c r="DL405" s="124" t="inlineStr">
        <is>
          <t>92</t>
        </is>
      </c>
      <c r="DM405" s="125" t="inlineStr">
        <is>
          <t>60.787</t>
        </is>
      </c>
      <c r="DN405" s="126" t="inlineStr">
        <is>
          <t>923</t>
        </is>
      </c>
      <c r="DO405" s="127" t="inlineStr">
        <is>
          <t>1,54%</t>
        </is>
      </c>
      <c r="DP405" s="128" t="inlineStr">
        <is>
          <t>129.223</t>
        </is>
      </c>
      <c r="DQ405" s="129" t="inlineStr">
        <is>
          <t>3.514</t>
        </is>
      </c>
      <c r="DR405" s="130" t="inlineStr">
        <is>
          <t>2,80%</t>
        </is>
      </c>
      <c r="DS405" s="131" t="inlineStr">
        <is>
          <t>37</t>
        </is>
      </c>
      <c r="DT405" s="132" t="inlineStr">
        <is>
          <t>0</t>
        </is>
      </c>
      <c r="DU405" s="133" t="inlineStr">
        <is>
          <t>0,00%</t>
        </is>
      </c>
      <c r="DV405" s="134" t="inlineStr">
        <is>
          <t>7.596</t>
        </is>
      </c>
      <c r="DW405" s="135" t="inlineStr">
        <is>
          <t>9</t>
        </is>
      </c>
      <c r="DX405" s="136" t="inlineStr">
        <is>
          <t>0,12%</t>
        </is>
      </c>
      <c r="DY405" s="137" t="inlineStr">
        <is>
          <t>PitchBook Research</t>
        </is>
      </c>
      <c r="DZ405" s="785">
        <f>HYPERLINK("https://my.pitchbook.com?c=154890-10", "View company online")</f>
      </c>
    </row>
    <row r="406">
      <c r="A406" s="139" t="inlineStr">
        <is>
          <t>59226-04</t>
        </is>
      </c>
      <c r="B406" s="140" t="inlineStr">
        <is>
          <t>simplesurance</t>
        </is>
      </c>
      <c r="C406" s="141" t="inlineStr">
        <is>
          <t/>
        </is>
      </c>
      <c r="D406" s="142" t="inlineStr">
        <is>
          <t>SCHUTZKLICK</t>
        </is>
      </c>
      <c r="E406" s="143" t="inlineStr">
        <is>
          <t>59226-04</t>
        </is>
      </c>
      <c r="F406" s="144" t="inlineStr">
        <is>
          <t>Operator of an e-commerce platform for product insurances designed to offer innovative cross-selling products for e-commerce. The company's simplesurance platform allows cross-selling of product insurances directly at the point of sale in e-commerce, enabling online shops to offer insurance at the checkout for products people are buying.</t>
        </is>
      </c>
      <c r="G406" s="145" t="inlineStr">
        <is>
          <t>Consumer Products and Services (B2C)</t>
        </is>
      </c>
      <c r="H406" s="146" t="inlineStr">
        <is>
          <t>Retail</t>
        </is>
      </c>
      <c r="I406" s="147" t="inlineStr">
        <is>
          <t>Internet Retail</t>
        </is>
      </c>
      <c r="J406" s="148" t="inlineStr">
        <is>
          <t>Internet Retail*; Other Insurance; Vertical Market Software</t>
        </is>
      </c>
      <c r="K406" s="149" t="inlineStr">
        <is>
          <t>E-Commerce</t>
        </is>
      </c>
      <c r="L406" s="150" t="inlineStr">
        <is>
          <t>Venture Capital-Backed</t>
        </is>
      </c>
      <c r="M406" s="151" t="n">
        <v>27.03</v>
      </c>
      <c r="N406" s="152" t="inlineStr">
        <is>
          <t>Generating Revenue</t>
        </is>
      </c>
      <c r="O406" s="153" t="inlineStr">
        <is>
          <t>Privately Held (backing)</t>
        </is>
      </c>
      <c r="P406" s="154" t="inlineStr">
        <is>
          <t>Venture Capital</t>
        </is>
      </c>
      <c r="Q406" s="155" t="inlineStr">
        <is>
          <t>www.simplesurance-group.com</t>
        </is>
      </c>
      <c r="R406" s="156" t="n">
        <v>140.0</v>
      </c>
      <c r="S406" s="157" t="inlineStr">
        <is>
          <t/>
        </is>
      </c>
      <c r="T406" s="158" t="inlineStr">
        <is>
          <t/>
        </is>
      </c>
      <c r="U406" s="159" t="n">
        <v>2012.0</v>
      </c>
      <c r="V406" s="160" t="inlineStr">
        <is>
          <t/>
        </is>
      </c>
      <c r="W406" s="161" t="inlineStr">
        <is>
          <t/>
        </is>
      </c>
      <c r="X406" s="162" t="inlineStr">
        <is>
          <t/>
        </is>
      </c>
      <c r="Y406" s="163" t="inlineStr">
        <is>
          <t/>
        </is>
      </c>
      <c r="Z406" s="164" t="inlineStr">
        <is>
          <t/>
        </is>
      </c>
      <c r="AA406" s="165" t="inlineStr">
        <is>
          <t/>
        </is>
      </c>
      <c r="AB406" s="166" t="inlineStr">
        <is>
          <t/>
        </is>
      </c>
      <c r="AC406" s="167" t="inlineStr">
        <is>
          <t/>
        </is>
      </c>
      <c r="AD406" s="168" t="inlineStr">
        <is>
          <t/>
        </is>
      </c>
      <c r="AE406" s="169" t="inlineStr">
        <is>
          <t>55018-00P</t>
        </is>
      </c>
      <c r="AF406" s="170" t="inlineStr">
        <is>
          <t>Joachim Bonin</t>
        </is>
      </c>
      <c r="AG406" s="171" t="inlineStr">
        <is>
          <t>Co-Founder, Chief Financial Officer &amp; Managing Director</t>
        </is>
      </c>
      <c r="AH406" s="172" t="inlineStr">
        <is>
          <t>joachim@schutzklick.de</t>
        </is>
      </c>
      <c r="AI406" s="173" t="inlineStr">
        <is>
          <t>+49 (0)80 0724 8895</t>
        </is>
      </c>
      <c r="AJ406" s="174" t="inlineStr">
        <is>
          <t>Berlin, Germany</t>
        </is>
      </c>
      <c r="AK406" s="175" t="inlineStr">
        <is>
          <t>Am Karlsbad 16</t>
        </is>
      </c>
      <c r="AL406" s="176" t="inlineStr">
        <is>
          <t/>
        </is>
      </c>
      <c r="AM406" s="177" t="inlineStr">
        <is>
          <t>Berlin</t>
        </is>
      </c>
      <c r="AN406" s="178" t="inlineStr">
        <is>
          <t/>
        </is>
      </c>
      <c r="AO406" s="179" t="inlineStr">
        <is>
          <t>10785</t>
        </is>
      </c>
      <c r="AP406" s="180" t="inlineStr">
        <is>
          <t>Germany</t>
        </is>
      </c>
      <c r="AQ406" s="181" t="inlineStr">
        <is>
          <t>+49 (0)80 0724 8895</t>
        </is>
      </c>
      <c r="AR406" s="182" t="inlineStr">
        <is>
          <t/>
        </is>
      </c>
      <c r="AS406" s="183" t="inlineStr">
        <is>
          <t>info@simplesurance-group.com</t>
        </is>
      </c>
      <c r="AT406" s="184" t="inlineStr">
        <is>
          <t>Europe</t>
        </is>
      </c>
      <c r="AU406" s="185" t="inlineStr">
        <is>
          <t>Western Europe</t>
        </is>
      </c>
      <c r="AV406" s="186" t="inlineStr">
        <is>
          <t>The company is planning to raise an undisclosed amount of venture funding as of March 16, 2017. Previously, the company raised $21 million of venture funding in a deal led by Rakuten on March 7, 2017. Allianz Ventures, Rheingau Founders and Route 66 Ventures also participated in the round. The company is being actively tracked by PitchBook.</t>
        </is>
      </c>
      <c r="AW406" s="187" t="inlineStr">
        <is>
          <t>Allianz Ventures, Born2Grow, Cavalry Ventures, Florian Schulte, German Startups Group, Gröger Management, KfW IPEX-Bank, Mountain Partners, Rakuten Capital, Rheingau Founders, Route 66 Ventures, Rudolf Gröger, Voltage Ventures</t>
        </is>
      </c>
      <c r="AX406" s="188" t="n">
        <v>13.0</v>
      </c>
      <c r="AY406" s="189" t="inlineStr">
        <is>
          <t/>
        </is>
      </c>
      <c r="AZ406" s="190" t="inlineStr">
        <is>
          <t/>
        </is>
      </c>
      <c r="BA406" s="191" t="inlineStr">
        <is>
          <t/>
        </is>
      </c>
      <c r="BB406" s="192" t="inlineStr">
        <is>
          <t>Born2Grow (www.born2grow.de), Cavalry Ventures (www.cavalry.vc), German Startups Group (www.german-startups.com), Gröger Management (www.groeger-management.de), KfW IPEX-Bank (www.kfw-ipex-bank.de), Rakuten Capital (capital.rakuten.com), Rheingau Founders (www.rheingau-founders.com), Route 66 Ventures (www.route66ventures.com), Voltage Ventures (www.voltage.vc)</t>
        </is>
      </c>
      <c r="BC406" s="193" t="inlineStr">
        <is>
          <t/>
        </is>
      </c>
      <c r="BD406" s="194" t="inlineStr">
        <is>
          <t/>
        </is>
      </c>
      <c r="BE406" s="195" t="inlineStr">
        <is>
          <t/>
        </is>
      </c>
      <c r="BF406" s="196" t="inlineStr">
        <is>
          <t>Roehrborn (Legal Advisor)</t>
        </is>
      </c>
      <c r="BG406" s="197" t="n">
        <v>41030.0</v>
      </c>
      <c r="BH406" s="198" t="inlineStr">
        <is>
          <t/>
        </is>
      </c>
      <c r="BI406" s="199" t="inlineStr">
        <is>
          <t/>
        </is>
      </c>
      <c r="BJ406" s="200" t="inlineStr">
        <is>
          <t/>
        </is>
      </c>
      <c r="BK406" s="201" t="inlineStr">
        <is>
          <t/>
        </is>
      </c>
      <c r="BL406" s="202" t="inlineStr">
        <is>
          <t>Early Stage VC</t>
        </is>
      </c>
      <c r="BM406" s="203" t="inlineStr">
        <is>
          <t/>
        </is>
      </c>
      <c r="BN406" s="204" t="inlineStr">
        <is>
          <t/>
        </is>
      </c>
      <c r="BO406" s="205" t="inlineStr">
        <is>
          <t>Venture Capital</t>
        </is>
      </c>
      <c r="BP406" s="206" t="inlineStr">
        <is>
          <t/>
        </is>
      </c>
      <c r="BQ406" s="207" t="inlineStr">
        <is>
          <t/>
        </is>
      </c>
      <c r="BR406" s="208" t="inlineStr">
        <is>
          <t/>
        </is>
      </c>
      <c r="BS406" s="209" t="inlineStr">
        <is>
          <t>Completed</t>
        </is>
      </c>
      <c r="BT406" s="210" t="inlineStr">
        <is>
          <t/>
        </is>
      </c>
      <c r="BU406" s="211" t="inlineStr">
        <is>
          <t/>
        </is>
      </c>
      <c r="BV406" s="212" t="inlineStr">
        <is>
          <t/>
        </is>
      </c>
      <c r="BW406" s="213" t="inlineStr">
        <is>
          <t/>
        </is>
      </c>
      <c r="BX406" s="214" t="inlineStr">
        <is>
          <t/>
        </is>
      </c>
      <c r="BY406" s="215" t="inlineStr">
        <is>
          <t>Early Stage VC</t>
        </is>
      </c>
      <c r="BZ406" s="216" t="inlineStr">
        <is>
          <t/>
        </is>
      </c>
      <c r="CA406" s="217" t="inlineStr">
        <is>
          <t/>
        </is>
      </c>
      <c r="CB406" s="218" t="inlineStr">
        <is>
          <t>Venture Capital</t>
        </is>
      </c>
      <c r="CC406" s="219" t="inlineStr">
        <is>
          <t/>
        </is>
      </c>
      <c r="CD406" s="220" t="inlineStr">
        <is>
          <t/>
        </is>
      </c>
      <c r="CE406" s="221" t="inlineStr">
        <is>
          <t/>
        </is>
      </c>
      <c r="CF406" s="222" t="inlineStr">
        <is>
          <t>Upcoming</t>
        </is>
      </c>
      <c r="CG406" s="223" t="inlineStr">
        <is>
          <t>-4,28%</t>
        </is>
      </c>
      <c r="CH406" s="224" t="inlineStr">
        <is>
          <t>1</t>
        </is>
      </c>
      <c r="CI406" s="225" t="inlineStr">
        <is>
          <t>-0,36%</t>
        </is>
      </c>
      <c r="CJ406" s="226" t="inlineStr">
        <is>
          <t>-9,16%</t>
        </is>
      </c>
      <c r="CK406" s="227" t="inlineStr">
        <is>
          <t>-8,59%</t>
        </is>
      </c>
      <c r="CL406" s="228" t="inlineStr">
        <is>
          <t>1</t>
        </is>
      </c>
      <c r="CM406" s="229" t="inlineStr">
        <is>
          <t>0,02%</t>
        </is>
      </c>
      <c r="CN406" s="230" t="inlineStr">
        <is>
          <t>46</t>
        </is>
      </c>
      <c r="CO406" s="231" t="inlineStr">
        <is>
          <t>-7,31%</t>
        </is>
      </c>
      <c r="CP406" s="232" t="inlineStr">
        <is>
          <t>4</t>
        </is>
      </c>
      <c r="CQ406" s="233" t="inlineStr">
        <is>
          <t>-9,86%</t>
        </is>
      </c>
      <c r="CR406" s="234" t="inlineStr">
        <is>
          <t>1</t>
        </is>
      </c>
      <c r="CS406" s="235" t="inlineStr">
        <is>
          <t>0,13%</t>
        </is>
      </c>
      <c r="CT406" s="236" t="inlineStr">
        <is>
          <t>62</t>
        </is>
      </c>
      <c r="CU406" s="237" t="inlineStr">
        <is>
          <t>-0,09%</t>
        </is>
      </c>
      <c r="CV406" s="238" t="inlineStr">
        <is>
          <t>7</t>
        </is>
      </c>
      <c r="CW406" s="239" t="inlineStr">
        <is>
          <t>3,70x</t>
        </is>
      </c>
      <c r="CX406" s="240" t="inlineStr">
        <is>
          <t>75</t>
        </is>
      </c>
      <c r="CY406" s="241" t="inlineStr">
        <is>
          <t>0,08x</t>
        </is>
      </c>
      <c r="CZ406" s="242" t="inlineStr">
        <is>
          <t>2,15%</t>
        </is>
      </c>
      <c r="DA406" s="243" t="inlineStr">
        <is>
          <t>3,75x</t>
        </is>
      </c>
      <c r="DB406" s="244" t="inlineStr">
        <is>
          <t>76</t>
        </is>
      </c>
      <c r="DC406" s="245" t="inlineStr">
        <is>
          <t>3,65x</t>
        </is>
      </c>
      <c r="DD406" s="246" t="inlineStr">
        <is>
          <t>71</t>
        </is>
      </c>
      <c r="DE406" s="247" t="inlineStr">
        <is>
          <t>2,74x</t>
        </is>
      </c>
      <c r="DF406" s="248" t="inlineStr">
        <is>
          <t>68</t>
        </is>
      </c>
      <c r="DG406" s="249" t="inlineStr">
        <is>
          <t>4,75x</t>
        </is>
      </c>
      <c r="DH406" s="250" t="inlineStr">
        <is>
          <t>78</t>
        </is>
      </c>
      <c r="DI406" s="251" t="inlineStr">
        <is>
          <t>6,89x</t>
        </is>
      </c>
      <c r="DJ406" s="252" t="inlineStr">
        <is>
          <t>78</t>
        </is>
      </c>
      <c r="DK406" s="253" t="inlineStr">
        <is>
          <t>0,41x</t>
        </is>
      </c>
      <c r="DL406" s="254" t="inlineStr">
        <is>
          <t>35</t>
        </is>
      </c>
      <c r="DM406" s="255" t="inlineStr">
        <is>
          <t>1.739</t>
        </is>
      </c>
      <c r="DN406" s="256" t="inlineStr">
        <is>
          <t>-153</t>
        </is>
      </c>
      <c r="DO406" s="257" t="inlineStr">
        <is>
          <t>-8,09%</t>
        </is>
      </c>
      <c r="DP406" s="258" t="inlineStr">
        <is>
          <t>5.500</t>
        </is>
      </c>
      <c r="DQ406" s="259" t="inlineStr">
        <is>
          <t>1</t>
        </is>
      </c>
      <c r="DR406" s="260" t="inlineStr">
        <is>
          <t>0,02%</t>
        </is>
      </c>
      <c r="DS406" s="261" t="inlineStr">
        <is>
          <t>170</t>
        </is>
      </c>
      <c r="DT406" s="262" t="inlineStr">
        <is>
          <t>-18</t>
        </is>
      </c>
      <c r="DU406" s="263" t="inlineStr">
        <is>
          <t>-9,57%</t>
        </is>
      </c>
      <c r="DV406" s="264" t="inlineStr">
        <is>
          <t>141</t>
        </is>
      </c>
      <c r="DW406" s="265" t="inlineStr">
        <is>
          <t>0</t>
        </is>
      </c>
      <c r="DX406" s="266" t="inlineStr">
        <is>
          <t>0,00%</t>
        </is>
      </c>
      <c r="DY406" s="267" t="inlineStr">
        <is>
          <t>PitchBook Research</t>
        </is>
      </c>
      <c r="DZ406" s="786">
        <f>HYPERLINK("https://my.pitchbook.com?c=59226-04", "View company online")</f>
      </c>
    </row>
    <row r="407">
      <c r="A407" s="9" t="inlineStr">
        <is>
          <t>94847-68</t>
        </is>
      </c>
      <c r="B407" s="10" t="inlineStr">
        <is>
          <t>Sirin Mobile Technologies</t>
        </is>
      </c>
      <c r="C407" s="11" t="inlineStr">
        <is>
          <t/>
        </is>
      </c>
      <c r="D407" s="12" t="inlineStr">
        <is>
          <t/>
        </is>
      </c>
      <c r="E407" s="13" t="inlineStr">
        <is>
          <t>94847-68</t>
        </is>
      </c>
      <c r="F407" s="14" t="inlineStr">
        <is>
          <t>Manufacturer of smartphones. The company engages in designing and developing mobile phones with various features and hardware technologies.</t>
        </is>
      </c>
      <c r="G407" s="15" t="inlineStr">
        <is>
          <t>Consumer Products and Services (B2C)</t>
        </is>
      </c>
      <c r="H407" s="16" t="inlineStr">
        <is>
          <t>Consumer Durables</t>
        </is>
      </c>
      <c r="I407" s="17" t="inlineStr">
        <is>
          <t>Electronics (B2C)</t>
        </is>
      </c>
      <c r="J407" s="18" t="inlineStr">
        <is>
          <t>Electronics (B2C)*</t>
        </is>
      </c>
      <c r="K407" s="19" t="inlineStr">
        <is>
          <t>Manufacturing</t>
        </is>
      </c>
      <c r="L407" s="20" t="inlineStr">
        <is>
          <t>Venture Capital-Backed</t>
        </is>
      </c>
      <c r="M407" s="21" t="n">
        <v>63.52</v>
      </c>
      <c r="N407" s="22" t="inlineStr">
        <is>
          <t>Startup</t>
        </is>
      </c>
      <c r="O407" s="23" t="inlineStr">
        <is>
          <t>Privately Held (backing)</t>
        </is>
      </c>
      <c r="P407" s="24" t="inlineStr">
        <is>
          <t>Venture Capital</t>
        </is>
      </c>
      <c r="Q407" s="25" t="inlineStr">
        <is>
          <t>www.sirinlabs.com</t>
        </is>
      </c>
      <c r="R407" s="26" t="n">
        <v>55.0</v>
      </c>
      <c r="S407" s="27" t="inlineStr">
        <is>
          <t/>
        </is>
      </c>
      <c r="T407" s="28" t="inlineStr">
        <is>
          <t/>
        </is>
      </c>
      <c r="U407" s="29" t="n">
        <v>2013.0</v>
      </c>
      <c r="V407" s="30" t="inlineStr">
        <is>
          <t/>
        </is>
      </c>
      <c r="W407" s="31" t="inlineStr">
        <is>
          <t/>
        </is>
      </c>
      <c r="X407" s="32" t="inlineStr">
        <is>
          <t/>
        </is>
      </c>
      <c r="Y407" s="33" t="inlineStr">
        <is>
          <t/>
        </is>
      </c>
      <c r="Z407" s="34" t="inlineStr">
        <is>
          <t/>
        </is>
      </c>
      <c r="AA407" s="35" t="inlineStr">
        <is>
          <t/>
        </is>
      </c>
      <c r="AB407" s="36" t="inlineStr">
        <is>
          <t/>
        </is>
      </c>
      <c r="AC407" s="37" t="inlineStr">
        <is>
          <t/>
        </is>
      </c>
      <c r="AD407" s="38" t="inlineStr">
        <is>
          <t/>
        </is>
      </c>
      <c r="AE407" s="39" t="inlineStr">
        <is>
          <t>92886-13P</t>
        </is>
      </c>
      <c r="AF407" s="40" t="inlineStr">
        <is>
          <t>Tal Cohen</t>
        </is>
      </c>
      <c r="AG407" s="41" t="inlineStr">
        <is>
          <t>Chief Executive Officer &amp; Co-Founder</t>
        </is>
      </c>
      <c r="AH407" s="42" t="inlineStr">
        <is>
          <t>tal@sirinmobile.com</t>
        </is>
      </c>
      <c r="AI407" s="43" t="inlineStr">
        <is>
          <t/>
        </is>
      </c>
      <c r="AJ407" s="44" t="inlineStr">
        <is>
          <t>London, United Kingdom</t>
        </is>
      </c>
      <c r="AK407" s="45" t="inlineStr">
        <is>
          <t>11 Burton Street</t>
        </is>
      </c>
      <c r="AL407" s="46" t="inlineStr">
        <is>
          <t>Mayfair</t>
        </is>
      </c>
      <c r="AM407" s="47" t="inlineStr">
        <is>
          <t>London</t>
        </is>
      </c>
      <c r="AN407" s="48" t="inlineStr">
        <is>
          <t>England</t>
        </is>
      </c>
      <c r="AO407" s="49" t="inlineStr">
        <is>
          <t>W1J 6PY</t>
        </is>
      </c>
      <c r="AP407" s="50" t="inlineStr">
        <is>
          <t>United Kingdom</t>
        </is>
      </c>
      <c r="AQ407" s="51" t="inlineStr">
        <is>
          <t/>
        </is>
      </c>
      <c r="AR407" s="52" t="inlineStr">
        <is>
          <t/>
        </is>
      </c>
      <c r="AS407" s="53" t="inlineStr">
        <is>
          <t/>
        </is>
      </c>
      <c r="AT407" s="54" t="inlineStr">
        <is>
          <t>Europe</t>
        </is>
      </c>
      <c r="AU407" s="55" t="inlineStr">
        <is>
          <t>Western Europe</t>
        </is>
      </c>
      <c r="AV407" s="56" t="inlineStr">
        <is>
          <t>The company raised $72 million of seed funding from Singulariteam and Renren on April 25, 2016. Kenges Rakishev and Moshe Hogeg, the founders and Tal Cohen, the Chief Executive Officer of the company also participated in the round. The funds will be used for launching new smartphone.</t>
        </is>
      </c>
      <c r="AW407" s="57" t="inlineStr">
        <is>
          <t>Kenges Rakishev, Renren, Singulariteam</t>
        </is>
      </c>
      <c r="AX407" s="58" t="n">
        <v>3.0</v>
      </c>
      <c r="AY407" s="59" t="inlineStr">
        <is>
          <t/>
        </is>
      </c>
      <c r="AZ407" s="60" t="inlineStr">
        <is>
          <t/>
        </is>
      </c>
      <c r="BA407" s="61" t="inlineStr">
        <is>
          <t/>
        </is>
      </c>
      <c r="BB407" s="62" t="inlineStr">
        <is>
          <t>Renren (www.renren-inc.com), Singulariteam (www.singulariteam.com)</t>
        </is>
      </c>
      <c r="BC407" s="63" t="inlineStr">
        <is>
          <t/>
        </is>
      </c>
      <c r="BD407" s="64" t="inlineStr">
        <is>
          <t/>
        </is>
      </c>
      <c r="BE407" s="65" t="inlineStr">
        <is>
          <t/>
        </is>
      </c>
      <c r="BF407" s="66" t="inlineStr">
        <is>
          <t/>
        </is>
      </c>
      <c r="BG407" s="67" t="n">
        <v>42485.0</v>
      </c>
      <c r="BH407" s="68" t="n">
        <v>63.52</v>
      </c>
      <c r="BI407" s="69" t="inlineStr">
        <is>
          <t>Actual</t>
        </is>
      </c>
      <c r="BJ407" s="70" t="inlineStr">
        <is>
          <t/>
        </is>
      </c>
      <c r="BK407" s="71" t="inlineStr">
        <is>
          <t/>
        </is>
      </c>
      <c r="BL407" s="72" t="inlineStr">
        <is>
          <t>Seed Round</t>
        </is>
      </c>
      <c r="BM407" s="73" t="inlineStr">
        <is>
          <t>Seed</t>
        </is>
      </c>
      <c r="BN407" s="74" t="inlineStr">
        <is>
          <t/>
        </is>
      </c>
      <c r="BO407" s="75" t="inlineStr">
        <is>
          <t>Venture Capital</t>
        </is>
      </c>
      <c r="BP407" s="76" t="inlineStr">
        <is>
          <t/>
        </is>
      </c>
      <c r="BQ407" s="77" t="inlineStr">
        <is>
          <t/>
        </is>
      </c>
      <c r="BR407" s="78" t="inlineStr">
        <is>
          <t/>
        </is>
      </c>
      <c r="BS407" s="79" t="inlineStr">
        <is>
          <t>Completed</t>
        </is>
      </c>
      <c r="BT407" s="80" t="n">
        <v>42485.0</v>
      </c>
      <c r="BU407" s="81" t="n">
        <v>63.52</v>
      </c>
      <c r="BV407" s="82" t="inlineStr">
        <is>
          <t>Actual</t>
        </is>
      </c>
      <c r="BW407" s="83" t="inlineStr">
        <is>
          <t/>
        </is>
      </c>
      <c r="BX407" s="84" t="inlineStr">
        <is>
          <t/>
        </is>
      </c>
      <c r="BY407" s="85" t="inlineStr">
        <is>
          <t>Seed Round</t>
        </is>
      </c>
      <c r="BZ407" s="86" t="inlineStr">
        <is>
          <t>Seed</t>
        </is>
      </c>
      <c r="CA407" s="87" t="inlineStr">
        <is>
          <t/>
        </is>
      </c>
      <c r="CB407" s="88" t="inlineStr">
        <is>
          <t>Venture Capital</t>
        </is>
      </c>
      <c r="CC407" s="89" t="inlineStr">
        <is>
          <t/>
        </is>
      </c>
      <c r="CD407" s="90" t="inlineStr">
        <is>
          <t/>
        </is>
      </c>
      <c r="CE407" s="91" t="inlineStr">
        <is>
          <t/>
        </is>
      </c>
      <c r="CF407" s="92" t="inlineStr">
        <is>
          <t>Completed</t>
        </is>
      </c>
      <c r="CG407" s="93" t="inlineStr">
        <is>
          <t>0,00%</t>
        </is>
      </c>
      <c r="CH407" s="94" t="inlineStr">
        <is>
          <t>23</t>
        </is>
      </c>
      <c r="CI407" s="95" t="inlineStr">
        <is>
          <t>0,00%</t>
        </is>
      </c>
      <c r="CJ407" s="96" t="inlineStr">
        <is>
          <t>0,00%</t>
        </is>
      </c>
      <c r="CK407" s="97" t="inlineStr">
        <is>
          <t>0,00%</t>
        </is>
      </c>
      <c r="CL407" s="98" t="inlineStr">
        <is>
          <t>18</t>
        </is>
      </c>
      <c r="CM407" s="99" t="inlineStr">
        <is>
          <t/>
        </is>
      </c>
      <c r="CN407" s="100" t="inlineStr">
        <is>
          <t/>
        </is>
      </c>
      <c r="CO407" s="101" t="inlineStr">
        <is>
          <t/>
        </is>
      </c>
      <c r="CP407" s="102" t="inlineStr">
        <is>
          <t/>
        </is>
      </c>
      <c r="CQ407" s="103" t="inlineStr">
        <is>
          <t>0,00%</t>
        </is>
      </c>
      <c r="CR407" s="104" t="inlineStr">
        <is>
          <t>13</t>
        </is>
      </c>
      <c r="CS407" s="105" t="inlineStr">
        <is>
          <t/>
        </is>
      </c>
      <c r="CT407" s="106" t="inlineStr">
        <is>
          <t/>
        </is>
      </c>
      <c r="CU407" s="107" t="inlineStr">
        <is>
          <t/>
        </is>
      </c>
      <c r="CV407" s="108" t="inlineStr">
        <is>
          <t/>
        </is>
      </c>
      <c r="CW407" s="109" t="inlineStr">
        <is>
          <t>0,06x</t>
        </is>
      </c>
      <c r="CX407" s="110" t="inlineStr">
        <is>
          <t>5</t>
        </is>
      </c>
      <c r="CY407" s="111" t="inlineStr">
        <is>
          <t>0,00x</t>
        </is>
      </c>
      <c r="CZ407" s="112" t="inlineStr">
        <is>
          <t>2,78%</t>
        </is>
      </c>
      <c r="DA407" s="113" t="inlineStr">
        <is>
          <t>0,06x</t>
        </is>
      </c>
      <c r="DB407" s="114" t="inlineStr">
        <is>
          <t>5</t>
        </is>
      </c>
      <c r="DC407" s="115" t="inlineStr">
        <is>
          <t/>
        </is>
      </c>
      <c r="DD407" s="116" t="inlineStr">
        <is>
          <t/>
        </is>
      </c>
      <c r="DE407" s="117" t="inlineStr">
        <is>
          <t/>
        </is>
      </c>
      <c r="DF407" s="118" t="inlineStr">
        <is>
          <t/>
        </is>
      </c>
      <c r="DG407" s="119" t="inlineStr">
        <is>
          <t>0,06x</t>
        </is>
      </c>
      <c r="DH407" s="120" t="inlineStr">
        <is>
          <t>5</t>
        </is>
      </c>
      <c r="DI407" s="121" t="inlineStr">
        <is>
          <t/>
        </is>
      </c>
      <c r="DJ407" s="122" t="inlineStr">
        <is>
          <t/>
        </is>
      </c>
      <c r="DK407" s="123" t="inlineStr">
        <is>
          <t/>
        </is>
      </c>
      <c r="DL407" s="124" t="inlineStr">
        <is>
          <t/>
        </is>
      </c>
      <c r="DM407" s="125" t="inlineStr">
        <is>
          <t/>
        </is>
      </c>
      <c r="DN407" s="126" t="inlineStr">
        <is>
          <t/>
        </is>
      </c>
      <c r="DO407" s="127" t="inlineStr">
        <is>
          <t/>
        </is>
      </c>
      <c r="DP407" s="128" t="inlineStr">
        <is>
          <t/>
        </is>
      </c>
      <c r="DQ407" s="129" t="inlineStr">
        <is>
          <t/>
        </is>
      </c>
      <c r="DR407" s="130" t="inlineStr">
        <is>
          <t/>
        </is>
      </c>
      <c r="DS407" s="131" t="inlineStr">
        <is>
          <t>2</t>
        </is>
      </c>
      <c r="DT407" s="132" t="inlineStr">
        <is>
          <t>0</t>
        </is>
      </c>
      <c r="DU407" s="133" t="inlineStr">
        <is>
          <t>0,00%</t>
        </is>
      </c>
      <c r="DV407" s="134" t="inlineStr">
        <is>
          <t/>
        </is>
      </c>
      <c r="DW407" s="135" t="inlineStr">
        <is>
          <t/>
        </is>
      </c>
      <c r="DX407" s="136" t="inlineStr">
        <is>
          <t/>
        </is>
      </c>
      <c r="DY407" s="137" t="inlineStr">
        <is>
          <t>PitchBook Research</t>
        </is>
      </c>
      <c r="DZ407" s="785">
        <f>HYPERLINK("https://my.pitchbook.com?c=94847-68", "View company online")</f>
      </c>
    </row>
    <row r="408">
      <c r="A408" s="139" t="inlineStr">
        <is>
          <t>102986-83</t>
        </is>
      </c>
      <c r="B408" s="140" t="inlineStr">
        <is>
          <t>Skioo</t>
        </is>
      </c>
      <c r="C408" s="141" t="inlineStr">
        <is>
          <t/>
        </is>
      </c>
      <c r="D408" s="142" t="inlineStr">
        <is>
          <t/>
        </is>
      </c>
      <c r="E408" s="143" t="inlineStr">
        <is>
          <t>102986-83</t>
        </is>
      </c>
      <c r="F408" s="144" t="inlineStr">
        <is>
          <t>Provider of a ski-lift ticketing platform. The company offers a unified ski-lift ticketing platform which is synchronized with systems of ski-resorts, ski-lift owners and other on-line accommodation booking platforms.</t>
        </is>
      </c>
      <c r="G408" s="145" t="inlineStr">
        <is>
          <t>Information Technology</t>
        </is>
      </c>
      <c r="H408" s="146" t="inlineStr">
        <is>
          <t>Software</t>
        </is>
      </c>
      <c r="I408" s="147" t="inlineStr">
        <is>
          <t>Social/Platform Software</t>
        </is>
      </c>
      <c r="J408" s="148" t="inlineStr">
        <is>
          <t>Social/Platform Software*; Application Software</t>
        </is>
      </c>
      <c r="K408" s="149" t="inlineStr">
        <is>
          <t/>
        </is>
      </c>
      <c r="L408" s="150" t="inlineStr">
        <is>
          <t>Venture Capital-Backed</t>
        </is>
      </c>
      <c r="M408" s="151" t="n">
        <v>7.83</v>
      </c>
      <c r="N408" s="152" t="inlineStr">
        <is>
          <t>Startup</t>
        </is>
      </c>
      <c r="O408" s="153" t="inlineStr">
        <is>
          <t>Privately Held (backing)</t>
        </is>
      </c>
      <c r="P408" s="154" t="inlineStr">
        <is>
          <t>Venture Capital</t>
        </is>
      </c>
      <c r="Q408" s="155" t="inlineStr">
        <is>
          <t>www.skioo.ch</t>
        </is>
      </c>
      <c r="R408" s="156" t="n">
        <v>12.0</v>
      </c>
      <c r="S408" s="157" t="inlineStr">
        <is>
          <t/>
        </is>
      </c>
      <c r="T408" s="158" t="inlineStr">
        <is>
          <t/>
        </is>
      </c>
      <c r="U408" s="159" t="n">
        <v>2012.0</v>
      </c>
      <c r="V408" s="160" t="inlineStr">
        <is>
          <t/>
        </is>
      </c>
      <c r="W408" s="161" t="inlineStr">
        <is>
          <t/>
        </is>
      </c>
      <c r="X408" s="162" t="inlineStr">
        <is>
          <t/>
        </is>
      </c>
      <c r="Y408" s="163" t="inlineStr">
        <is>
          <t/>
        </is>
      </c>
      <c r="Z408" s="164" t="inlineStr">
        <is>
          <t/>
        </is>
      </c>
      <c r="AA408" s="165" t="inlineStr">
        <is>
          <t/>
        </is>
      </c>
      <c r="AB408" s="166" t="inlineStr">
        <is>
          <t/>
        </is>
      </c>
      <c r="AC408" s="167" t="inlineStr">
        <is>
          <t/>
        </is>
      </c>
      <c r="AD408" s="168" t="inlineStr">
        <is>
          <t/>
        </is>
      </c>
      <c r="AE408" s="169" t="inlineStr">
        <is>
          <t>110117-89P</t>
        </is>
      </c>
      <c r="AF408" s="170" t="inlineStr">
        <is>
          <t>Pavel Volichenko</t>
        </is>
      </c>
      <c r="AG408" s="171" t="inlineStr">
        <is>
          <t>Chief Financial Officer/IR</t>
        </is>
      </c>
      <c r="AH408" s="172" t="inlineStr">
        <is>
          <t>pavel@skiioo.com</t>
        </is>
      </c>
      <c r="AI408" s="173" t="inlineStr">
        <is>
          <t>+41 (0)21 533 5899</t>
        </is>
      </c>
      <c r="AJ408" s="174" t="inlineStr">
        <is>
          <t>Lausanne, Switzerland</t>
        </is>
      </c>
      <c r="AK408" s="175" t="inlineStr">
        <is>
          <t>Rue Etraz 4</t>
        </is>
      </c>
      <c r="AL408" s="176" t="inlineStr">
        <is>
          <t/>
        </is>
      </c>
      <c r="AM408" s="177" t="inlineStr">
        <is>
          <t>Lausanne</t>
        </is>
      </c>
      <c r="AN408" s="178" t="inlineStr">
        <is>
          <t/>
        </is>
      </c>
      <c r="AO408" s="179" t="inlineStr">
        <is>
          <t>1003</t>
        </is>
      </c>
      <c r="AP408" s="180" t="inlineStr">
        <is>
          <t>Switzerland</t>
        </is>
      </c>
      <c r="AQ408" s="181" t="inlineStr">
        <is>
          <t>+41 (0)21 533 5899</t>
        </is>
      </c>
      <c r="AR408" s="182" t="inlineStr">
        <is>
          <t/>
        </is>
      </c>
      <c r="AS408" s="183" t="inlineStr">
        <is>
          <t>info@skiioo.com</t>
        </is>
      </c>
      <c r="AT408" s="184" t="inlineStr">
        <is>
          <t>Europe</t>
        </is>
      </c>
      <c r="AU408" s="185" t="inlineStr">
        <is>
          <t>Western Europe</t>
        </is>
      </c>
      <c r="AV408" s="186" t="inlineStr">
        <is>
          <t>The company raised CHF 6 million of venture funding from Investinor and Aksel Lund Svindal on June 29, 2016. The funding will be used to expand its reach in Switzerland, Austria, France and Italy and grow its IT and customer care team. Previously, the company raised $1.5 million of angel funding from undisclosed investors on September 22, 2015.</t>
        </is>
      </c>
      <c r="AW408" s="187" t="inlineStr">
        <is>
          <t>Aksel Svindal, Debiopharm Investment, Investinor, Norselab</t>
        </is>
      </c>
      <c r="AX408" s="188" t="n">
        <v>4.0</v>
      </c>
      <c r="AY408" s="189" t="inlineStr">
        <is>
          <t/>
        </is>
      </c>
      <c r="AZ408" s="190" t="inlineStr">
        <is>
          <t>Pavel Volichenko</t>
        </is>
      </c>
      <c r="BA408" s="191" t="inlineStr">
        <is>
          <t/>
        </is>
      </c>
      <c r="BB408" s="192" t="inlineStr">
        <is>
          <t>Investinor (www.investinor.no), Norselab (www.norselab.com)</t>
        </is>
      </c>
      <c r="BC408" s="193" t="inlineStr">
        <is>
          <t/>
        </is>
      </c>
      <c r="BD408" s="194" t="inlineStr">
        <is>
          <t/>
        </is>
      </c>
      <c r="BE408" s="195" t="inlineStr">
        <is>
          <t/>
        </is>
      </c>
      <c r="BF408" s="196" t="inlineStr">
        <is>
          <t/>
        </is>
      </c>
      <c r="BG408" s="197" t="n">
        <v>41434.0</v>
      </c>
      <c r="BH408" s="198" t="n">
        <v>0.99</v>
      </c>
      <c r="BI408" s="199" t="inlineStr">
        <is>
          <t>Actual</t>
        </is>
      </c>
      <c r="BJ408" s="200" t="inlineStr">
        <is>
          <t/>
        </is>
      </c>
      <c r="BK408" s="201" t="inlineStr">
        <is>
          <t/>
        </is>
      </c>
      <c r="BL408" s="202" t="inlineStr">
        <is>
          <t>Seed Round</t>
        </is>
      </c>
      <c r="BM408" s="203" t="inlineStr">
        <is>
          <t>Seed</t>
        </is>
      </c>
      <c r="BN408" s="204" t="inlineStr">
        <is>
          <t/>
        </is>
      </c>
      <c r="BO408" s="205" t="inlineStr">
        <is>
          <t>Venture Capital</t>
        </is>
      </c>
      <c r="BP408" s="206" t="inlineStr">
        <is>
          <t/>
        </is>
      </c>
      <c r="BQ408" s="207" t="inlineStr">
        <is>
          <t/>
        </is>
      </c>
      <c r="BR408" s="208" t="inlineStr">
        <is>
          <t/>
        </is>
      </c>
      <c r="BS408" s="209" t="inlineStr">
        <is>
          <t>Completed</t>
        </is>
      </c>
      <c r="BT408" s="210" t="n">
        <v>42550.0</v>
      </c>
      <c r="BU408" s="211" t="n">
        <v>5.5</v>
      </c>
      <c r="BV408" s="212" t="inlineStr">
        <is>
          <t>Actual</t>
        </is>
      </c>
      <c r="BW408" s="213" t="inlineStr">
        <is>
          <t/>
        </is>
      </c>
      <c r="BX408" s="214" t="inlineStr">
        <is>
          <t/>
        </is>
      </c>
      <c r="BY408" s="215" t="inlineStr">
        <is>
          <t>Early Stage VC</t>
        </is>
      </c>
      <c r="BZ408" s="216" t="inlineStr">
        <is>
          <t/>
        </is>
      </c>
      <c r="CA408" s="217" t="inlineStr">
        <is>
          <t/>
        </is>
      </c>
      <c r="CB408" s="218" t="inlineStr">
        <is>
          <t>Venture Capital</t>
        </is>
      </c>
      <c r="CC408" s="219" t="inlineStr">
        <is>
          <t/>
        </is>
      </c>
      <c r="CD408" s="220" t="inlineStr">
        <is>
          <t/>
        </is>
      </c>
      <c r="CE408" s="221" t="inlineStr">
        <is>
          <t/>
        </is>
      </c>
      <c r="CF408" s="222" t="inlineStr">
        <is>
          <t>Completed</t>
        </is>
      </c>
      <c r="CG408" s="223" t="inlineStr">
        <is>
          <t>-0,04%</t>
        </is>
      </c>
      <c r="CH408" s="224" t="inlineStr">
        <is>
          <t>17</t>
        </is>
      </c>
      <c r="CI408" s="225" t="inlineStr">
        <is>
          <t>-0,02%</t>
        </is>
      </c>
      <c r="CJ408" s="226" t="inlineStr">
        <is>
          <t>-126,54%</t>
        </is>
      </c>
      <c r="CK408" s="227" t="inlineStr">
        <is>
          <t>0,00%</t>
        </is>
      </c>
      <c r="CL408" s="228" t="inlineStr">
        <is>
          <t>18</t>
        </is>
      </c>
      <c r="CM408" s="229" t="inlineStr">
        <is>
          <t>-0,09%</t>
        </is>
      </c>
      <c r="CN408" s="230" t="inlineStr">
        <is>
          <t>4</t>
        </is>
      </c>
      <c r="CO408" s="231" t="inlineStr">
        <is>
          <t>0,00%</t>
        </is>
      </c>
      <c r="CP408" s="232" t="inlineStr">
        <is>
          <t>26</t>
        </is>
      </c>
      <c r="CQ408" s="233" t="inlineStr">
        <is>
          <t/>
        </is>
      </c>
      <c r="CR408" s="234" t="inlineStr">
        <is>
          <t/>
        </is>
      </c>
      <c r="CS408" s="235" t="inlineStr">
        <is>
          <t>-0,04%</t>
        </is>
      </c>
      <c r="CT408" s="236" t="inlineStr">
        <is>
          <t>8</t>
        </is>
      </c>
      <c r="CU408" s="237" t="inlineStr">
        <is>
          <t>-0,13%</t>
        </is>
      </c>
      <c r="CV408" s="238" t="inlineStr">
        <is>
          <t>4</t>
        </is>
      </c>
      <c r="CW408" s="239" t="inlineStr">
        <is>
          <t>1,13x</t>
        </is>
      </c>
      <c r="CX408" s="240" t="inlineStr">
        <is>
          <t>52</t>
        </is>
      </c>
      <c r="CY408" s="241" t="inlineStr">
        <is>
          <t>0,02x</t>
        </is>
      </c>
      <c r="CZ408" s="242" t="inlineStr">
        <is>
          <t>1,75%</t>
        </is>
      </c>
      <c r="DA408" s="243" t="inlineStr">
        <is>
          <t>0,19x</t>
        </is>
      </c>
      <c r="DB408" s="244" t="inlineStr">
        <is>
          <t>19</t>
        </is>
      </c>
      <c r="DC408" s="245" t="inlineStr">
        <is>
          <t>2,08x</t>
        </is>
      </c>
      <c r="DD408" s="246" t="inlineStr">
        <is>
          <t>62</t>
        </is>
      </c>
      <c r="DE408" s="247" t="inlineStr">
        <is>
          <t>0,19x</t>
        </is>
      </c>
      <c r="DF408" s="248" t="inlineStr">
        <is>
          <t>18</t>
        </is>
      </c>
      <c r="DG408" s="249" t="inlineStr">
        <is>
          <t/>
        </is>
      </c>
      <c r="DH408" s="250" t="inlineStr">
        <is>
          <t/>
        </is>
      </c>
      <c r="DI408" s="251" t="inlineStr">
        <is>
          <t>3,33x</t>
        </is>
      </c>
      <c r="DJ408" s="252" t="inlineStr">
        <is>
          <t>70</t>
        </is>
      </c>
      <c r="DK408" s="253" t="inlineStr">
        <is>
          <t>0,83x</t>
        </is>
      </c>
      <c r="DL408" s="254" t="inlineStr">
        <is>
          <t>47</t>
        </is>
      </c>
      <c r="DM408" s="255" t="inlineStr">
        <is>
          <t>122</t>
        </is>
      </c>
      <c r="DN408" s="256" t="inlineStr">
        <is>
          <t>-24</t>
        </is>
      </c>
      <c r="DO408" s="257" t="inlineStr">
        <is>
          <t>-16,44%</t>
        </is>
      </c>
      <c r="DP408" s="258" t="inlineStr">
        <is>
          <t>2.660</t>
        </is>
      </c>
      <c r="DQ408" s="259" t="inlineStr">
        <is>
          <t>-3</t>
        </is>
      </c>
      <c r="DR408" s="260" t="inlineStr">
        <is>
          <t>-0,11%</t>
        </is>
      </c>
      <c r="DS408" s="261" t="inlineStr">
        <is>
          <t/>
        </is>
      </c>
      <c r="DT408" s="262" t="inlineStr">
        <is>
          <t/>
        </is>
      </c>
      <c r="DU408" s="263" t="inlineStr">
        <is>
          <t/>
        </is>
      </c>
      <c r="DV408" s="264" t="inlineStr">
        <is>
          <t>287</t>
        </is>
      </c>
      <c r="DW408" s="265" t="inlineStr">
        <is>
          <t>-1</t>
        </is>
      </c>
      <c r="DX408" s="266" t="inlineStr">
        <is>
          <t>-0,35%</t>
        </is>
      </c>
      <c r="DY408" s="267" t="inlineStr">
        <is>
          <t>PitchBook Research</t>
        </is>
      </c>
      <c r="DZ408" s="786">
        <f>HYPERLINK("https://my.pitchbook.com?c=102986-83", "View company online")</f>
      </c>
    </row>
    <row r="409">
      <c r="A409" s="9" t="inlineStr">
        <is>
          <t>96719-23</t>
        </is>
      </c>
      <c r="B409" s="10" t="inlineStr">
        <is>
          <t>Small Giant Games</t>
        </is>
      </c>
      <c r="C409" s="11" t="inlineStr">
        <is>
          <t/>
        </is>
      </c>
      <c r="D409" s="12" t="inlineStr">
        <is>
          <t/>
        </is>
      </c>
      <c r="E409" s="13" t="inlineStr">
        <is>
          <t>96719-23</t>
        </is>
      </c>
      <c r="F409" s="14" t="inlineStr">
        <is>
          <t>Developer of multiplayer mobile games designed to create an unforgettable gaming experiences. The company's mobile games are role playing games based on one-touch controls and are filled with characters, rich animations and beautiful graphics, enabling players to easily play these games on iOS and android-based mobile devices.</t>
        </is>
      </c>
      <c r="G409" s="15" t="inlineStr">
        <is>
          <t>Information Technology</t>
        </is>
      </c>
      <c r="H409" s="16" t="inlineStr">
        <is>
          <t>Software</t>
        </is>
      </c>
      <c r="I409" s="17" t="inlineStr">
        <is>
          <t>Entertainment Software</t>
        </is>
      </c>
      <c r="J409" s="18" t="inlineStr">
        <is>
          <t>Entertainment Software*; Application Software</t>
        </is>
      </c>
      <c r="K409" s="19" t="inlineStr">
        <is>
          <t>Mobile</t>
        </is>
      </c>
      <c r="L409" s="20" t="inlineStr">
        <is>
          <t>Venture Capital-Backed</t>
        </is>
      </c>
      <c r="M409" s="21" t="n">
        <v>9.69</v>
      </c>
      <c r="N409" s="22" t="inlineStr">
        <is>
          <t>Startup</t>
        </is>
      </c>
      <c r="O409" s="23" t="inlineStr">
        <is>
          <t>Privately Held (backing)</t>
        </is>
      </c>
      <c r="P409" s="24" t="inlineStr">
        <is>
          <t>Venture Capital</t>
        </is>
      </c>
      <c r="Q409" s="25" t="inlineStr">
        <is>
          <t>www.smallgiantgames.com</t>
        </is>
      </c>
      <c r="R409" s="26" t="n">
        <v>13.0</v>
      </c>
      <c r="S409" s="27" t="inlineStr">
        <is>
          <t/>
        </is>
      </c>
      <c r="T409" s="28" t="inlineStr">
        <is>
          <t/>
        </is>
      </c>
      <c r="U409" s="29" t="n">
        <v>2013.0</v>
      </c>
      <c r="V409" s="30" t="inlineStr">
        <is>
          <t/>
        </is>
      </c>
      <c r="W409" s="31" t="inlineStr">
        <is>
          <t/>
        </is>
      </c>
      <c r="X409" s="32" t="inlineStr">
        <is>
          <t/>
        </is>
      </c>
      <c r="Y409" s="33" t="n">
        <v>0.2205</v>
      </c>
      <c r="Z409" s="34" t="inlineStr">
        <is>
          <t/>
        </is>
      </c>
      <c r="AA409" s="35" t="n">
        <v>-0.60636</v>
      </c>
      <c r="AB409" s="36" t="inlineStr">
        <is>
          <t/>
        </is>
      </c>
      <c r="AC409" s="37" t="n">
        <v>-0.60636</v>
      </c>
      <c r="AD409" s="38" t="inlineStr">
        <is>
          <t>FY 2015</t>
        </is>
      </c>
      <c r="AE409" s="39" t="inlineStr">
        <is>
          <t>82725-40P</t>
        </is>
      </c>
      <c r="AF409" s="40" t="inlineStr">
        <is>
          <t>Timo Soininen</t>
        </is>
      </c>
      <c r="AG409" s="41" t="inlineStr">
        <is>
          <t>Co-Founder &amp; Chief Executive Officer</t>
        </is>
      </c>
      <c r="AH409" s="42" t="inlineStr">
        <is>
          <t>timo@smallgiantgames.com</t>
        </is>
      </c>
      <c r="AI409" s="43" t="inlineStr">
        <is>
          <t/>
        </is>
      </c>
      <c r="AJ409" s="44" t="inlineStr">
        <is>
          <t>Helsinki, Finland</t>
        </is>
      </c>
      <c r="AK409" s="45" t="inlineStr">
        <is>
          <t>Rikhardinkatu 4 B 21</t>
        </is>
      </c>
      <c r="AL409" s="46" t="inlineStr">
        <is>
          <t/>
        </is>
      </c>
      <c r="AM409" s="47" t="inlineStr">
        <is>
          <t>Helsinki</t>
        </is>
      </c>
      <c r="AN409" s="48" t="inlineStr">
        <is>
          <t/>
        </is>
      </c>
      <c r="AO409" s="49" t="inlineStr">
        <is>
          <t>00130</t>
        </is>
      </c>
      <c r="AP409" s="50" t="inlineStr">
        <is>
          <t>Finland</t>
        </is>
      </c>
      <c r="AQ409" s="51" t="inlineStr">
        <is>
          <t/>
        </is>
      </c>
      <c r="AR409" s="52" t="inlineStr">
        <is>
          <t/>
        </is>
      </c>
      <c r="AS409" s="53" t="inlineStr">
        <is>
          <t>contact@smallgiantgames.com</t>
        </is>
      </c>
      <c r="AT409" s="54" t="inlineStr">
        <is>
          <t>Europe</t>
        </is>
      </c>
      <c r="AU409" s="55" t="inlineStr">
        <is>
          <t>Northern Europe</t>
        </is>
      </c>
      <c r="AV409" s="56" t="inlineStr">
        <is>
          <t>The company raised EUR 5.4 million of Series A venture funding in a deal led by EQT Ventures on March 9, 2017. Creandum, Spintop Ventures, PROfounders Capital and First Fellow Partners also participated in this round. The company intends to use the funds to expand its gaming development efforts and market its new title.</t>
        </is>
      </c>
      <c r="AW409" s="57" t="inlineStr">
        <is>
          <t>Ari Korhonen, Besodos Investors, Capital A Partners, Creandum, EQT Ventures, First Fellow Partners, Gregory Milken, Individual Investor, Lagoon Capital, NewCo Helsinki Accelerator, PROfounders Capital, Risto Siilasmaa, Spintop Ventures</t>
        </is>
      </c>
      <c r="AX409" s="58" t="n">
        <v>13.0</v>
      </c>
      <c r="AY409" s="59" t="inlineStr">
        <is>
          <t/>
        </is>
      </c>
      <c r="AZ409" s="60" t="inlineStr">
        <is>
          <t/>
        </is>
      </c>
      <c r="BA409" s="61" t="inlineStr">
        <is>
          <t/>
        </is>
      </c>
      <c r="BB409" s="62" t="inlineStr">
        <is>
          <t>Besodos Investors (www.besodos.fi), Capital A Partners (www.capitalapartners.com), Creandum (www.creandum.com), EQT Ventures (www.eqtventures.com), First Fellow Partners (www.firstfellow.com), Lagoon Capital (www.lagooncapital.com), NewCo Helsinki Accelerator (www.newcohelsinki.fi), PROfounders Capital (www.profounderscapital.com), Spintop Ventures (www.spintopventures.com)</t>
        </is>
      </c>
      <c r="BC409" s="63" t="inlineStr">
        <is>
          <t/>
        </is>
      </c>
      <c r="BD409" s="64" t="inlineStr">
        <is>
          <t/>
        </is>
      </c>
      <c r="BE409" s="65" t="inlineStr">
        <is>
          <t/>
        </is>
      </c>
      <c r="BF409" s="66" t="inlineStr">
        <is>
          <t>Avance Attorneys (Legal Advisor)</t>
        </is>
      </c>
      <c r="BG409" s="67" t="inlineStr">
        <is>
          <t/>
        </is>
      </c>
      <c r="BH409" s="68" t="n">
        <v>0.08</v>
      </c>
      <c r="BI409" s="69" t="inlineStr">
        <is>
          <t>Actual</t>
        </is>
      </c>
      <c r="BJ409" s="70" t="inlineStr">
        <is>
          <t/>
        </is>
      </c>
      <c r="BK409" s="71" t="inlineStr">
        <is>
          <t/>
        </is>
      </c>
      <c r="BL409" s="72" t="inlineStr">
        <is>
          <t>Seed Round</t>
        </is>
      </c>
      <c r="BM409" s="73" t="inlineStr">
        <is>
          <t>Seed</t>
        </is>
      </c>
      <c r="BN409" s="74" t="inlineStr">
        <is>
          <t/>
        </is>
      </c>
      <c r="BO409" s="75" t="inlineStr">
        <is>
          <t>Venture Capital</t>
        </is>
      </c>
      <c r="BP409" s="76" t="inlineStr">
        <is>
          <t/>
        </is>
      </c>
      <c r="BQ409" s="77" t="inlineStr">
        <is>
          <t/>
        </is>
      </c>
      <c r="BR409" s="78" t="inlineStr">
        <is>
          <t/>
        </is>
      </c>
      <c r="BS409" s="79" t="inlineStr">
        <is>
          <t>Completed</t>
        </is>
      </c>
      <c r="BT409" s="80" t="n">
        <v>42803.0</v>
      </c>
      <c r="BU409" s="81" t="n">
        <v>5.4</v>
      </c>
      <c r="BV409" s="82" t="inlineStr">
        <is>
          <t>Actual</t>
        </is>
      </c>
      <c r="BW409" s="83" t="inlineStr">
        <is>
          <t/>
        </is>
      </c>
      <c r="BX409" s="84" t="inlineStr">
        <is>
          <t/>
        </is>
      </c>
      <c r="BY409" s="85" t="inlineStr">
        <is>
          <t>Early Stage VC</t>
        </is>
      </c>
      <c r="BZ409" s="86" t="inlineStr">
        <is>
          <t>Series A</t>
        </is>
      </c>
      <c r="CA409" s="87" t="inlineStr">
        <is>
          <t/>
        </is>
      </c>
      <c r="CB409" s="88" t="inlineStr">
        <is>
          <t>Venture Capital</t>
        </is>
      </c>
      <c r="CC409" s="89" t="inlineStr">
        <is>
          <t/>
        </is>
      </c>
      <c r="CD409" s="90" t="inlineStr">
        <is>
          <t/>
        </is>
      </c>
      <c r="CE409" s="91" t="inlineStr">
        <is>
          <t/>
        </is>
      </c>
      <c r="CF409" s="92" t="inlineStr">
        <is>
          <t>Completed</t>
        </is>
      </c>
      <c r="CG409" s="93" t="inlineStr">
        <is>
          <t>3,04%</t>
        </is>
      </c>
      <c r="CH409" s="94" t="inlineStr">
        <is>
          <t>96</t>
        </is>
      </c>
      <c r="CI409" s="95" t="inlineStr">
        <is>
          <t>-0,09%</t>
        </is>
      </c>
      <c r="CJ409" s="96" t="inlineStr">
        <is>
          <t>-2,80%</t>
        </is>
      </c>
      <c r="CK409" s="97" t="inlineStr">
        <is>
          <t>5,56%</t>
        </is>
      </c>
      <c r="CL409" s="98" t="inlineStr">
        <is>
          <t>97</t>
        </is>
      </c>
      <c r="CM409" s="99" t="inlineStr">
        <is>
          <t>0,52%</t>
        </is>
      </c>
      <c r="CN409" s="100" t="inlineStr">
        <is>
          <t>90</t>
        </is>
      </c>
      <c r="CO409" s="101" t="inlineStr">
        <is>
          <t>11,12%</t>
        </is>
      </c>
      <c r="CP409" s="102" t="inlineStr">
        <is>
          <t>100</t>
        </is>
      </c>
      <c r="CQ409" s="103" t="inlineStr">
        <is>
          <t>0,00%</t>
        </is>
      </c>
      <c r="CR409" s="104" t="inlineStr">
        <is>
          <t>13</t>
        </is>
      </c>
      <c r="CS409" s="105" t="inlineStr">
        <is>
          <t>0,90%</t>
        </is>
      </c>
      <c r="CT409" s="106" t="inlineStr">
        <is>
          <t>94</t>
        </is>
      </c>
      <c r="CU409" s="107" t="inlineStr">
        <is>
          <t>0,14%</t>
        </is>
      </c>
      <c r="CV409" s="108" t="inlineStr">
        <is>
          <t>72</t>
        </is>
      </c>
      <c r="CW409" s="109" t="inlineStr">
        <is>
          <t>4,46x</t>
        </is>
      </c>
      <c r="CX409" s="110" t="inlineStr">
        <is>
          <t>77</t>
        </is>
      </c>
      <c r="CY409" s="111" t="inlineStr">
        <is>
          <t>0,05x</t>
        </is>
      </c>
      <c r="CZ409" s="112" t="inlineStr">
        <is>
          <t>1,20%</t>
        </is>
      </c>
      <c r="DA409" s="113" t="inlineStr">
        <is>
          <t>5,36x</t>
        </is>
      </c>
      <c r="DB409" s="114" t="inlineStr">
        <is>
          <t>81</t>
        </is>
      </c>
      <c r="DC409" s="115" t="inlineStr">
        <is>
          <t>3,57x</t>
        </is>
      </c>
      <c r="DD409" s="116" t="inlineStr">
        <is>
          <t>71</t>
        </is>
      </c>
      <c r="DE409" s="117" t="inlineStr">
        <is>
          <t>6,77x</t>
        </is>
      </c>
      <c r="DF409" s="118" t="inlineStr">
        <is>
          <t>80</t>
        </is>
      </c>
      <c r="DG409" s="119" t="inlineStr">
        <is>
          <t>3,94x</t>
        </is>
      </c>
      <c r="DH409" s="120" t="inlineStr">
        <is>
          <t>75</t>
        </is>
      </c>
      <c r="DI409" s="121" t="inlineStr">
        <is>
          <t>1,37x</t>
        </is>
      </c>
      <c r="DJ409" s="122" t="inlineStr">
        <is>
          <t>56</t>
        </is>
      </c>
      <c r="DK409" s="123" t="inlineStr">
        <is>
          <t>5,77x</t>
        </is>
      </c>
      <c r="DL409" s="124" t="inlineStr">
        <is>
          <t>80</t>
        </is>
      </c>
      <c r="DM409" s="125" t="inlineStr">
        <is>
          <t>4.067</t>
        </is>
      </c>
      <c r="DN409" s="126" t="inlineStr">
        <is>
          <t>283</t>
        </is>
      </c>
      <c r="DO409" s="127" t="inlineStr">
        <is>
          <t>7,48%</t>
        </is>
      </c>
      <c r="DP409" s="128" t="inlineStr">
        <is>
          <t>1.090</t>
        </is>
      </c>
      <c r="DQ409" s="129" t="inlineStr">
        <is>
          <t>7</t>
        </is>
      </c>
      <c r="DR409" s="130" t="inlineStr">
        <is>
          <t>0,65%</t>
        </is>
      </c>
      <c r="DS409" s="131" t="inlineStr">
        <is>
          <t>142</t>
        </is>
      </c>
      <c r="DT409" s="132" t="inlineStr">
        <is>
          <t>-2</t>
        </is>
      </c>
      <c r="DU409" s="133" t="inlineStr">
        <is>
          <t>-1,39%</t>
        </is>
      </c>
      <c r="DV409" s="134" t="inlineStr">
        <is>
          <t>1.977</t>
        </is>
      </c>
      <c r="DW409" s="135" t="inlineStr">
        <is>
          <t>2</t>
        </is>
      </c>
      <c r="DX409" s="136" t="inlineStr">
        <is>
          <t>0,10%</t>
        </is>
      </c>
      <c r="DY409" s="137" t="inlineStr">
        <is>
          <t>PitchBook Research</t>
        </is>
      </c>
      <c r="DZ409" s="785">
        <f>HYPERLINK("https://my.pitchbook.com?c=96719-23", "View company online")</f>
      </c>
    </row>
    <row r="410">
      <c r="A410" s="139" t="inlineStr">
        <is>
          <t>94890-88</t>
        </is>
      </c>
      <c r="B410" s="140" t="inlineStr">
        <is>
          <t>Smartpipe Solutions</t>
        </is>
      </c>
      <c r="C410" s="141" t="inlineStr">
        <is>
          <t/>
        </is>
      </c>
      <c r="D410" s="142" t="inlineStr">
        <is>
          <t>Smartpipe</t>
        </is>
      </c>
      <c r="E410" s="143" t="inlineStr">
        <is>
          <t>94890-88</t>
        </is>
      </c>
      <c r="F410" s="144" t="inlineStr">
        <is>
          <t>Provider of data brokerage services. The company offers a platform which acts as a real data broker for real-time dynamic customer data profiles, commercially and technically designed for Telcos to monetise data across the advertising ecosystem.</t>
        </is>
      </c>
      <c r="G410" s="145" t="inlineStr">
        <is>
          <t>Information Technology</t>
        </is>
      </c>
      <c r="H410" s="146" t="inlineStr">
        <is>
          <t>Software</t>
        </is>
      </c>
      <c r="I410" s="147" t="inlineStr">
        <is>
          <t>Social/Platform Software</t>
        </is>
      </c>
      <c r="J410" s="148" t="inlineStr">
        <is>
          <t>Social/Platform Software*; Other IT Services; Other Information Technology</t>
        </is>
      </c>
      <c r="K410" s="149" t="inlineStr">
        <is>
          <t/>
        </is>
      </c>
      <c r="L410" s="150" t="inlineStr">
        <is>
          <t>Venture Capital-Backed</t>
        </is>
      </c>
      <c r="M410" s="151" t="n">
        <v>24.52</v>
      </c>
      <c r="N410" s="152" t="inlineStr">
        <is>
          <t>Startup</t>
        </is>
      </c>
      <c r="O410" s="153" t="inlineStr">
        <is>
          <t>Privately Held (backing)</t>
        </is>
      </c>
      <c r="P410" s="154" t="inlineStr">
        <is>
          <t>Venture Capital</t>
        </is>
      </c>
      <c r="Q410" s="155" t="inlineStr">
        <is>
          <t>www.smartpipesolutions.com</t>
        </is>
      </c>
      <c r="R410" s="156" t="n">
        <v>10.0</v>
      </c>
      <c r="S410" s="157" t="inlineStr">
        <is>
          <t/>
        </is>
      </c>
      <c r="T410" s="158" t="inlineStr">
        <is>
          <t/>
        </is>
      </c>
      <c r="U410" s="159" t="n">
        <v>2013.0</v>
      </c>
      <c r="V410" s="160" t="inlineStr">
        <is>
          <t/>
        </is>
      </c>
      <c r="W410" s="161" t="inlineStr">
        <is>
          <t/>
        </is>
      </c>
      <c r="X410" s="162" t="inlineStr">
        <is>
          <t/>
        </is>
      </c>
      <c r="Y410" s="163" t="n">
        <v>0.02756</v>
      </c>
      <c r="Z410" s="164" t="n">
        <v>-0.21131</v>
      </c>
      <c r="AA410" s="165" t="n">
        <v>-2.07633</v>
      </c>
      <c r="AB410" s="166" t="inlineStr">
        <is>
          <t/>
        </is>
      </c>
      <c r="AC410" s="167" t="n">
        <v>-2.12227</v>
      </c>
      <c r="AD410" s="168" t="inlineStr">
        <is>
          <t>FY 2015</t>
        </is>
      </c>
      <c r="AE410" s="169" t="inlineStr">
        <is>
          <t>42797-89P</t>
        </is>
      </c>
      <c r="AF410" s="170" t="inlineStr">
        <is>
          <t>Fraser Park</t>
        </is>
      </c>
      <c r="AG410" s="171" t="inlineStr">
        <is>
          <t>Chief Financial Officer &amp; Chief Operating Officer</t>
        </is>
      </c>
      <c r="AH410" s="172" t="inlineStr">
        <is>
          <t>fraser.park@smartpipesolutions.com</t>
        </is>
      </c>
      <c r="AI410" s="173" t="inlineStr">
        <is>
          <t>+44 (0)20 3700 3643</t>
        </is>
      </c>
      <c r="AJ410" s="174" t="inlineStr">
        <is>
          <t>London, United Kingdom</t>
        </is>
      </c>
      <c r="AK410" s="175" t="inlineStr">
        <is>
          <t>131-151 Great Titchfield Street</t>
        </is>
      </c>
      <c r="AL410" s="176" t="inlineStr">
        <is>
          <t/>
        </is>
      </c>
      <c r="AM410" s="177" t="inlineStr">
        <is>
          <t>London</t>
        </is>
      </c>
      <c r="AN410" s="178" t="inlineStr">
        <is>
          <t>England</t>
        </is>
      </c>
      <c r="AO410" s="179" t="inlineStr">
        <is>
          <t>W1W 5BB</t>
        </is>
      </c>
      <c r="AP410" s="180" t="inlineStr">
        <is>
          <t>United Kingdom</t>
        </is>
      </c>
      <c r="AQ410" s="181" t="inlineStr">
        <is>
          <t>+44 (0)20 3700 3643</t>
        </is>
      </c>
      <c r="AR410" s="182" t="inlineStr">
        <is>
          <t/>
        </is>
      </c>
      <c r="AS410" s="183" t="inlineStr">
        <is>
          <t>contactus@smartpipesolutions.com</t>
        </is>
      </c>
      <c r="AT410" s="184" t="inlineStr">
        <is>
          <t>Europe</t>
        </is>
      </c>
      <c r="AU410" s="185" t="inlineStr">
        <is>
          <t>Western Europe</t>
        </is>
      </c>
      <c r="AV410" s="186" t="inlineStr">
        <is>
          <t>The company raised $18.75 of Series A venture funding from Delta Partners Group and other undisclosed investors on November 11, 2016. Previously, the company raised GBP 6.2 million of venture funding from Notion Capital, Finance Wales and Welsh Government on December 7, 2015. Other undisclosed individual investors also participated in the round. Out of the total funding GBP 1 million was received in the form of grant from Welsh Government.</t>
        </is>
      </c>
      <c r="AW410" s="187" t="inlineStr">
        <is>
          <t>Delta Partners Group, Finance Wales, Mobile Value Partners, Notion Capital, Welsh Government</t>
        </is>
      </c>
      <c r="AX410" s="188" t="n">
        <v>5.0</v>
      </c>
      <c r="AY410" s="189" t="inlineStr">
        <is>
          <t/>
        </is>
      </c>
      <c r="AZ410" s="190" t="inlineStr">
        <is>
          <t/>
        </is>
      </c>
      <c r="BA410" s="191" t="inlineStr">
        <is>
          <t/>
        </is>
      </c>
      <c r="BB410" s="192" t="inlineStr">
        <is>
          <t>Delta Partners Group (www.deltapartnersgroup.com), Finance Wales (www.financewales.co.uk), Mobile Value Partners (www.mvpglobal.com), Notion Capital (www.notioncapital.com), Welsh Government (www.gov.wales)</t>
        </is>
      </c>
      <c r="BC410" s="193" t="inlineStr">
        <is>
          <t/>
        </is>
      </c>
      <c r="BD410" s="194" t="inlineStr">
        <is>
          <t/>
        </is>
      </c>
      <c r="BE410" s="195" t="inlineStr">
        <is>
          <t/>
        </is>
      </c>
      <c r="BF410" s="196" t="inlineStr">
        <is>
          <t/>
        </is>
      </c>
      <c r="BG410" s="197" t="n">
        <v>41622.0</v>
      </c>
      <c r="BH410" s="198" t="inlineStr">
        <is>
          <t/>
        </is>
      </c>
      <c r="BI410" s="199" t="inlineStr">
        <is>
          <t/>
        </is>
      </c>
      <c r="BJ410" s="200" t="inlineStr">
        <is>
          <t/>
        </is>
      </c>
      <c r="BK410" s="201" t="inlineStr">
        <is>
          <t/>
        </is>
      </c>
      <c r="BL410" s="202" t="inlineStr">
        <is>
          <t>Early Stage VC</t>
        </is>
      </c>
      <c r="BM410" s="203" t="inlineStr">
        <is>
          <t/>
        </is>
      </c>
      <c r="BN410" s="204" t="inlineStr">
        <is>
          <t/>
        </is>
      </c>
      <c r="BO410" s="205" t="inlineStr">
        <is>
          <t>Venture Capital</t>
        </is>
      </c>
      <c r="BP410" s="206" t="inlineStr">
        <is>
          <t/>
        </is>
      </c>
      <c r="BQ410" s="207" t="inlineStr">
        <is>
          <t/>
        </is>
      </c>
      <c r="BR410" s="208" t="inlineStr">
        <is>
          <t/>
        </is>
      </c>
      <c r="BS410" s="209" t="inlineStr">
        <is>
          <t>Completed</t>
        </is>
      </c>
      <c r="BT410" s="210" t="n">
        <v>42685.0</v>
      </c>
      <c r="BU410" s="211" t="n">
        <v>17.35</v>
      </c>
      <c r="BV410" s="212" t="inlineStr">
        <is>
          <t>Actual</t>
        </is>
      </c>
      <c r="BW410" s="213" t="inlineStr">
        <is>
          <t/>
        </is>
      </c>
      <c r="BX410" s="214" t="inlineStr">
        <is>
          <t/>
        </is>
      </c>
      <c r="BY410" s="215" t="inlineStr">
        <is>
          <t>Early Stage VC</t>
        </is>
      </c>
      <c r="BZ410" s="216" t="inlineStr">
        <is>
          <t>Series A</t>
        </is>
      </c>
      <c r="CA410" s="217" t="inlineStr">
        <is>
          <t/>
        </is>
      </c>
      <c r="CB410" s="218" t="inlineStr">
        <is>
          <t>Venture Capital</t>
        </is>
      </c>
      <c r="CC410" s="219" t="inlineStr">
        <is>
          <t/>
        </is>
      </c>
      <c r="CD410" s="220" t="inlineStr">
        <is>
          <t/>
        </is>
      </c>
      <c r="CE410" s="221" t="inlineStr">
        <is>
          <t/>
        </is>
      </c>
      <c r="CF410" s="222" t="inlineStr">
        <is>
          <t>Completed</t>
        </is>
      </c>
      <c r="CG410" s="223" t="inlineStr">
        <is>
          <t>0,00%</t>
        </is>
      </c>
      <c r="CH410" s="224" t="inlineStr">
        <is>
          <t>23</t>
        </is>
      </c>
      <c r="CI410" s="225" t="inlineStr">
        <is>
          <t>0,00%</t>
        </is>
      </c>
      <c r="CJ410" s="226" t="inlineStr">
        <is>
          <t>0,00%</t>
        </is>
      </c>
      <c r="CK410" s="227" t="inlineStr">
        <is>
          <t>0,00%</t>
        </is>
      </c>
      <c r="CL410" s="228" t="inlineStr">
        <is>
          <t>18</t>
        </is>
      </c>
      <c r="CM410" s="229" t="inlineStr">
        <is>
          <t/>
        </is>
      </c>
      <c r="CN410" s="230" t="inlineStr">
        <is>
          <t/>
        </is>
      </c>
      <c r="CO410" s="231" t="inlineStr">
        <is>
          <t>0,00%</t>
        </is>
      </c>
      <c r="CP410" s="232" t="inlineStr">
        <is>
          <t>26</t>
        </is>
      </c>
      <c r="CQ410" s="233" t="inlineStr">
        <is>
          <t>0,00%</t>
        </is>
      </c>
      <c r="CR410" s="234" t="inlineStr">
        <is>
          <t>13</t>
        </is>
      </c>
      <c r="CS410" s="235" t="inlineStr">
        <is>
          <t/>
        </is>
      </c>
      <c r="CT410" s="236" t="inlineStr">
        <is>
          <t/>
        </is>
      </c>
      <c r="CU410" s="237" t="inlineStr">
        <is>
          <t/>
        </is>
      </c>
      <c r="CV410" s="238" t="inlineStr">
        <is>
          <t/>
        </is>
      </c>
      <c r="CW410" s="239" t="inlineStr">
        <is>
          <t>0,70x</t>
        </is>
      </c>
      <c r="CX410" s="240" t="inlineStr">
        <is>
          <t>41</t>
        </is>
      </c>
      <c r="CY410" s="241" t="inlineStr">
        <is>
          <t>0,01x</t>
        </is>
      </c>
      <c r="CZ410" s="242" t="inlineStr">
        <is>
          <t>1,74%</t>
        </is>
      </c>
      <c r="DA410" s="243" t="inlineStr">
        <is>
          <t>0,70x</t>
        </is>
      </c>
      <c r="DB410" s="244" t="inlineStr">
        <is>
          <t>44</t>
        </is>
      </c>
      <c r="DC410" s="245" t="inlineStr">
        <is>
          <t/>
        </is>
      </c>
      <c r="DD410" s="246" t="inlineStr">
        <is>
          <t/>
        </is>
      </c>
      <c r="DE410" s="247" t="inlineStr">
        <is>
          <t>0,52x</t>
        </is>
      </c>
      <c r="DF410" s="248" t="inlineStr">
        <is>
          <t>37</t>
        </is>
      </c>
      <c r="DG410" s="249" t="inlineStr">
        <is>
          <t>0,89x</t>
        </is>
      </c>
      <c r="DH410" s="250" t="inlineStr">
        <is>
          <t>48</t>
        </is>
      </c>
      <c r="DI410" s="251" t="inlineStr">
        <is>
          <t/>
        </is>
      </c>
      <c r="DJ410" s="252" t="inlineStr">
        <is>
          <t/>
        </is>
      </c>
      <c r="DK410" s="253" t="inlineStr">
        <is>
          <t/>
        </is>
      </c>
      <c r="DL410" s="254" t="inlineStr">
        <is>
          <t/>
        </is>
      </c>
      <c r="DM410" s="255" t="inlineStr">
        <is>
          <t>317</t>
        </is>
      </c>
      <c r="DN410" s="256" t="inlineStr">
        <is>
          <t>5</t>
        </is>
      </c>
      <c r="DO410" s="257" t="inlineStr">
        <is>
          <t>1,60%</t>
        </is>
      </c>
      <c r="DP410" s="258" t="inlineStr">
        <is>
          <t/>
        </is>
      </c>
      <c r="DQ410" s="259" t="inlineStr">
        <is>
          <t/>
        </is>
      </c>
      <c r="DR410" s="260" t="inlineStr">
        <is>
          <t/>
        </is>
      </c>
      <c r="DS410" s="261" t="inlineStr">
        <is>
          <t>32</t>
        </is>
      </c>
      <c r="DT410" s="262" t="inlineStr">
        <is>
          <t>0</t>
        </is>
      </c>
      <c r="DU410" s="263" t="inlineStr">
        <is>
          <t>0,00%</t>
        </is>
      </c>
      <c r="DV410" s="264" t="inlineStr">
        <is>
          <t/>
        </is>
      </c>
      <c r="DW410" s="265" t="inlineStr">
        <is>
          <t/>
        </is>
      </c>
      <c r="DX410" s="266" t="inlineStr">
        <is>
          <t/>
        </is>
      </c>
      <c r="DY410" s="267" t="inlineStr">
        <is>
          <t>PitchBook Research</t>
        </is>
      </c>
      <c r="DZ410" s="786">
        <f>HYPERLINK("https://my.pitchbook.com?c=94890-88", "View company online")</f>
      </c>
    </row>
    <row r="411">
      <c r="A411" s="9" t="inlineStr">
        <is>
          <t>93821-50</t>
        </is>
      </c>
      <c r="B411" s="10" t="inlineStr">
        <is>
          <t>Snips</t>
        </is>
      </c>
      <c r="C411" s="11" t="inlineStr">
        <is>
          <t/>
        </is>
      </c>
      <c r="D411" s="12" t="inlineStr">
        <is>
          <t/>
        </is>
      </c>
      <c r="E411" s="13" t="inlineStr">
        <is>
          <t>93821-50</t>
        </is>
      </c>
      <c r="F411" s="14" t="inlineStr">
        <is>
          <t>Provider of an on-device artificial intelligence based voice platform designed to make technology disappear. The company's voice platform allows users to ask natural language queries, without compromising privacy, enabling app developers and businesses to get an understanding of user's context by analyzing their location, calendar, emails, contacts and more.</t>
        </is>
      </c>
      <c r="G411" s="15" t="inlineStr">
        <is>
          <t>Information Technology</t>
        </is>
      </c>
      <c r="H411" s="16" t="inlineStr">
        <is>
          <t>Software</t>
        </is>
      </c>
      <c r="I411" s="17" t="inlineStr">
        <is>
          <t>Communication Software</t>
        </is>
      </c>
      <c r="J411" s="18" t="inlineStr">
        <is>
          <t>Communication Software*; Other Software</t>
        </is>
      </c>
      <c r="K411" s="19" t="inlineStr">
        <is>
          <t>Artificial Intelligence &amp; Machine Learning, Mobile, SaaS</t>
        </is>
      </c>
      <c r="L411" s="20" t="inlineStr">
        <is>
          <t>Venture Capital-Backed</t>
        </is>
      </c>
      <c r="M411" s="21" t="n">
        <v>11.59</v>
      </c>
      <c r="N411" s="22" t="inlineStr">
        <is>
          <t>Generating Revenue</t>
        </is>
      </c>
      <c r="O411" s="23" t="inlineStr">
        <is>
          <t>Privately Held (backing)</t>
        </is>
      </c>
      <c r="P411" s="24" t="inlineStr">
        <is>
          <t>Venture Capital</t>
        </is>
      </c>
      <c r="Q411" s="25" t="inlineStr">
        <is>
          <t>www.snips.ai</t>
        </is>
      </c>
      <c r="R411" s="26" t="n">
        <v>41.0</v>
      </c>
      <c r="S411" s="27" t="inlineStr">
        <is>
          <t/>
        </is>
      </c>
      <c r="T411" s="28" t="inlineStr">
        <is>
          <t/>
        </is>
      </c>
      <c r="U411" s="29" t="n">
        <v>2013.0</v>
      </c>
      <c r="V411" s="30" t="inlineStr">
        <is>
          <t/>
        </is>
      </c>
      <c r="W411" s="31" t="inlineStr">
        <is>
          <t/>
        </is>
      </c>
      <c r="X411" s="32" t="inlineStr">
        <is>
          <t/>
        </is>
      </c>
      <c r="Y411" s="33" t="n">
        <v>0.25557</v>
      </c>
      <c r="Z411" s="34" t="inlineStr">
        <is>
          <t/>
        </is>
      </c>
      <c r="AA411" s="35" t="inlineStr">
        <is>
          <t/>
        </is>
      </c>
      <c r="AB411" s="36" t="inlineStr">
        <is>
          <t/>
        </is>
      </c>
      <c r="AC411" s="37" t="inlineStr">
        <is>
          <t/>
        </is>
      </c>
      <c r="AD411" s="38" t="inlineStr">
        <is>
          <t>FY 2013</t>
        </is>
      </c>
      <c r="AE411" s="39" t="inlineStr">
        <is>
          <t>102260-53P</t>
        </is>
      </c>
      <c r="AF411" s="40" t="inlineStr">
        <is>
          <t>Rand Hindi</t>
        </is>
      </c>
      <c r="AG411" s="41" t="inlineStr">
        <is>
          <t>Co-Founder &amp; Chief Executive Officer</t>
        </is>
      </c>
      <c r="AH411" s="42" t="inlineStr">
        <is>
          <t>rand@snips.net</t>
        </is>
      </c>
      <c r="AI411" s="43" t="inlineStr">
        <is>
          <t/>
        </is>
      </c>
      <c r="AJ411" s="44" t="inlineStr">
        <is>
          <t>Paris, France</t>
        </is>
      </c>
      <c r="AK411" s="45" t="inlineStr">
        <is>
          <t>18 rue Saint Marc</t>
        </is>
      </c>
      <c r="AL411" s="46" t="inlineStr">
        <is>
          <t/>
        </is>
      </c>
      <c r="AM411" s="47" t="inlineStr">
        <is>
          <t>Paris</t>
        </is>
      </c>
      <c r="AN411" s="48" t="inlineStr">
        <is>
          <t/>
        </is>
      </c>
      <c r="AO411" s="49" t="inlineStr">
        <is>
          <t>75002</t>
        </is>
      </c>
      <c r="AP411" s="50" t="inlineStr">
        <is>
          <t>France</t>
        </is>
      </c>
      <c r="AQ411" s="51" t="inlineStr">
        <is>
          <t/>
        </is>
      </c>
      <c r="AR411" s="52" t="inlineStr">
        <is>
          <t/>
        </is>
      </c>
      <c r="AS411" s="53" t="inlineStr">
        <is>
          <t>contact@snips.net</t>
        </is>
      </c>
      <c r="AT411" s="54" t="inlineStr">
        <is>
          <t>Europe</t>
        </is>
      </c>
      <c r="AU411" s="55" t="inlineStr">
        <is>
          <t>Western Europe</t>
        </is>
      </c>
      <c r="AV411" s="56" t="inlineStr">
        <is>
          <t>The company raised $13 million of Series A venture funding in a round co-led by Korelya Capital and MAIF Avenir on June 14, 2017. Eniac Ventures and BPI France also participated in this round.</t>
        </is>
      </c>
      <c r="AW411" s="57" t="inlineStr">
        <is>
          <t>500 Startups, Bpifrance, Brent Hoberman, Eniac Ventures, Korelya Capital, MAIF Avenir, The Hive, Xavier Niel</t>
        </is>
      </c>
      <c r="AX411" s="58" t="n">
        <v>8.0</v>
      </c>
      <c r="AY411" s="59" t="inlineStr">
        <is>
          <t/>
        </is>
      </c>
      <c r="AZ411" s="60" t="inlineStr">
        <is>
          <t/>
        </is>
      </c>
      <c r="BA411" s="61" t="inlineStr">
        <is>
          <t/>
        </is>
      </c>
      <c r="BB411" s="62" t="inlineStr">
        <is>
          <t>500 Startups (www.500.co), Bpifrance (www.bpifrance.fr), Eniac Ventures (www.eniac.vc), Korelya Capital (www.korelyacapital.com), MAIF Avenir (www.maif-avenir.fr), The Hive (www.hivedata.com)</t>
        </is>
      </c>
      <c r="BC411" s="63" t="inlineStr">
        <is>
          <t/>
        </is>
      </c>
      <c r="BD411" s="64" t="inlineStr">
        <is>
          <t/>
        </is>
      </c>
      <c r="BE411" s="65" t="inlineStr">
        <is>
          <t/>
        </is>
      </c>
      <c r="BF411" s="66" t="inlineStr">
        <is>
          <t/>
        </is>
      </c>
      <c r="BG411" s="67" t="n">
        <v>42181.0</v>
      </c>
      <c r="BH411" s="68" t="n">
        <v>5.62</v>
      </c>
      <c r="BI411" s="69" t="inlineStr">
        <is>
          <t>Actual</t>
        </is>
      </c>
      <c r="BJ411" s="70" t="inlineStr">
        <is>
          <t/>
        </is>
      </c>
      <c r="BK411" s="71" t="inlineStr">
        <is>
          <t/>
        </is>
      </c>
      <c r="BL411" s="72" t="inlineStr">
        <is>
          <t>Seed Round</t>
        </is>
      </c>
      <c r="BM411" s="73" t="inlineStr">
        <is>
          <t>Seed</t>
        </is>
      </c>
      <c r="BN411" s="74" t="inlineStr">
        <is>
          <t/>
        </is>
      </c>
      <c r="BO411" s="75" t="inlineStr">
        <is>
          <t>Venture Capital</t>
        </is>
      </c>
      <c r="BP411" s="76" t="inlineStr">
        <is>
          <t/>
        </is>
      </c>
      <c r="BQ411" s="77" t="inlineStr">
        <is>
          <t/>
        </is>
      </c>
      <c r="BR411" s="78" t="inlineStr">
        <is>
          <t/>
        </is>
      </c>
      <c r="BS411" s="79" t="inlineStr">
        <is>
          <t>Completed</t>
        </is>
      </c>
      <c r="BT411" s="80" t="n">
        <v>42900.0</v>
      </c>
      <c r="BU411" s="81" t="n">
        <v>11.59</v>
      </c>
      <c r="BV411" s="82" t="inlineStr">
        <is>
          <t>Actual</t>
        </is>
      </c>
      <c r="BW411" s="83" t="inlineStr">
        <is>
          <t/>
        </is>
      </c>
      <c r="BX411" s="84" t="inlineStr">
        <is>
          <t/>
        </is>
      </c>
      <c r="BY411" s="85" t="inlineStr">
        <is>
          <t>Early Stage VC</t>
        </is>
      </c>
      <c r="BZ411" s="86" t="inlineStr">
        <is>
          <t>Series A</t>
        </is>
      </c>
      <c r="CA411" s="87" t="inlineStr">
        <is>
          <t/>
        </is>
      </c>
      <c r="CB411" s="88" t="inlineStr">
        <is>
          <t>Venture Capital</t>
        </is>
      </c>
      <c r="CC411" s="89" t="inlineStr">
        <is>
          <t/>
        </is>
      </c>
      <c r="CD411" s="90" t="inlineStr">
        <is>
          <t/>
        </is>
      </c>
      <c r="CE411" s="91" t="inlineStr">
        <is>
          <t/>
        </is>
      </c>
      <c r="CF411" s="92" t="inlineStr">
        <is>
          <t>Completed</t>
        </is>
      </c>
      <c r="CG411" s="93" t="inlineStr">
        <is>
          <t>-8,15%</t>
        </is>
      </c>
      <c r="CH411" s="94" t="inlineStr">
        <is>
          <t>1</t>
        </is>
      </c>
      <c r="CI411" s="95" t="inlineStr">
        <is>
          <t>0,00%</t>
        </is>
      </c>
      <c r="CJ411" s="96" t="inlineStr">
        <is>
          <t>0,01%</t>
        </is>
      </c>
      <c r="CK411" s="97" t="inlineStr">
        <is>
          <t>-17,43%</t>
        </is>
      </c>
      <c r="CL411" s="98" t="inlineStr">
        <is>
          <t>1</t>
        </is>
      </c>
      <c r="CM411" s="99" t="inlineStr">
        <is>
          <t>1,14%</t>
        </is>
      </c>
      <c r="CN411" s="100" t="inlineStr">
        <is>
          <t>97</t>
        </is>
      </c>
      <c r="CO411" s="101" t="inlineStr">
        <is>
          <t>-17,43%</t>
        </is>
      </c>
      <c r="CP411" s="102" t="inlineStr">
        <is>
          <t>1</t>
        </is>
      </c>
      <c r="CQ411" s="103" t="inlineStr">
        <is>
          <t/>
        </is>
      </c>
      <c r="CR411" s="104" t="inlineStr">
        <is>
          <t/>
        </is>
      </c>
      <c r="CS411" s="105" t="inlineStr">
        <is>
          <t>0,06%</t>
        </is>
      </c>
      <c r="CT411" s="106" t="inlineStr">
        <is>
          <t>51</t>
        </is>
      </c>
      <c r="CU411" s="107" t="inlineStr">
        <is>
          <t>2,22%</t>
        </is>
      </c>
      <c r="CV411" s="108" t="inlineStr">
        <is>
          <t>99</t>
        </is>
      </c>
      <c r="CW411" s="109" t="inlineStr">
        <is>
          <t>14,41x</t>
        </is>
      </c>
      <c r="CX411" s="110" t="inlineStr">
        <is>
          <t>90</t>
        </is>
      </c>
      <c r="CY411" s="111" t="inlineStr">
        <is>
          <t>0,18x</t>
        </is>
      </c>
      <c r="CZ411" s="112" t="inlineStr">
        <is>
          <t>1,30%</t>
        </is>
      </c>
      <c r="DA411" s="113" t="inlineStr">
        <is>
          <t>13,69x</t>
        </is>
      </c>
      <c r="DB411" s="114" t="inlineStr">
        <is>
          <t>90</t>
        </is>
      </c>
      <c r="DC411" s="115" t="inlineStr">
        <is>
          <t>15,12x</t>
        </is>
      </c>
      <c r="DD411" s="116" t="inlineStr">
        <is>
          <t>88</t>
        </is>
      </c>
      <c r="DE411" s="117" t="inlineStr">
        <is>
          <t>13,69x</t>
        </is>
      </c>
      <c r="DF411" s="118" t="inlineStr">
        <is>
          <t>86</t>
        </is>
      </c>
      <c r="DG411" s="119" t="inlineStr">
        <is>
          <t/>
        </is>
      </c>
      <c r="DH411" s="120" t="inlineStr">
        <is>
          <t/>
        </is>
      </c>
      <c r="DI411" s="121" t="inlineStr">
        <is>
          <t>3,64x</t>
        </is>
      </c>
      <c r="DJ411" s="122" t="inlineStr">
        <is>
          <t>71</t>
        </is>
      </c>
      <c r="DK411" s="123" t="inlineStr">
        <is>
          <t>26,60x</t>
        </is>
      </c>
      <c r="DL411" s="124" t="inlineStr">
        <is>
          <t>93</t>
        </is>
      </c>
      <c r="DM411" s="125" t="inlineStr">
        <is>
          <t>8.704</t>
        </is>
      </c>
      <c r="DN411" s="126" t="inlineStr">
        <is>
          <t>-854</t>
        </is>
      </c>
      <c r="DO411" s="127" t="inlineStr">
        <is>
          <t>-8,93%</t>
        </is>
      </c>
      <c r="DP411" s="128" t="inlineStr">
        <is>
          <t>2.913</t>
        </is>
      </c>
      <c r="DQ411" s="129" t="inlineStr">
        <is>
          <t>-2</t>
        </is>
      </c>
      <c r="DR411" s="130" t="inlineStr">
        <is>
          <t>-0,07%</t>
        </is>
      </c>
      <c r="DS411" s="131" t="inlineStr">
        <is>
          <t/>
        </is>
      </c>
      <c r="DT411" s="132" t="inlineStr">
        <is>
          <t/>
        </is>
      </c>
      <c r="DU411" s="133" t="inlineStr">
        <is>
          <t/>
        </is>
      </c>
      <c r="DV411" s="134" t="inlineStr">
        <is>
          <t>9.091</t>
        </is>
      </c>
      <c r="DW411" s="135" t="inlineStr">
        <is>
          <t>29</t>
        </is>
      </c>
      <c r="DX411" s="136" t="inlineStr">
        <is>
          <t>0,32%</t>
        </is>
      </c>
      <c r="DY411" s="137" t="inlineStr">
        <is>
          <t>PitchBook Research</t>
        </is>
      </c>
      <c r="DZ411" s="785">
        <f>HYPERLINK("https://my.pitchbook.com?c=93821-50", "View company online")</f>
      </c>
    </row>
    <row r="412">
      <c r="A412" s="139" t="inlineStr">
        <is>
          <t>185609-26</t>
        </is>
      </c>
      <c r="B412" s="140" t="inlineStr">
        <is>
          <t>Solar Energy Saver</t>
        </is>
      </c>
      <c r="C412" s="141" t="inlineStr">
        <is>
          <t/>
        </is>
      </c>
      <c r="D412" s="142" t="inlineStr">
        <is>
          <t/>
        </is>
      </c>
      <c r="E412" s="143" t="inlineStr">
        <is>
          <t>185609-26</t>
        </is>
      </c>
      <c r="F412" s="144" t="inlineStr">
        <is>
          <t>Developer of Solar Photo-Voltaic Systems. The company provides homes, businesses and organizations in Nothern Ireland the benefit of free Solar PV installations coupled with free solar energy thereby significantly reducing energy bills and CO2 emissions.</t>
        </is>
      </c>
      <c r="G412" s="145" t="inlineStr">
        <is>
          <t>Energy</t>
        </is>
      </c>
      <c r="H412" s="146" t="inlineStr">
        <is>
          <t>Energy Equipment</t>
        </is>
      </c>
      <c r="I412" s="147" t="inlineStr">
        <is>
          <t>Alternative Energy Equipment</t>
        </is>
      </c>
      <c r="J412" s="148" t="inlineStr">
        <is>
          <t>Alternative Energy Equipment*</t>
        </is>
      </c>
      <c r="K412" s="149" t="inlineStr">
        <is>
          <t>CleanTech</t>
        </is>
      </c>
      <c r="L412" s="150" t="inlineStr">
        <is>
          <t>Venture Capital-Backed</t>
        </is>
      </c>
      <c r="M412" s="151" t="n">
        <v>10.33</v>
      </c>
      <c r="N412" s="152" t="inlineStr">
        <is>
          <t>Generating Revenue</t>
        </is>
      </c>
      <c r="O412" s="153" t="inlineStr">
        <is>
          <t>Privately Held (backing)</t>
        </is>
      </c>
      <c r="P412" s="154" t="inlineStr">
        <is>
          <t>Venture Capital</t>
        </is>
      </c>
      <c r="Q412" s="155" t="inlineStr">
        <is>
          <t>www.solarenergysaver.co.uk</t>
        </is>
      </c>
      <c r="R412" s="156" t="inlineStr">
        <is>
          <t/>
        </is>
      </c>
      <c r="S412" s="157" t="inlineStr">
        <is>
          <t/>
        </is>
      </c>
      <c r="T412" s="158" t="inlineStr">
        <is>
          <t/>
        </is>
      </c>
      <c r="U412" s="159" t="n">
        <v>2012.0</v>
      </c>
      <c r="V412" s="160" t="inlineStr">
        <is>
          <t/>
        </is>
      </c>
      <c r="W412" s="161" t="inlineStr">
        <is>
          <t/>
        </is>
      </c>
      <c r="X412" s="162" t="inlineStr">
        <is>
          <t/>
        </is>
      </c>
      <c r="Y412" s="163" t="inlineStr">
        <is>
          <t/>
        </is>
      </c>
      <c r="Z412" s="164" t="inlineStr">
        <is>
          <t/>
        </is>
      </c>
      <c r="AA412" s="165" t="inlineStr">
        <is>
          <t/>
        </is>
      </c>
      <c r="AB412" s="166" t="inlineStr">
        <is>
          <t/>
        </is>
      </c>
      <c r="AC412" s="167" t="inlineStr">
        <is>
          <t/>
        </is>
      </c>
      <c r="AD412" s="168" t="inlineStr">
        <is>
          <t/>
        </is>
      </c>
      <c r="AE412" s="169" t="inlineStr">
        <is>
          <t>148314-34P</t>
        </is>
      </c>
      <c r="AF412" s="170" t="inlineStr">
        <is>
          <t>Michael Hughes</t>
        </is>
      </c>
      <c r="AG412" s="171" t="inlineStr">
        <is>
          <t>Co-Founder &amp; Director of Investments</t>
        </is>
      </c>
      <c r="AH412" s="172" t="inlineStr">
        <is>
          <t>michael.hughes@downing.co.uk</t>
        </is>
      </c>
      <c r="AI412" s="173" t="inlineStr">
        <is>
          <t>+44 (0)20 7416 7780</t>
        </is>
      </c>
      <c r="AJ412" s="174" t="inlineStr">
        <is>
          <t>Ballymena, United Kingdom</t>
        </is>
      </c>
      <c r="AK412" s="175" t="inlineStr">
        <is>
          <t>27-28 The Courtyard Galgorm Castle</t>
        </is>
      </c>
      <c r="AL412" s="176" t="inlineStr">
        <is>
          <t/>
        </is>
      </c>
      <c r="AM412" s="177" t="inlineStr">
        <is>
          <t>Ballymena</t>
        </is>
      </c>
      <c r="AN412" s="178" t="inlineStr">
        <is>
          <t>Northern Ireland</t>
        </is>
      </c>
      <c r="AO412" s="179" t="inlineStr">
        <is>
          <t>BT42 1HL</t>
        </is>
      </c>
      <c r="AP412" s="180" t="inlineStr">
        <is>
          <t>United Kingdom</t>
        </is>
      </c>
      <c r="AQ412" s="181" t="inlineStr">
        <is>
          <t>+44 (0)28 2566 0874</t>
        </is>
      </c>
      <c r="AR412" s="182" t="inlineStr">
        <is>
          <t>+44 (0)28 2565 6222</t>
        </is>
      </c>
      <c r="AS412" s="183" t="inlineStr">
        <is>
          <t>info@solarenergysaver.com</t>
        </is>
      </c>
      <c r="AT412" s="184" t="inlineStr">
        <is>
          <t>Europe</t>
        </is>
      </c>
      <c r="AU412" s="185" t="inlineStr">
        <is>
          <t>Western Europe</t>
        </is>
      </c>
      <c r="AV412" s="186" t="inlineStr">
        <is>
          <t>The company raised GBP 3.5 million of venture funding from Downing on April 27, 2015. The funds will be used to build, own and operate Solar PV systems in Northern Ireland.</t>
        </is>
      </c>
      <c r="AW412" s="187" t="inlineStr">
        <is>
          <t>Downing</t>
        </is>
      </c>
      <c r="AX412" s="188" t="n">
        <v>1.0</v>
      </c>
      <c r="AY412" s="189" t="inlineStr">
        <is>
          <t/>
        </is>
      </c>
      <c r="AZ412" s="190" t="inlineStr">
        <is>
          <t/>
        </is>
      </c>
      <c r="BA412" s="191" t="inlineStr">
        <is>
          <t/>
        </is>
      </c>
      <c r="BB412" s="192" t="inlineStr">
        <is>
          <t>Downing (www.downing.co.uk)</t>
        </is>
      </c>
      <c r="BC412" s="193" t="inlineStr">
        <is>
          <t/>
        </is>
      </c>
      <c r="BD412" s="194" t="inlineStr">
        <is>
          <t/>
        </is>
      </c>
      <c r="BE412" s="195" t="inlineStr">
        <is>
          <t/>
        </is>
      </c>
      <c r="BF412" s="196" t="inlineStr">
        <is>
          <t>Bermans (Legal Advisor)</t>
        </is>
      </c>
      <c r="BG412" s="197" t="inlineStr">
        <is>
          <t/>
        </is>
      </c>
      <c r="BH412" s="198" t="n">
        <v>5.49</v>
      </c>
      <c r="BI412" s="199" t="inlineStr">
        <is>
          <t>Actual</t>
        </is>
      </c>
      <c r="BJ412" s="200" t="inlineStr">
        <is>
          <t/>
        </is>
      </c>
      <c r="BK412" s="201" t="inlineStr">
        <is>
          <t/>
        </is>
      </c>
      <c r="BL412" s="202" t="inlineStr">
        <is>
          <t>Early Stage VC</t>
        </is>
      </c>
      <c r="BM412" s="203" t="inlineStr">
        <is>
          <t/>
        </is>
      </c>
      <c r="BN412" s="204" t="inlineStr">
        <is>
          <t/>
        </is>
      </c>
      <c r="BO412" s="205" t="inlineStr">
        <is>
          <t>Venture Capital</t>
        </is>
      </c>
      <c r="BP412" s="206" t="inlineStr">
        <is>
          <t/>
        </is>
      </c>
      <c r="BQ412" s="207" t="inlineStr">
        <is>
          <t/>
        </is>
      </c>
      <c r="BR412" s="208" t="inlineStr">
        <is>
          <t/>
        </is>
      </c>
      <c r="BS412" s="209" t="inlineStr">
        <is>
          <t>Completed</t>
        </is>
      </c>
      <c r="BT412" s="210" t="n">
        <v>42121.0</v>
      </c>
      <c r="BU412" s="211" t="n">
        <v>4.84</v>
      </c>
      <c r="BV412" s="212" t="inlineStr">
        <is>
          <t>Actual</t>
        </is>
      </c>
      <c r="BW412" s="213" t="inlineStr">
        <is>
          <t/>
        </is>
      </c>
      <c r="BX412" s="214" t="inlineStr">
        <is>
          <t/>
        </is>
      </c>
      <c r="BY412" s="215" t="inlineStr">
        <is>
          <t>Early Stage VC</t>
        </is>
      </c>
      <c r="BZ412" s="216" t="inlineStr">
        <is>
          <t/>
        </is>
      </c>
      <c r="CA412" s="217" t="inlineStr">
        <is>
          <t/>
        </is>
      </c>
      <c r="CB412" s="218" t="inlineStr">
        <is>
          <t>Venture Capital</t>
        </is>
      </c>
      <c r="CC412" s="219" t="inlineStr">
        <is>
          <t/>
        </is>
      </c>
      <c r="CD412" s="220" t="inlineStr">
        <is>
          <t/>
        </is>
      </c>
      <c r="CE412" s="221" t="inlineStr">
        <is>
          <t/>
        </is>
      </c>
      <c r="CF412" s="222" t="inlineStr">
        <is>
          <t>Completed</t>
        </is>
      </c>
      <c r="CG412" s="223" t="inlineStr">
        <is>
          <t/>
        </is>
      </c>
      <c r="CH412" s="224" t="inlineStr">
        <is>
          <t/>
        </is>
      </c>
      <c r="CI412" s="225" t="inlineStr">
        <is>
          <t/>
        </is>
      </c>
      <c r="CJ412" s="226" t="inlineStr">
        <is>
          <t/>
        </is>
      </c>
      <c r="CK412" s="227" t="inlineStr">
        <is>
          <t/>
        </is>
      </c>
      <c r="CL412" s="228" t="inlineStr">
        <is>
          <t/>
        </is>
      </c>
      <c r="CM412" s="229" t="inlineStr">
        <is>
          <t/>
        </is>
      </c>
      <c r="CN412" s="230" t="inlineStr">
        <is>
          <t/>
        </is>
      </c>
      <c r="CO412" s="231" t="inlineStr">
        <is>
          <t/>
        </is>
      </c>
      <c r="CP412" s="232" t="inlineStr">
        <is>
          <t/>
        </is>
      </c>
      <c r="CQ412" s="233" t="inlineStr">
        <is>
          <t/>
        </is>
      </c>
      <c r="CR412" s="234" t="inlineStr">
        <is>
          <t/>
        </is>
      </c>
      <c r="CS412" s="235" t="inlineStr">
        <is>
          <t/>
        </is>
      </c>
      <c r="CT412" s="236" t="inlineStr">
        <is>
          <t/>
        </is>
      </c>
      <c r="CU412" s="237" t="inlineStr">
        <is>
          <t/>
        </is>
      </c>
      <c r="CV412" s="238" t="inlineStr">
        <is>
          <t/>
        </is>
      </c>
      <c r="CW412" s="239" t="inlineStr">
        <is>
          <t/>
        </is>
      </c>
      <c r="CX412" s="240" t="inlineStr">
        <is>
          <t/>
        </is>
      </c>
      <c r="CY412" s="241" t="inlineStr">
        <is>
          <t/>
        </is>
      </c>
      <c r="CZ412" s="242" t="inlineStr">
        <is>
          <t/>
        </is>
      </c>
      <c r="DA412" s="243" t="inlineStr">
        <is>
          <t/>
        </is>
      </c>
      <c r="DB412" s="244" t="inlineStr">
        <is>
          <t/>
        </is>
      </c>
      <c r="DC412" s="245" t="inlineStr">
        <is>
          <t/>
        </is>
      </c>
      <c r="DD412" s="246" t="inlineStr">
        <is>
          <t/>
        </is>
      </c>
      <c r="DE412" s="247" t="inlineStr">
        <is>
          <t/>
        </is>
      </c>
      <c r="DF412" s="248" t="inlineStr">
        <is>
          <t/>
        </is>
      </c>
      <c r="DG412" s="249" t="inlineStr">
        <is>
          <t/>
        </is>
      </c>
      <c r="DH412" s="250" t="inlineStr">
        <is>
          <t/>
        </is>
      </c>
      <c r="DI412" s="251" t="inlineStr">
        <is>
          <t/>
        </is>
      </c>
      <c r="DJ412" s="252" t="inlineStr">
        <is>
          <t/>
        </is>
      </c>
      <c r="DK412" s="253" t="inlineStr">
        <is>
          <t/>
        </is>
      </c>
      <c r="DL412" s="254" t="inlineStr">
        <is>
          <t/>
        </is>
      </c>
      <c r="DM412" s="255" t="inlineStr">
        <is>
          <t/>
        </is>
      </c>
      <c r="DN412" s="256" t="inlineStr">
        <is>
          <t/>
        </is>
      </c>
      <c r="DO412" s="257" t="inlineStr">
        <is>
          <t/>
        </is>
      </c>
      <c r="DP412" s="258" t="inlineStr">
        <is>
          <t/>
        </is>
      </c>
      <c r="DQ412" s="259" t="inlineStr">
        <is>
          <t/>
        </is>
      </c>
      <c r="DR412" s="260" t="inlineStr">
        <is>
          <t/>
        </is>
      </c>
      <c r="DS412" s="261" t="inlineStr">
        <is>
          <t/>
        </is>
      </c>
      <c r="DT412" s="262" t="inlineStr">
        <is>
          <t/>
        </is>
      </c>
      <c r="DU412" s="263" t="inlineStr">
        <is>
          <t/>
        </is>
      </c>
      <c r="DV412" s="264" t="inlineStr">
        <is>
          <t/>
        </is>
      </c>
      <c r="DW412" s="265" t="inlineStr">
        <is>
          <t/>
        </is>
      </c>
      <c r="DX412" s="266" t="inlineStr">
        <is>
          <t/>
        </is>
      </c>
      <c r="DY412" s="267" t="inlineStr">
        <is>
          <t>PitchBook Research</t>
        </is>
      </c>
      <c r="DZ412" s="786">
        <f>HYPERLINK("https://my.pitchbook.com?c=185609-26", "View company online")</f>
      </c>
    </row>
    <row r="413">
      <c r="A413" s="9" t="inlineStr">
        <is>
          <t>161554-69</t>
        </is>
      </c>
      <c r="B413" s="10" t="inlineStr">
        <is>
          <t>SolarisBank</t>
        </is>
      </c>
      <c r="C413" s="11" t="inlineStr">
        <is>
          <t/>
        </is>
      </c>
      <c r="D413" s="12" t="inlineStr">
        <is>
          <t>Solaris</t>
        </is>
      </c>
      <c r="E413" s="13" t="inlineStr">
        <is>
          <t>161554-69</t>
        </is>
      </c>
      <c r="F413" s="14" t="inlineStr">
        <is>
          <t>Provider of an API-based Banking-as-a-Platform (BaaP) designed to integrate banking services for emerging digital-first companies. The company's API-based Banking-as-a-Platform (BaaP) provide an easy-to-integrate customizable platform enabling digital companies to create, innovate in finance, banking tech and regulatory air cover to their financial needs.</t>
        </is>
      </c>
      <c r="G413" s="15" t="inlineStr">
        <is>
          <t>Information Technology</t>
        </is>
      </c>
      <c r="H413" s="16" t="inlineStr">
        <is>
          <t>Software</t>
        </is>
      </c>
      <c r="I413" s="17" t="inlineStr">
        <is>
          <t>Financial Software</t>
        </is>
      </c>
      <c r="J413" s="18" t="inlineStr">
        <is>
          <t>Financial Software*</t>
        </is>
      </c>
      <c r="K413" s="19" t="inlineStr">
        <is>
          <t>FinTech, SaaS</t>
        </is>
      </c>
      <c r="L413" s="20" t="inlineStr">
        <is>
          <t>Venture Capital-Backed</t>
        </is>
      </c>
      <c r="M413" s="21" t="n">
        <v>26.3</v>
      </c>
      <c r="N413" s="22" t="inlineStr">
        <is>
          <t>Generating Revenue</t>
        </is>
      </c>
      <c r="O413" s="23" t="inlineStr">
        <is>
          <t>Privately Held (backing)</t>
        </is>
      </c>
      <c r="P413" s="24" t="inlineStr">
        <is>
          <t>Venture Capital</t>
        </is>
      </c>
      <c r="Q413" s="25" t="inlineStr">
        <is>
          <t>www.solarisbank.de</t>
        </is>
      </c>
      <c r="R413" s="26" t="n">
        <v>85.0</v>
      </c>
      <c r="S413" s="27" t="inlineStr">
        <is>
          <t/>
        </is>
      </c>
      <c r="T413" s="28" t="inlineStr">
        <is>
          <t/>
        </is>
      </c>
      <c r="U413" s="29" t="n">
        <v>2015.0</v>
      </c>
      <c r="V413" s="30" t="inlineStr">
        <is>
          <t/>
        </is>
      </c>
      <c r="W413" s="31" t="inlineStr">
        <is>
          <t/>
        </is>
      </c>
      <c r="X413" s="32" t="inlineStr">
        <is>
          <t/>
        </is>
      </c>
      <c r="Y413" s="33" t="inlineStr">
        <is>
          <t/>
        </is>
      </c>
      <c r="Z413" s="34" t="inlineStr">
        <is>
          <t/>
        </is>
      </c>
      <c r="AA413" s="35" t="inlineStr">
        <is>
          <t/>
        </is>
      </c>
      <c r="AB413" s="36" t="inlineStr">
        <is>
          <t/>
        </is>
      </c>
      <c r="AC413" s="37" t="inlineStr">
        <is>
          <t/>
        </is>
      </c>
      <c r="AD413" s="38" t="inlineStr">
        <is>
          <t/>
        </is>
      </c>
      <c r="AE413" s="39" t="inlineStr">
        <is>
          <t>87181-75P</t>
        </is>
      </c>
      <c r="AF413" s="40" t="inlineStr">
        <is>
          <t>Peter Grosskopf</t>
        </is>
      </c>
      <c r="AG413" s="41" t="inlineStr">
        <is>
          <t>Chief Technology Officer</t>
        </is>
      </c>
      <c r="AH413" s="42" t="inlineStr">
        <is>
          <t>peter@solarisbank.de</t>
        </is>
      </c>
      <c r="AI413" s="43" t="inlineStr">
        <is>
          <t>+49 (0)30 2325 6789 00</t>
        </is>
      </c>
      <c r="AJ413" s="44" t="inlineStr">
        <is>
          <t>Berlin, Germany</t>
        </is>
      </c>
      <c r="AK413" s="45" t="inlineStr">
        <is>
          <t>Anna-Louisa-Karsch Straße 2</t>
        </is>
      </c>
      <c r="AL413" s="46" t="inlineStr">
        <is>
          <t/>
        </is>
      </c>
      <c r="AM413" s="47" t="inlineStr">
        <is>
          <t>Berlin</t>
        </is>
      </c>
      <c r="AN413" s="48" t="inlineStr">
        <is>
          <t/>
        </is>
      </c>
      <c r="AO413" s="49" t="inlineStr">
        <is>
          <t>10178</t>
        </is>
      </c>
      <c r="AP413" s="50" t="inlineStr">
        <is>
          <t>Germany</t>
        </is>
      </c>
      <c r="AQ413" s="51" t="inlineStr">
        <is>
          <t>+49 (0)30 2325 6789 00</t>
        </is>
      </c>
      <c r="AR413" s="52" t="inlineStr">
        <is>
          <t/>
        </is>
      </c>
      <c r="AS413" s="53" t="inlineStr">
        <is>
          <t>info@solarisbank.de</t>
        </is>
      </c>
      <c r="AT413" s="54" t="inlineStr">
        <is>
          <t>Europe</t>
        </is>
      </c>
      <c r="AU413" s="55" t="inlineStr">
        <is>
          <t>Western Europe</t>
        </is>
      </c>
      <c r="AV413" s="56" t="inlineStr">
        <is>
          <t>The company raised EUR 26.3 million of Series A venture funding in a deal co-led by Arvato Bertelsmann and SBI Holdings on March 14, 2017. FinLeap, Hegus, UniCredit and yabeo Capital also participated in the round. The company intends to use the funds to further grow their transaction and loan businesses.</t>
        </is>
      </c>
      <c r="AW413" s="57" t="inlineStr">
        <is>
          <t>Arvato, FinLeap, Hegus, Maria Pennanen, SBI Holdings, UniCredit, yabeo Capital</t>
        </is>
      </c>
      <c r="AX413" s="58" t="n">
        <v>7.0</v>
      </c>
      <c r="AY413" s="59" t="inlineStr">
        <is>
          <t/>
        </is>
      </c>
      <c r="AZ413" s="60" t="inlineStr">
        <is>
          <t/>
        </is>
      </c>
      <c r="BA413" s="61" t="inlineStr">
        <is>
          <t/>
        </is>
      </c>
      <c r="BB413" s="62" t="inlineStr">
        <is>
          <t>Arvato (www.arvato.com), FinLeap (www.finleap.com), SBI Holdings (www.sbigroup.co.jp), UniCredit (www.unicreditgroup.eu), yabeo Capital (www.yabeo.de)</t>
        </is>
      </c>
      <c r="BC413" s="63" t="inlineStr">
        <is>
          <t/>
        </is>
      </c>
      <c r="BD413" s="64" t="inlineStr">
        <is>
          <t/>
        </is>
      </c>
      <c r="BE413" s="65" t="inlineStr">
        <is>
          <t/>
        </is>
      </c>
      <c r="BF413" s="66" t="inlineStr">
        <is>
          <t>P+P Pöllath + Partners (Legal Advisor)</t>
        </is>
      </c>
      <c r="BG413" s="67" t="n">
        <v>42370.0</v>
      </c>
      <c r="BH413" s="68" t="inlineStr">
        <is>
          <t/>
        </is>
      </c>
      <c r="BI413" s="69" t="inlineStr">
        <is>
          <t/>
        </is>
      </c>
      <c r="BJ413" s="70" t="inlineStr">
        <is>
          <t/>
        </is>
      </c>
      <c r="BK413" s="71" t="inlineStr">
        <is>
          <t/>
        </is>
      </c>
      <c r="BL413" s="72" t="inlineStr">
        <is>
          <t>Seed Round</t>
        </is>
      </c>
      <c r="BM413" s="73" t="inlineStr">
        <is>
          <t>Seed</t>
        </is>
      </c>
      <c r="BN413" s="74" t="inlineStr">
        <is>
          <t/>
        </is>
      </c>
      <c r="BO413" s="75" t="inlineStr">
        <is>
          <t>Venture Capital</t>
        </is>
      </c>
      <c r="BP413" s="76" t="inlineStr">
        <is>
          <t/>
        </is>
      </c>
      <c r="BQ413" s="77" t="inlineStr">
        <is>
          <t/>
        </is>
      </c>
      <c r="BR413" s="78" t="inlineStr">
        <is>
          <t/>
        </is>
      </c>
      <c r="BS413" s="79" t="inlineStr">
        <is>
          <t>Completed</t>
        </is>
      </c>
      <c r="BT413" s="80" t="n">
        <v>42808.0</v>
      </c>
      <c r="BU413" s="81" t="n">
        <v>26.3</v>
      </c>
      <c r="BV413" s="82" t="inlineStr">
        <is>
          <t>Actual</t>
        </is>
      </c>
      <c r="BW413" s="83" t="inlineStr">
        <is>
          <t/>
        </is>
      </c>
      <c r="BX413" s="84" t="inlineStr">
        <is>
          <t/>
        </is>
      </c>
      <c r="BY413" s="85" t="inlineStr">
        <is>
          <t>Early Stage VC</t>
        </is>
      </c>
      <c r="BZ413" s="86" t="inlineStr">
        <is>
          <t>Series A</t>
        </is>
      </c>
      <c r="CA413" s="87" t="inlineStr">
        <is>
          <t/>
        </is>
      </c>
      <c r="CB413" s="88" t="inlineStr">
        <is>
          <t>Venture Capital</t>
        </is>
      </c>
      <c r="CC413" s="89" t="inlineStr">
        <is>
          <t/>
        </is>
      </c>
      <c r="CD413" s="90" t="inlineStr">
        <is>
          <t/>
        </is>
      </c>
      <c r="CE413" s="91" t="inlineStr">
        <is>
          <t/>
        </is>
      </c>
      <c r="CF413" s="92" t="inlineStr">
        <is>
          <t>Completed</t>
        </is>
      </c>
      <c r="CG413" s="93" t="inlineStr">
        <is>
          <t>-0,81%</t>
        </is>
      </c>
      <c r="CH413" s="94" t="inlineStr">
        <is>
          <t>6</t>
        </is>
      </c>
      <c r="CI413" s="95" t="inlineStr">
        <is>
          <t>0,04%</t>
        </is>
      </c>
      <c r="CJ413" s="96" t="inlineStr">
        <is>
          <t>4,41%</t>
        </is>
      </c>
      <c r="CK413" s="97" t="inlineStr">
        <is>
          <t>-2,60%</t>
        </is>
      </c>
      <c r="CL413" s="98" t="inlineStr">
        <is>
          <t>4</t>
        </is>
      </c>
      <c r="CM413" s="99" t="inlineStr">
        <is>
          <t>0,99%</t>
        </is>
      </c>
      <c r="CN413" s="100" t="inlineStr">
        <is>
          <t>96</t>
        </is>
      </c>
      <c r="CO413" s="101" t="inlineStr">
        <is>
          <t>-6,01%</t>
        </is>
      </c>
      <c r="CP413" s="102" t="inlineStr">
        <is>
          <t>5</t>
        </is>
      </c>
      <c r="CQ413" s="103" t="inlineStr">
        <is>
          <t>0,80%</t>
        </is>
      </c>
      <c r="CR413" s="104" t="inlineStr">
        <is>
          <t>88</t>
        </is>
      </c>
      <c r="CS413" s="105" t="inlineStr">
        <is>
          <t>1,06%</t>
        </is>
      </c>
      <c r="CT413" s="106" t="inlineStr">
        <is>
          <t>95</t>
        </is>
      </c>
      <c r="CU413" s="107" t="inlineStr">
        <is>
          <t>0,91%</t>
        </is>
      </c>
      <c r="CV413" s="108" t="inlineStr">
        <is>
          <t>97</t>
        </is>
      </c>
      <c r="CW413" s="109" t="inlineStr">
        <is>
          <t>5,38x</t>
        </is>
      </c>
      <c r="CX413" s="110" t="inlineStr">
        <is>
          <t>80</t>
        </is>
      </c>
      <c r="CY413" s="111" t="inlineStr">
        <is>
          <t>0,10x</t>
        </is>
      </c>
      <c r="CZ413" s="112" t="inlineStr">
        <is>
          <t>1,80%</t>
        </is>
      </c>
      <c r="DA413" s="113" t="inlineStr">
        <is>
          <t>6,85x</t>
        </is>
      </c>
      <c r="DB413" s="114" t="inlineStr">
        <is>
          <t>84</t>
        </is>
      </c>
      <c r="DC413" s="115" t="inlineStr">
        <is>
          <t>3,90x</t>
        </is>
      </c>
      <c r="DD413" s="116" t="inlineStr">
        <is>
          <t>72</t>
        </is>
      </c>
      <c r="DE413" s="117" t="inlineStr">
        <is>
          <t>6,04x</t>
        </is>
      </c>
      <c r="DF413" s="118" t="inlineStr">
        <is>
          <t>79</t>
        </is>
      </c>
      <c r="DG413" s="119" t="inlineStr">
        <is>
          <t>7,67x</t>
        </is>
      </c>
      <c r="DH413" s="120" t="inlineStr">
        <is>
          <t>83</t>
        </is>
      </c>
      <c r="DI413" s="121" t="inlineStr">
        <is>
          <t>0,16x</t>
        </is>
      </c>
      <c r="DJ413" s="122" t="inlineStr">
        <is>
          <t>20</t>
        </is>
      </c>
      <c r="DK413" s="123" t="inlineStr">
        <is>
          <t>7,65x</t>
        </is>
      </c>
      <c r="DL413" s="124" t="inlineStr">
        <is>
          <t>83</t>
        </is>
      </c>
      <c r="DM413" s="125" t="inlineStr">
        <is>
          <t>3.779</t>
        </is>
      </c>
      <c r="DN413" s="126" t="inlineStr">
        <is>
          <t>-197</t>
        </is>
      </c>
      <c r="DO413" s="127" t="inlineStr">
        <is>
          <t>-4,95%</t>
        </is>
      </c>
      <c r="DP413" s="128" t="inlineStr">
        <is>
          <t>124</t>
        </is>
      </c>
      <c r="DQ413" s="129" t="inlineStr">
        <is>
          <t>2</t>
        </is>
      </c>
      <c r="DR413" s="130" t="inlineStr">
        <is>
          <t>1,64%</t>
        </is>
      </c>
      <c r="DS413" s="131" t="inlineStr">
        <is>
          <t>277</t>
        </is>
      </c>
      <c r="DT413" s="132" t="inlineStr">
        <is>
          <t>-1</t>
        </is>
      </c>
      <c r="DU413" s="133" t="inlineStr">
        <is>
          <t>-0,36%</t>
        </is>
      </c>
      <c r="DV413" s="134" t="inlineStr">
        <is>
          <t>2.607</t>
        </is>
      </c>
      <c r="DW413" s="135" t="inlineStr">
        <is>
          <t>38</t>
        </is>
      </c>
      <c r="DX413" s="136" t="inlineStr">
        <is>
          <t>1,48%</t>
        </is>
      </c>
      <c r="DY413" s="137" t="inlineStr">
        <is>
          <t>PitchBook Research</t>
        </is>
      </c>
      <c r="DZ413" s="785">
        <f>HYPERLINK("https://my.pitchbook.com?c=161554-69", "View company online")</f>
      </c>
    </row>
    <row r="414">
      <c r="A414" s="139" t="inlineStr">
        <is>
          <t>168373-90</t>
        </is>
      </c>
      <c r="B414" s="140" t="inlineStr">
        <is>
          <t>Soldo</t>
        </is>
      </c>
      <c r="C414" s="141" t="inlineStr">
        <is>
          <t/>
        </is>
      </c>
      <c r="D414" s="142" t="inlineStr">
        <is>
          <t/>
        </is>
      </c>
      <c r="E414" s="143" t="inlineStr">
        <is>
          <t>168373-90</t>
        </is>
      </c>
      <c r="F414" s="144" t="inlineStr">
        <is>
          <t>Provider of multi-user spending accounts designed to offer financial security. The company's multi-user spending accounts link multiple cards to a smart account by creating a virtual wallet, enabling consumers to put an end to expense reports and reconciliation processes, as well as keep track of spending with notifications and budgets.</t>
        </is>
      </c>
      <c r="G414" s="145" t="inlineStr">
        <is>
          <t>Financial Services</t>
        </is>
      </c>
      <c r="H414" s="146" t="inlineStr">
        <is>
          <t>Other Financial Services</t>
        </is>
      </c>
      <c r="I414" s="147" t="inlineStr">
        <is>
          <t>Other Financial Services</t>
        </is>
      </c>
      <c r="J414" s="148" t="inlineStr">
        <is>
          <t>Other Financial Services*; Financial Software</t>
        </is>
      </c>
      <c r="K414" s="149" t="inlineStr">
        <is>
          <t>FinTech</t>
        </is>
      </c>
      <c r="L414" s="150" t="inlineStr">
        <is>
          <t>Venture Capital-Backed</t>
        </is>
      </c>
      <c r="M414" s="151" t="n">
        <v>15.74</v>
      </c>
      <c r="N414" s="152" t="inlineStr">
        <is>
          <t>Generating Revenue</t>
        </is>
      </c>
      <c r="O414" s="153" t="inlineStr">
        <is>
          <t>Privately Held (backing)</t>
        </is>
      </c>
      <c r="P414" s="154" t="inlineStr">
        <is>
          <t>Venture Capital</t>
        </is>
      </c>
      <c r="Q414" s="155" t="inlineStr">
        <is>
          <t>www.soldo.com</t>
        </is>
      </c>
      <c r="R414" s="156" t="n">
        <v>40.0</v>
      </c>
      <c r="S414" s="157" t="inlineStr">
        <is>
          <t/>
        </is>
      </c>
      <c r="T414" s="158" t="inlineStr">
        <is>
          <t/>
        </is>
      </c>
      <c r="U414" s="159" t="n">
        <v>2014.0</v>
      </c>
      <c r="V414" s="160" t="inlineStr">
        <is>
          <t/>
        </is>
      </c>
      <c r="W414" s="161" t="inlineStr">
        <is>
          <t/>
        </is>
      </c>
      <c r="X414" s="162" t="inlineStr">
        <is>
          <t/>
        </is>
      </c>
      <c r="Y414" s="163" t="inlineStr">
        <is>
          <t/>
        </is>
      </c>
      <c r="Z414" s="164" t="inlineStr">
        <is>
          <t/>
        </is>
      </c>
      <c r="AA414" s="165" t="inlineStr">
        <is>
          <t/>
        </is>
      </c>
      <c r="AB414" s="166" t="inlineStr">
        <is>
          <t/>
        </is>
      </c>
      <c r="AC414" s="167" t="inlineStr">
        <is>
          <t/>
        </is>
      </c>
      <c r="AD414" s="168" t="inlineStr">
        <is>
          <t/>
        </is>
      </c>
      <c r="AE414" s="169" t="inlineStr">
        <is>
          <t>150608-62P</t>
        </is>
      </c>
      <c r="AF414" s="170" t="inlineStr">
        <is>
          <t>Andrea Gerosa</t>
        </is>
      </c>
      <c r="AG414" s="171" t="inlineStr">
        <is>
          <t>Co-Founder &amp; Chief Financial Officer</t>
        </is>
      </c>
      <c r="AH414" s="172" t="inlineStr">
        <is>
          <t/>
        </is>
      </c>
      <c r="AI414" s="173" t="inlineStr">
        <is>
          <t/>
        </is>
      </c>
      <c r="AJ414" s="174" t="inlineStr">
        <is>
          <t>London, United Kingdom</t>
        </is>
      </c>
      <c r="AK414" s="175" t="inlineStr">
        <is>
          <t>BOX 324</t>
        </is>
      </c>
      <c r="AL414" s="176" t="inlineStr">
        <is>
          <t>19-21 Crawford Street</t>
        </is>
      </c>
      <c r="AM414" s="177" t="inlineStr">
        <is>
          <t>London</t>
        </is>
      </c>
      <c r="AN414" s="178" t="inlineStr">
        <is>
          <t>England</t>
        </is>
      </c>
      <c r="AO414" s="179" t="inlineStr">
        <is>
          <t>W1H 1PJ</t>
        </is>
      </c>
      <c r="AP414" s="180" t="inlineStr">
        <is>
          <t>United Kingdom</t>
        </is>
      </c>
      <c r="AQ414" s="181" t="inlineStr">
        <is>
          <t/>
        </is>
      </c>
      <c r="AR414" s="182" t="inlineStr">
        <is>
          <t/>
        </is>
      </c>
      <c r="AS414" s="183" t="inlineStr">
        <is>
          <t/>
        </is>
      </c>
      <c r="AT414" s="184" t="inlineStr">
        <is>
          <t>Europe</t>
        </is>
      </c>
      <c r="AU414" s="185" t="inlineStr">
        <is>
          <t>Western Europe</t>
        </is>
      </c>
      <c r="AV414" s="186" t="inlineStr">
        <is>
          <t>The company raised $11 million of Series A venture funding in a deal led by Accel on June 21, 2017. Connect Ventures, R301 Capital, InReach Ventures, U-Start and R204 Partners also participated. The company intends to use the funds to further strengthen its proprietary technology and expand in current markets, UK and Italy, and launch throughout Europe (firstly in Luxembourg and Ireland) by increasing its marketing and business development functions.</t>
        </is>
      </c>
      <c r="AW414" s="187" t="inlineStr">
        <is>
          <t>Accel, Connect Ventures, InReach Ventures, R204 Partners, R301 Capital, U-Start</t>
        </is>
      </c>
      <c r="AX414" s="188" t="n">
        <v>6.0</v>
      </c>
      <c r="AY414" s="189" t="inlineStr">
        <is>
          <t/>
        </is>
      </c>
      <c r="AZ414" s="190" t="inlineStr">
        <is>
          <t/>
        </is>
      </c>
      <c r="BA414" s="191" t="inlineStr">
        <is>
          <t/>
        </is>
      </c>
      <c r="BB414" s="192" t="inlineStr">
        <is>
          <t>Accel (www.accel.com), Connect Ventures (www.connectventures.co), InReach Ventures (www.inreachventures.com), R204 Partners (www.r204partners.com), R301 Capital (www.r301capital.com), U-Start (www.u-start.biz)</t>
        </is>
      </c>
      <c r="BC414" s="193" t="inlineStr">
        <is>
          <t/>
        </is>
      </c>
      <c r="BD414" s="194" t="inlineStr">
        <is>
          <t/>
        </is>
      </c>
      <c r="BE414" s="195" t="inlineStr">
        <is>
          <t>U-Start (Advisor)</t>
        </is>
      </c>
      <c r="BF414" s="196" t="inlineStr">
        <is>
          <t/>
        </is>
      </c>
      <c r="BG414" s="197" t="n">
        <v>42675.0</v>
      </c>
      <c r="BH414" s="198" t="n">
        <v>4.6</v>
      </c>
      <c r="BI414" s="199" t="inlineStr">
        <is>
          <t>Actual</t>
        </is>
      </c>
      <c r="BJ414" s="200" t="n">
        <v>15.34</v>
      </c>
      <c r="BK414" s="201" t="inlineStr">
        <is>
          <t>Actual</t>
        </is>
      </c>
      <c r="BL414" s="202" t="inlineStr">
        <is>
          <t>Seed Round</t>
        </is>
      </c>
      <c r="BM414" s="203" t="inlineStr">
        <is>
          <t>Seed</t>
        </is>
      </c>
      <c r="BN414" s="204" t="inlineStr">
        <is>
          <t/>
        </is>
      </c>
      <c r="BO414" s="205" t="inlineStr">
        <is>
          <t>Venture Capital</t>
        </is>
      </c>
      <c r="BP414" s="206" t="inlineStr">
        <is>
          <t/>
        </is>
      </c>
      <c r="BQ414" s="207" t="inlineStr">
        <is>
          <t/>
        </is>
      </c>
      <c r="BR414" s="208" t="inlineStr">
        <is>
          <t/>
        </is>
      </c>
      <c r="BS414" s="209" t="inlineStr">
        <is>
          <t>Completed</t>
        </is>
      </c>
      <c r="BT414" s="210" t="n">
        <v>42907.0</v>
      </c>
      <c r="BU414" s="211" t="n">
        <v>9.8</v>
      </c>
      <c r="BV414" s="212" t="inlineStr">
        <is>
          <t>Actual</t>
        </is>
      </c>
      <c r="BW414" s="213" t="n">
        <v>37.16</v>
      </c>
      <c r="BX414" s="214" t="inlineStr">
        <is>
          <t>Actual</t>
        </is>
      </c>
      <c r="BY414" s="215" t="inlineStr">
        <is>
          <t>Early Stage VC</t>
        </is>
      </c>
      <c r="BZ414" s="216" t="inlineStr">
        <is>
          <t>Series A</t>
        </is>
      </c>
      <c r="CA414" s="217" t="inlineStr">
        <is>
          <t/>
        </is>
      </c>
      <c r="CB414" s="218" t="inlineStr">
        <is>
          <t>Venture Capital</t>
        </is>
      </c>
      <c r="CC414" s="219" t="inlineStr">
        <is>
          <t/>
        </is>
      </c>
      <c r="CD414" s="220" t="inlineStr">
        <is>
          <t/>
        </is>
      </c>
      <c r="CE414" s="221" t="inlineStr">
        <is>
          <t/>
        </is>
      </c>
      <c r="CF414" s="222" t="inlineStr">
        <is>
          <t>Completed</t>
        </is>
      </c>
      <c r="CG414" s="223" t="inlineStr">
        <is>
          <t>-4,04%</t>
        </is>
      </c>
      <c r="CH414" s="224" t="inlineStr">
        <is>
          <t>1</t>
        </is>
      </c>
      <c r="CI414" s="225" t="inlineStr">
        <is>
          <t>-0,02%</t>
        </is>
      </c>
      <c r="CJ414" s="226" t="inlineStr">
        <is>
          <t>-0,38%</t>
        </is>
      </c>
      <c r="CK414" s="227" t="inlineStr">
        <is>
          <t>-9,81%</t>
        </is>
      </c>
      <c r="CL414" s="228" t="inlineStr">
        <is>
          <t>1</t>
        </is>
      </c>
      <c r="CM414" s="229" t="inlineStr">
        <is>
          <t>1,73%</t>
        </is>
      </c>
      <c r="CN414" s="230" t="inlineStr">
        <is>
          <t>98</t>
        </is>
      </c>
      <c r="CO414" s="231" t="inlineStr">
        <is>
          <t>-18,87%</t>
        </is>
      </c>
      <c r="CP414" s="232" t="inlineStr">
        <is>
          <t>1</t>
        </is>
      </c>
      <c r="CQ414" s="233" t="inlineStr">
        <is>
          <t>-0,76%</t>
        </is>
      </c>
      <c r="CR414" s="234" t="inlineStr">
        <is>
          <t>5</t>
        </is>
      </c>
      <c r="CS414" s="235" t="inlineStr">
        <is>
          <t>3,06%</t>
        </is>
      </c>
      <c r="CT414" s="236" t="inlineStr">
        <is>
          <t>99</t>
        </is>
      </c>
      <c r="CU414" s="237" t="inlineStr">
        <is>
          <t>0,40%</t>
        </is>
      </c>
      <c r="CV414" s="238" t="inlineStr">
        <is>
          <t>89</t>
        </is>
      </c>
      <c r="CW414" s="239" t="inlineStr">
        <is>
          <t>6,39x</t>
        </is>
      </c>
      <c r="CX414" s="240" t="inlineStr">
        <is>
          <t>82</t>
        </is>
      </c>
      <c r="CY414" s="241" t="inlineStr">
        <is>
          <t>0,16x</t>
        </is>
      </c>
      <c r="CZ414" s="242" t="inlineStr">
        <is>
          <t>2,64%</t>
        </is>
      </c>
      <c r="DA414" s="243" t="inlineStr">
        <is>
          <t>4,72x</t>
        </is>
      </c>
      <c r="DB414" s="244" t="inlineStr">
        <is>
          <t>79</t>
        </is>
      </c>
      <c r="DC414" s="245" t="inlineStr">
        <is>
          <t>8,05x</t>
        </is>
      </c>
      <c r="DD414" s="246" t="inlineStr">
        <is>
          <t>82</t>
        </is>
      </c>
      <c r="DE414" s="247" t="inlineStr">
        <is>
          <t>2,27x</t>
        </is>
      </c>
      <c r="DF414" s="248" t="inlineStr">
        <is>
          <t>66</t>
        </is>
      </c>
      <c r="DG414" s="249" t="inlineStr">
        <is>
          <t>7,17x</t>
        </is>
      </c>
      <c r="DH414" s="250" t="inlineStr">
        <is>
          <t>82</t>
        </is>
      </c>
      <c r="DI414" s="251" t="inlineStr">
        <is>
          <t>3,75x</t>
        </is>
      </c>
      <c r="DJ414" s="252" t="inlineStr">
        <is>
          <t>71</t>
        </is>
      </c>
      <c r="DK414" s="253" t="inlineStr">
        <is>
          <t>12,36x</t>
        </is>
      </c>
      <c r="DL414" s="254" t="inlineStr">
        <is>
          <t>88</t>
        </is>
      </c>
      <c r="DM414" s="255" t="inlineStr">
        <is>
          <t>1.495</t>
        </is>
      </c>
      <c r="DN414" s="256" t="inlineStr">
        <is>
          <t>-297</t>
        </is>
      </c>
      <c r="DO414" s="257" t="inlineStr">
        <is>
          <t>-16,57%</t>
        </is>
      </c>
      <c r="DP414" s="258" t="inlineStr">
        <is>
          <t>2.973</t>
        </is>
      </c>
      <c r="DQ414" s="259" t="inlineStr">
        <is>
          <t>80</t>
        </is>
      </c>
      <c r="DR414" s="260" t="inlineStr">
        <is>
          <t>2,77%</t>
        </is>
      </c>
      <c r="DS414" s="261" t="inlineStr">
        <is>
          <t>258</t>
        </is>
      </c>
      <c r="DT414" s="262" t="inlineStr">
        <is>
          <t>-3</t>
        </is>
      </c>
      <c r="DU414" s="263" t="inlineStr">
        <is>
          <t>-1,15%</t>
        </is>
      </c>
      <c r="DV414" s="264" t="inlineStr">
        <is>
          <t>4.232</t>
        </is>
      </c>
      <c r="DW414" s="265" t="inlineStr">
        <is>
          <t>26</t>
        </is>
      </c>
      <c r="DX414" s="266" t="inlineStr">
        <is>
          <t>0,62%</t>
        </is>
      </c>
      <c r="DY414" s="267" t="inlineStr">
        <is>
          <t>PitchBook Research</t>
        </is>
      </c>
      <c r="DZ414" s="786">
        <f>HYPERLINK("https://my.pitchbook.com?c=168373-90", "View company online")</f>
      </c>
    </row>
    <row r="415">
      <c r="A415" s="9" t="inlineStr">
        <is>
          <t>152713-99</t>
        </is>
      </c>
      <c r="B415" s="10" t="inlineStr">
        <is>
          <t>Sonovate</t>
        </is>
      </c>
      <c r="C415" s="11" t="inlineStr">
        <is>
          <t/>
        </is>
      </c>
      <c r="D415" s="12" t="inlineStr">
        <is>
          <t/>
        </is>
      </c>
      <c r="E415" s="13" t="inlineStr">
        <is>
          <t>152713-99</t>
        </is>
      </c>
      <c r="F415" s="14" t="inlineStr">
        <is>
          <t>Provider of recruitment financing. The company offers funding and a cloud based technology that enables businesses to manage their contractor payment cycle. It also offers back-office support services to recruitment agencies.</t>
        </is>
      </c>
      <c r="G415" s="15" t="inlineStr">
        <is>
          <t>Information Technology</t>
        </is>
      </c>
      <c r="H415" s="16" t="inlineStr">
        <is>
          <t>Software</t>
        </is>
      </c>
      <c r="I415" s="17" t="inlineStr">
        <is>
          <t>Financial Software</t>
        </is>
      </c>
      <c r="J415" s="18" t="inlineStr">
        <is>
          <t>Financial Software*; Social/Platform Software</t>
        </is>
      </c>
      <c r="K415" s="19" t="inlineStr">
        <is>
          <t>FinTech, SaaS</t>
        </is>
      </c>
      <c r="L415" s="20" t="inlineStr">
        <is>
          <t>Venture Capital-Backed</t>
        </is>
      </c>
      <c r="M415" s="21" t="n">
        <v>59.29</v>
      </c>
      <c r="N415" s="22" t="inlineStr">
        <is>
          <t>Startup</t>
        </is>
      </c>
      <c r="O415" s="23" t="inlineStr">
        <is>
          <t>Privately Held (backing)</t>
        </is>
      </c>
      <c r="P415" s="24" t="inlineStr">
        <is>
          <t>Venture Capital</t>
        </is>
      </c>
      <c r="Q415" s="25" t="inlineStr">
        <is>
          <t>www.sonovate.com</t>
        </is>
      </c>
      <c r="R415" s="26" t="n">
        <v>100.0</v>
      </c>
      <c r="S415" s="27" t="inlineStr">
        <is>
          <t/>
        </is>
      </c>
      <c r="T415" s="28" t="inlineStr">
        <is>
          <t/>
        </is>
      </c>
      <c r="U415" s="29" t="n">
        <v>2012.0</v>
      </c>
      <c r="V415" s="30" t="inlineStr">
        <is>
          <t/>
        </is>
      </c>
      <c r="W415" s="31" t="inlineStr">
        <is>
          <t/>
        </is>
      </c>
      <c r="X415" s="32" t="inlineStr">
        <is>
          <t/>
        </is>
      </c>
      <c r="Y415" s="33" t="n">
        <v>2.32187</v>
      </c>
      <c r="Z415" s="34" t="n">
        <v>2.10836</v>
      </c>
      <c r="AA415" s="35" t="n">
        <v>-2.74888</v>
      </c>
      <c r="AB415" s="36" t="inlineStr">
        <is>
          <t/>
        </is>
      </c>
      <c r="AC415" s="37" t="n">
        <v>-2.29518</v>
      </c>
      <c r="AD415" s="38" t="inlineStr">
        <is>
          <t>FY 2016</t>
        </is>
      </c>
      <c r="AE415" s="39" t="inlineStr">
        <is>
          <t>126542-80P</t>
        </is>
      </c>
      <c r="AF415" s="40" t="inlineStr">
        <is>
          <t>Richard Prime</t>
        </is>
      </c>
      <c r="AG415" s="41" t="inlineStr">
        <is>
          <t>Co-Chief Executive Officer, Board Member &amp; Co-Founder</t>
        </is>
      </c>
      <c r="AH415" s="42" t="inlineStr">
        <is>
          <t>rprime@sonovate.com</t>
        </is>
      </c>
      <c r="AI415" s="43" t="inlineStr">
        <is>
          <t>+44 (0)20 7112 4949</t>
        </is>
      </c>
      <c r="AJ415" s="44" t="inlineStr">
        <is>
          <t>London, United Kingdom</t>
        </is>
      </c>
      <c r="AK415" s="45" t="inlineStr">
        <is>
          <t>80 Cannon Street</t>
        </is>
      </c>
      <c r="AL415" s="46" t="inlineStr">
        <is>
          <t>6th Floor</t>
        </is>
      </c>
      <c r="AM415" s="47" t="inlineStr">
        <is>
          <t>London</t>
        </is>
      </c>
      <c r="AN415" s="48" t="inlineStr">
        <is>
          <t>England</t>
        </is>
      </c>
      <c r="AO415" s="49" t="inlineStr">
        <is>
          <t>EC4N 6HL</t>
        </is>
      </c>
      <c r="AP415" s="50" t="inlineStr">
        <is>
          <t>United Kingdom</t>
        </is>
      </c>
      <c r="AQ415" s="51" t="inlineStr">
        <is>
          <t>+44 (0)20 7112 4949</t>
        </is>
      </c>
      <c r="AR415" s="52" t="inlineStr">
        <is>
          <t/>
        </is>
      </c>
      <c r="AS415" s="53" t="inlineStr">
        <is>
          <t>hello@sonovate.com</t>
        </is>
      </c>
      <c r="AT415" s="54" t="inlineStr">
        <is>
          <t>Europe</t>
        </is>
      </c>
      <c r="AU415" s="55" t="inlineStr">
        <is>
          <t>Western Europe</t>
        </is>
      </c>
      <c r="AV415" s="56" t="inlineStr">
        <is>
          <t>The company raised GBP 13.89 million of Series B venture funding through a combination of debt and equity on October 12, 2016, putting the pre-money valuation at GBP 40.43 million. GBP 8.89 million of Series B funding was led by Global Founders Capital with participation from Dawn Capital. A GBP 5 million debt funding was provided by Shawbrook Business Credit. The company will use the funding to continue innovating, grow its team and plan for international expansion in Europe and North America.</t>
        </is>
      </c>
      <c r="AW415" s="57" t="inlineStr">
        <is>
          <t>Avala Capital, Dawn Capital, DN Capital, Global Founders Capital, Imran Akram, Paul Birch</t>
        </is>
      </c>
      <c r="AX415" s="58" t="n">
        <v>6.0</v>
      </c>
      <c r="AY415" s="59" t="inlineStr">
        <is>
          <t/>
        </is>
      </c>
      <c r="AZ415" s="60" t="inlineStr">
        <is>
          <t/>
        </is>
      </c>
      <c r="BA415" s="61" t="inlineStr">
        <is>
          <t/>
        </is>
      </c>
      <c r="BB415" s="62" t="inlineStr">
        <is>
          <t>Avala Capital (www.avalacapital.com), Dawn Capital (www.dawncapital.com), DN Capital (www.dncapital.com), Global Founders Capital (www.globalfounders.vc)</t>
        </is>
      </c>
      <c r="BC415" s="63" t="inlineStr">
        <is>
          <t/>
        </is>
      </c>
      <c r="BD415" s="64" t="inlineStr">
        <is>
          <t/>
        </is>
      </c>
      <c r="BE415" s="65" t="inlineStr">
        <is>
          <t>Barclays Bank (General Business Banking), KPMG (Auditor), Orrick Herrington &amp; Sutcliffe (Legal Advisor)</t>
        </is>
      </c>
      <c r="BF415" s="66" t="inlineStr">
        <is>
          <t>Orrick Herrington &amp; Sutcliffe (Legal Advisor), Shawbrook Bank, The PNC Financial Services Group, Shawbrook Business Credit</t>
        </is>
      </c>
      <c r="BG415" s="67" t="n">
        <v>40981.0</v>
      </c>
      <c r="BH415" s="68" t="n">
        <v>4.79</v>
      </c>
      <c r="BI415" s="69" t="inlineStr">
        <is>
          <t>Actual</t>
        </is>
      </c>
      <c r="BJ415" s="70" t="n">
        <v>2.16</v>
      </c>
      <c r="BK415" s="71" t="inlineStr">
        <is>
          <t>Actual</t>
        </is>
      </c>
      <c r="BL415" s="72" t="inlineStr">
        <is>
          <t>Angel (individual)</t>
        </is>
      </c>
      <c r="BM415" s="73" t="inlineStr">
        <is>
          <t>Angel</t>
        </is>
      </c>
      <c r="BN415" s="74" t="inlineStr">
        <is>
          <t/>
        </is>
      </c>
      <c r="BO415" s="75" t="inlineStr">
        <is>
          <t>Individual</t>
        </is>
      </c>
      <c r="BP415" s="76" t="inlineStr">
        <is>
          <t>Convertible Debt</t>
        </is>
      </c>
      <c r="BQ415" s="77" t="inlineStr">
        <is>
          <t/>
        </is>
      </c>
      <c r="BR415" s="78" t="inlineStr">
        <is>
          <t/>
        </is>
      </c>
      <c r="BS415" s="79" t="inlineStr">
        <is>
          <t>Completed</t>
        </is>
      </c>
      <c r="BT415" s="80" t="n">
        <v>42655.0</v>
      </c>
      <c r="BU415" s="81" t="n">
        <v>15.58</v>
      </c>
      <c r="BV415" s="82" t="inlineStr">
        <is>
          <t>Actual</t>
        </is>
      </c>
      <c r="BW415" s="83" t="n">
        <v>55.31</v>
      </c>
      <c r="BX415" s="84" t="inlineStr">
        <is>
          <t>Actual</t>
        </is>
      </c>
      <c r="BY415" s="85" t="inlineStr">
        <is>
          <t>Early Stage VC</t>
        </is>
      </c>
      <c r="BZ415" s="86" t="inlineStr">
        <is>
          <t>Series B</t>
        </is>
      </c>
      <c r="CA415" s="87" t="inlineStr">
        <is>
          <t/>
        </is>
      </c>
      <c r="CB415" s="88" t="inlineStr">
        <is>
          <t>Venture Capital</t>
        </is>
      </c>
      <c r="CC415" s="89" t="inlineStr">
        <is>
          <t>Convertible Debt</t>
        </is>
      </c>
      <c r="CD415" s="90" t="inlineStr">
        <is>
          <t>Other Debt</t>
        </is>
      </c>
      <c r="CE415" s="91" t="inlineStr">
        <is>
          <t/>
        </is>
      </c>
      <c r="CF415" s="92" t="inlineStr">
        <is>
          <t>Completed</t>
        </is>
      </c>
      <c r="CG415" s="93" t="inlineStr">
        <is>
          <t>0,63%</t>
        </is>
      </c>
      <c r="CH415" s="94" t="inlineStr">
        <is>
          <t>85</t>
        </is>
      </c>
      <c r="CI415" s="95" t="inlineStr">
        <is>
          <t>-0,04%</t>
        </is>
      </c>
      <c r="CJ415" s="96" t="inlineStr">
        <is>
          <t>-5,98%</t>
        </is>
      </c>
      <c r="CK415" s="97" t="inlineStr">
        <is>
          <t>0,78%</t>
        </is>
      </c>
      <c r="CL415" s="98" t="inlineStr">
        <is>
          <t>86</t>
        </is>
      </c>
      <c r="CM415" s="99" t="inlineStr">
        <is>
          <t>0,49%</t>
        </is>
      </c>
      <c r="CN415" s="100" t="inlineStr">
        <is>
          <t>89</t>
        </is>
      </c>
      <c r="CO415" s="101" t="inlineStr">
        <is>
          <t>0,45%</t>
        </is>
      </c>
      <c r="CP415" s="102" t="inlineStr">
        <is>
          <t>81</t>
        </is>
      </c>
      <c r="CQ415" s="103" t="inlineStr">
        <is>
          <t>1,10%</t>
        </is>
      </c>
      <c r="CR415" s="104" t="inlineStr">
        <is>
          <t>89</t>
        </is>
      </c>
      <c r="CS415" s="105" t="inlineStr">
        <is>
          <t>0,13%</t>
        </is>
      </c>
      <c r="CT415" s="106" t="inlineStr">
        <is>
          <t>62</t>
        </is>
      </c>
      <c r="CU415" s="107" t="inlineStr">
        <is>
          <t>0,86%</t>
        </is>
      </c>
      <c r="CV415" s="108" t="inlineStr">
        <is>
          <t>96</t>
        </is>
      </c>
      <c r="CW415" s="109" t="inlineStr">
        <is>
          <t>5,44x</t>
        </is>
      </c>
      <c r="CX415" s="110" t="inlineStr">
        <is>
          <t>80</t>
        </is>
      </c>
      <c r="CY415" s="111" t="inlineStr">
        <is>
          <t>0,10x</t>
        </is>
      </c>
      <c r="CZ415" s="112" t="inlineStr">
        <is>
          <t>1,79%</t>
        </is>
      </c>
      <c r="DA415" s="113" t="inlineStr">
        <is>
          <t>8,40x</t>
        </is>
      </c>
      <c r="DB415" s="114" t="inlineStr">
        <is>
          <t>86</t>
        </is>
      </c>
      <c r="DC415" s="115" t="inlineStr">
        <is>
          <t>2,47x</t>
        </is>
      </c>
      <c r="DD415" s="116" t="inlineStr">
        <is>
          <t>65</t>
        </is>
      </c>
      <c r="DE415" s="117" t="inlineStr">
        <is>
          <t>9,47x</t>
        </is>
      </c>
      <c r="DF415" s="118" t="inlineStr">
        <is>
          <t>83</t>
        </is>
      </c>
      <c r="DG415" s="119" t="inlineStr">
        <is>
          <t>7,33x</t>
        </is>
      </c>
      <c r="DH415" s="120" t="inlineStr">
        <is>
          <t>82</t>
        </is>
      </c>
      <c r="DI415" s="121" t="inlineStr">
        <is>
          <t>0,25x</t>
        </is>
      </c>
      <c r="DJ415" s="122" t="inlineStr">
        <is>
          <t>27</t>
        </is>
      </c>
      <c r="DK415" s="123" t="inlineStr">
        <is>
          <t>4,70x</t>
        </is>
      </c>
      <c r="DL415" s="124" t="inlineStr">
        <is>
          <t>77</t>
        </is>
      </c>
      <c r="DM415" s="125" t="inlineStr">
        <is>
          <t>5.646</t>
        </is>
      </c>
      <c r="DN415" s="126" t="inlineStr">
        <is>
          <t>527</t>
        </is>
      </c>
      <c r="DO415" s="127" t="inlineStr">
        <is>
          <t>10,29%</t>
        </is>
      </c>
      <c r="DP415" s="128" t="inlineStr">
        <is>
          <t>198</t>
        </is>
      </c>
      <c r="DQ415" s="129" t="inlineStr">
        <is>
          <t>1</t>
        </is>
      </c>
      <c r="DR415" s="130" t="inlineStr">
        <is>
          <t>0,51%</t>
        </is>
      </c>
      <c r="DS415" s="131" t="inlineStr">
        <is>
          <t>263</t>
        </is>
      </c>
      <c r="DT415" s="132" t="inlineStr">
        <is>
          <t>3</t>
        </is>
      </c>
      <c r="DU415" s="133" t="inlineStr">
        <is>
          <t>1,15%</t>
        </is>
      </c>
      <c r="DV415" s="134" t="inlineStr">
        <is>
          <t>1.605</t>
        </is>
      </c>
      <c r="DW415" s="135" t="inlineStr">
        <is>
          <t>5</t>
        </is>
      </c>
      <c r="DX415" s="136" t="inlineStr">
        <is>
          <t>0,31%</t>
        </is>
      </c>
      <c r="DY415" s="137" t="inlineStr">
        <is>
          <t>PitchBook Research</t>
        </is>
      </c>
      <c r="DZ415" s="785">
        <f>HYPERLINK("https://my.pitchbook.com?c=152713-99", "View company online")</f>
      </c>
    </row>
    <row r="416">
      <c r="A416" s="139" t="inlineStr">
        <is>
          <t>63309-43</t>
        </is>
      </c>
      <c r="B416" s="140" t="inlineStr">
        <is>
          <t>Soundtrack Your Brand</t>
        </is>
      </c>
      <c r="C416" s="141" t="inlineStr">
        <is>
          <t/>
        </is>
      </c>
      <c r="D416" s="142" t="inlineStr">
        <is>
          <t>SYB</t>
        </is>
      </c>
      <c r="E416" s="143" t="inlineStr">
        <is>
          <t>63309-43</t>
        </is>
      </c>
      <c r="F416" s="144" t="inlineStr">
        <is>
          <t>Developer of consumer music streaming software designed for music streaming. The company's consumer music streaming software develops and markets Spotify based music tools enabling, businesses to have access to unlimited streaming and customized playlists to use during their hours of operation.</t>
        </is>
      </c>
      <c r="G416" s="145" t="inlineStr">
        <is>
          <t>Information Technology</t>
        </is>
      </c>
      <c r="H416" s="146" t="inlineStr">
        <is>
          <t>Software</t>
        </is>
      </c>
      <c r="I416" s="147" t="inlineStr">
        <is>
          <t>Application Software</t>
        </is>
      </c>
      <c r="J416" s="148" t="inlineStr">
        <is>
          <t>Application Software*; Entertainment Software</t>
        </is>
      </c>
      <c r="K416" s="149" t="inlineStr">
        <is>
          <t>AudioTech</t>
        </is>
      </c>
      <c r="L416" s="150" t="inlineStr">
        <is>
          <t>Venture Capital-Backed</t>
        </is>
      </c>
      <c r="M416" s="151" t="n">
        <v>35.07</v>
      </c>
      <c r="N416" s="152" t="inlineStr">
        <is>
          <t>Profitable</t>
        </is>
      </c>
      <c r="O416" s="153" t="inlineStr">
        <is>
          <t>Privately Held (backing)</t>
        </is>
      </c>
      <c r="P416" s="154" t="inlineStr">
        <is>
          <t>Venture Capital</t>
        </is>
      </c>
      <c r="Q416" s="155" t="inlineStr">
        <is>
          <t>www.soundtrackyourbrand.com</t>
        </is>
      </c>
      <c r="R416" s="156" t="n">
        <v>76.0</v>
      </c>
      <c r="S416" s="157" t="inlineStr">
        <is>
          <t/>
        </is>
      </c>
      <c r="T416" s="158" t="inlineStr">
        <is>
          <t/>
        </is>
      </c>
      <c r="U416" s="159" t="n">
        <v>2013.0</v>
      </c>
      <c r="V416" s="160" t="inlineStr">
        <is>
          <t/>
        </is>
      </c>
      <c r="W416" s="161" t="inlineStr">
        <is>
          <t/>
        </is>
      </c>
      <c r="X416" s="162" t="inlineStr">
        <is>
          <t/>
        </is>
      </c>
      <c r="Y416" s="163" t="n">
        <v>1.04735</v>
      </c>
      <c r="Z416" s="164" t="inlineStr">
        <is>
          <t/>
        </is>
      </c>
      <c r="AA416" s="165" t="n">
        <v>-4.99789</v>
      </c>
      <c r="AB416" s="166" t="inlineStr">
        <is>
          <t/>
        </is>
      </c>
      <c r="AC416" s="167" t="n">
        <v>-5.16326</v>
      </c>
      <c r="AD416" s="168" t="inlineStr">
        <is>
          <t>FY 2015</t>
        </is>
      </c>
      <c r="AE416" s="169" t="inlineStr">
        <is>
          <t>67753-99P</t>
        </is>
      </c>
      <c r="AF416" s="170" t="inlineStr">
        <is>
          <t>Richard Hernemyr</t>
        </is>
      </c>
      <c r="AG416" s="171" t="inlineStr">
        <is>
          <t>Chief Operating Officer</t>
        </is>
      </c>
      <c r="AH416" s="172" t="inlineStr">
        <is>
          <t>richard.hernemyr@soundtrackyourbrand.com</t>
        </is>
      </c>
      <c r="AI416" s="173" t="inlineStr">
        <is>
          <t/>
        </is>
      </c>
      <c r="AJ416" s="174" t="inlineStr">
        <is>
          <t>Stockholm, Sweden</t>
        </is>
      </c>
      <c r="AK416" s="175" t="inlineStr">
        <is>
          <t>Birger Jarlsgatan 43</t>
        </is>
      </c>
      <c r="AL416" s="176" t="inlineStr">
        <is>
          <t/>
        </is>
      </c>
      <c r="AM416" s="177" t="inlineStr">
        <is>
          <t>Stockholm</t>
        </is>
      </c>
      <c r="AN416" s="178" t="inlineStr">
        <is>
          <t/>
        </is>
      </c>
      <c r="AO416" s="179" t="inlineStr">
        <is>
          <t>111 45</t>
        </is>
      </c>
      <c r="AP416" s="180" t="inlineStr">
        <is>
          <t>Sweden</t>
        </is>
      </c>
      <c r="AQ416" s="181" t="inlineStr">
        <is>
          <t/>
        </is>
      </c>
      <c r="AR416" s="182" t="inlineStr">
        <is>
          <t/>
        </is>
      </c>
      <c r="AS416" s="183" t="inlineStr">
        <is>
          <t>info@soundtrackyourbrand.com</t>
        </is>
      </c>
      <c r="AT416" s="184" t="inlineStr">
        <is>
          <t>Europe</t>
        </is>
      </c>
      <c r="AU416" s="185" t="inlineStr">
        <is>
          <t>Northern Europe</t>
        </is>
      </c>
      <c r="AV416" s="186" t="inlineStr">
        <is>
          <t>The company raised $27 million of Series C venture funding through a combination of debt and equity on February 17, 2017. Balderton Capital and Industrifonden led the round with participation from Wellington Partners, HMP Capital, Jorg Mohaupt, NMT Network, PlayNetwork, Northzone Ventures, TeliaSonera (Sweden), Creandum and Spotify also participated. The company will use the funds to to expand its business globally and continue building out its tech to select and play licensed music in stores and other retail locations.</t>
        </is>
      </c>
      <c r="AW416" s="187" t="inlineStr">
        <is>
          <t>Balderton Capital, Creandum, HMP Capital, Industrifonden, Jorg Mohaupt, NJF Capital, NMT Network, Northzone Ventures, PlayNetwork, Spotify, TeliaSonera (Sweden), TheVentureCity, Wellington Partners</t>
        </is>
      </c>
      <c r="AX416" s="188" t="n">
        <v>13.0</v>
      </c>
      <c r="AY416" s="189" t="inlineStr">
        <is>
          <t/>
        </is>
      </c>
      <c r="AZ416" s="190" t="inlineStr">
        <is>
          <t/>
        </is>
      </c>
      <c r="BA416" s="191" t="inlineStr">
        <is>
          <t/>
        </is>
      </c>
      <c r="BB416" s="192" t="inlineStr">
        <is>
          <t>Balderton Capital (www.balderton.com), Creandum (www.creandum.com), Industrifonden (www.industrifonden.com), NJF Capital (www.njfcapital.com), Northzone Ventures (www.northzone.com), PlayNetwork (www.playnetwork.com), Spotify (www.spotify.com), TeliaSonera (Sweden) (www.teliasonera.com), TheVentureCity (www.theventure.city), Wellington Partners (www.wellington-partners.com)</t>
        </is>
      </c>
      <c r="BC416" s="193" t="inlineStr">
        <is>
          <t/>
        </is>
      </c>
      <c r="BD416" s="194" t="inlineStr">
        <is>
          <t/>
        </is>
      </c>
      <c r="BE416" s="195" t="inlineStr">
        <is>
          <t/>
        </is>
      </c>
      <c r="BF416" s="196" t="inlineStr">
        <is>
          <t>Setterwalls Advokatbyrå (Legal Advisor)</t>
        </is>
      </c>
      <c r="BG416" s="197" t="n">
        <v>41779.0</v>
      </c>
      <c r="BH416" s="198" t="inlineStr">
        <is>
          <t/>
        </is>
      </c>
      <c r="BI416" s="199" t="inlineStr">
        <is>
          <t/>
        </is>
      </c>
      <c r="BJ416" s="200" t="inlineStr">
        <is>
          <t/>
        </is>
      </c>
      <c r="BK416" s="201" t="inlineStr">
        <is>
          <t/>
        </is>
      </c>
      <c r="BL416" s="202" t="inlineStr">
        <is>
          <t>Early Stage VC</t>
        </is>
      </c>
      <c r="BM416" s="203" t="inlineStr">
        <is>
          <t/>
        </is>
      </c>
      <c r="BN416" s="204" t="inlineStr">
        <is>
          <t/>
        </is>
      </c>
      <c r="BO416" s="205" t="inlineStr">
        <is>
          <t>Venture Capital</t>
        </is>
      </c>
      <c r="BP416" s="206" t="inlineStr">
        <is>
          <t/>
        </is>
      </c>
      <c r="BQ416" s="207" t="inlineStr">
        <is>
          <t/>
        </is>
      </c>
      <c r="BR416" s="208" t="inlineStr">
        <is>
          <t/>
        </is>
      </c>
      <c r="BS416" s="209" t="inlineStr">
        <is>
          <t>Completed</t>
        </is>
      </c>
      <c r="BT416" s="210" t="n">
        <v>42783.0</v>
      </c>
      <c r="BU416" s="211" t="n">
        <v>25.35</v>
      </c>
      <c r="BV416" s="212" t="inlineStr">
        <is>
          <t>Actual</t>
        </is>
      </c>
      <c r="BW416" s="213" t="inlineStr">
        <is>
          <t/>
        </is>
      </c>
      <c r="BX416" s="214" t="inlineStr">
        <is>
          <t/>
        </is>
      </c>
      <c r="BY416" s="215" t="inlineStr">
        <is>
          <t>Later Stage VC</t>
        </is>
      </c>
      <c r="BZ416" s="216" t="inlineStr">
        <is>
          <t>Series C</t>
        </is>
      </c>
      <c r="CA416" s="217" t="inlineStr">
        <is>
          <t/>
        </is>
      </c>
      <c r="CB416" s="218" t="inlineStr">
        <is>
          <t>Venture Capital</t>
        </is>
      </c>
      <c r="CC416" s="219" t="inlineStr">
        <is>
          <t>Convertible Debt</t>
        </is>
      </c>
      <c r="CD416" s="220" t="inlineStr">
        <is>
          <t/>
        </is>
      </c>
      <c r="CE416" s="221" t="inlineStr">
        <is>
          <t/>
        </is>
      </c>
      <c r="CF416" s="222" t="inlineStr">
        <is>
          <t>Completed</t>
        </is>
      </c>
      <c r="CG416" s="223" t="inlineStr">
        <is>
          <t>-0,17%</t>
        </is>
      </c>
      <c r="CH416" s="224" t="inlineStr">
        <is>
          <t>13</t>
        </is>
      </c>
      <c r="CI416" s="225" t="inlineStr">
        <is>
          <t>0,07%</t>
        </is>
      </c>
      <c r="CJ416" s="226" t="inlineStr">
        <is>
          <t>28,55%</t>
        </is>
      </c>
      <c r="CK416" s="227" t="inlineStr">
        <is>
          <t>-0,93%</t>
        </is>
      </c>
      <c r="CL416" s="228" t="inlineStr">
        <is>
          <t>9</t>
        </is>
      </c>
      <c r="CM416" s="229" t="inlineStr">
        <is>
          <t>0,58%</t>
        </is>
      </c>
      <c r="CN416" s="230" t="inlineStr">
        <is>
          <t>91</t>
        </is>
      </c>
      <c r="CO416" s="231" t="inlineStr">
        <is>
          <t>-2,04%</t>
        </is>
      </c>
      <c r="CP416" s="232" t="inlineStr">
        <is>
          <t>15</t>
        </is>
      </c>
      <c r="CQ416" s="233" t="inlineStr">
        <is>
          <t>0,19%</t>
        </is>
      </c>
      <c r="CR416" s="234" t="inlineStr">
        <is>
          <t>84</t>
        </is>
      </c>
      <c r="CS416" s="235" t="inlineStr">
        <is>
          <t/>
        </is>
      </c>
      <c r="CT416" s="236" t="inlineStr">
        <is>
          <t/>
        </is>
      </c>
      <c r="CU416" s="237" t="inlineStr">
        <is>
          <t>0,58%</t>
        </is>
      </c>
      <c r="CV416" s="238" t="inlineStr">
        <is>
          <t>93</t>
        </is>
      </c>
      <c r="CW416" s="239" t="inlineStr">
        <is>
          <t>8,02x</t>
        </is>
      </c>
      <c r="CX416" s="240" t="inlineStr">
        <is>
          <t>84</t>
        </is>
      </c>
      <c r="CY416" s="241" t="inlineStr">
        <is>
          <t>0,12x</t>
        </is>
      </c>
      <c r="CZ416" s="242" t="inlineStr">
        <is>
          <t>1,49%</t>
        </is>
      </c>
      <c r="DA416" s="243" t="inlineStr">
        <is>
          <t>14,54x</t>
        </is>
      </c>
      <c r="DB416" s="244" t="inlineStr">
        <is>
          <t>90</t>
        </is>
      </c>
      <c r="DC416" s="245" t="inlineStr">
        <is>
          <t>1,49x</t>
        </is>
      </c>
      <c r="DD416" s="246" t="inlineStr">
        <is>
          <t>56</t>
        </is>
      </c>
      <c r="DE416" s="247" t="inlineStr">
        <is>
          <t>17,92x</t>
        </is>
      </c>
      <c r="DF416" s="248" t="inlineStr">
        <is>
          <t>88</t>
        </is>
      </c>
      <c r="DG416" s="249" t="inlineStr">
        <is>
          <t>11,17x</t>
        </is>
      </c>
      <c r="DH416" s="250" t="inlineStr">
        <is>
          <t>87</t>
        </is>
      </c>
      <c r="DI416" s="251" t="inlineStr">
        <is>
          <t/>
        </is>
      </c>
      <c r="DJ416" s="252" t="inlineStr">
        <is>
          <t/>
        </is>
      </c>
      <c r="DK416" s="253" t="inlineStr">
        <is>
          <t>1,49x</t>
        </is>
      </c>
      <c r="DL416" s="254" t="inlineStr">
        <is>
          <t>58</t>
        </is>
      </c>
      <c r="DM416" s="255" t="inlineStr">
        <is>
          <t>11.087</t>
        </is>
      </c>
      <c r="DN416" s="256" t="inlineStr">
        <is>
          <t>-208</t>
        </is>
      </c>
      <c r="DO416" s="257" t="inlineStr">
        <is>
          <t>-1,84%</t>
        </is>
      </c>
      <c r="DP416" s="258" t="inlineStr">
        <is>
          <t/>
        </is>
      </c>
      <c r="DQ416" s="259" t="inlineStr">
        <is>
          <t/>
        </is>
      </c>
      <c r="DR416" s="260" t="inlineStr">
        <is>
          <t/>
        </is>
      </c>
      <c r="DS416" s="261" t="inlineStr">
        <is>
          <t>400</t>
        </is>
      </c>
      <c r="DT416" s="262" t="inlineStr">
        <is>
          <t>2</t>
        </is>
      </c>
      <c r="DU416" s="263" t="inlineStr">
        <is>
          <t>0,50%</t>
        </is>
      </c>
      <c r="DV416" s="264" t="inlineStr">
        <is>
          <t>509</t>
        </is>
      </c>
      <c r="DW416" s="265" t="inlineStr">
        <is>
          <t>7</t>
        </is>
      </c>
      <c r="DX416" s="266" t="inlineStr">
        <is>
          <t>1,39%</t>
        </is>
      </c>
      <c r="DY416" s="267" t="inlineStr">
        <is>
          <t>PitchBook Research</t>
        </is>
      </c>
      <c r="DZ416" s="786">
        <f>HYPERLINK("https://my.pitchbook.com?c=63309-43", "View company online")</f>
      </c>
    </row>
    <row r="417">
      <c r="A417" s="9" t="inlineStr">
        <is>
          <t>117979-75</t>
        </is>
      </c>
      <c r="B417" s="10" t="inlineStr">
        <is>
          <t>Soundtrap</t>
        </is>
      </c>
      <c r="C417" s="11" t="inlineStr">
        <is>
          <t/>
        </is>
      </c>
      <c r="D417" s="12" t="inlineStr">
        <is>
          <t/>
        </is>
      </c>
      <c r="E417" s="13" t="inlineStr">
        <is>
          <t>117979-75</t>
        </is>
      </c>
      <c r="F417" s="14" t="inlineStr">
        <is>
          <t>Developer of a mobile platform for making music and podcasts online. The company provides a collaborative, cloud-based digital audio workstation enabling users to make music or any other types of audio recordings online. Users can plug in their own instrument, use the software instruments available on the platform or record a song directly with their computer microphone.</t>
        </is>
      </c>
      <c r="G417" s="15" t="inlineStr">
        <is>
          <t>Information Technology</t>
        </is>
      </c>
      <c r="H417" s="16" t="inlineStr">
        <is>
          <t>Software</t>
        </is>
      </c>
      <c r="I417" s="17" t="inlineStr">
        <is>
          <t>Multimedia and Design Software</t>
        </is>
      </c>
      <c r="J417" s="18" t="inlineStr">
        <is>
          <t>Multimedia and Design Software*; Application Software; Social/Platform Software</t>
        </is>
      </c>
      <c r="K417" s="19" t="inlineStr">
        <is>
          <t>AudioTech, Mobile, SaaS</t>
        </is>
      </c>
      <c r="L417" s="20" t="inlineStr">
        <is>
          <t>Venture Capital-Backed</t>
        </is>
      </c>
      <c r="M417" s="21" t="n">
        <v>7.91</v>
      </c>
      <c r="N417" s="22" t="inlineStr">
        <is>
          <t>Startup</t>
        </is>
      </c>
      <c r="O417" s="23" t="inlineStr">
        <is>
          <t>Privately Held (backing)</t>
        </is>
      </c>
      <c r="P417" s="24" t="inlineStr">
        <is>
          <t>Venture Capital</t>
        </is>
      </c>
      <c r="Q417" s="25" t="inlineStr">
        <is>
          <t>www.soundtrap.com</t>
        </is>
      </c>
      <c r="R417" s="26" t="n">
        <v>22.0</v>
      </c>
      <c r="S417" s="27" t="inlineStr">
        <is>
          <t/>
        </is>
      </c>
      <c r="T417" s="28" t="inlineStr">
        <is>
          <t/>
        </is>
      </c>
      <c r="U417" s="29" t="n">
        <v>2012.0</v>
      </c>
      <c r="V417" s="30" t="inlineStr">
        <is>
          <t/>
        </is>
      </c>
      <c r="W417" s="31" t="inlineStr">
        <is>
          <t/>
        </is>
      </c>
      <c r="X417" s="32" t="inlineStr">
        <is>
          <t/>
        </is>
      </c>
      <c r="Y417" s="33" t="n">
        <v>0.00892</v>
      </c>
      <c r="Z417" s="34" t="inlineStr">
        <is>
          <t/>
        </is>
      </c>
      <c r="AA417" s="35" t="n">
        <v>-0.30322</v>
      </c>
      <c r="AB417" s="36" t="inlineStr">
        <is>
          <t/>
        </is>
      </c>
      <c r="AC417" s="37" t="n">
        <v>-0.25863</v>
      </c>
      <c r="AD417" s="38" t="inlineStr">
        <is>
          <t>FY 2015</t>
        </is>
      </c>
      <c r="AE417" s="39" t="inlineStr">
        <is>
          <t>104891-59P</t>
        </is>
      </c>
      <c r="AF417" s="40" t="inlineStr">
        <is>
          <t>Per Emanuelsson</t>
        </is>
      </c>
      <c r="AG417" s="41" t="inlineStr">
        <is>
          <t>Chief Executive Officer and Co-Founder</t>
        </is>
      </c>
      <c r="AH417" s="42" t="inlineStr">
        <is>
          <t>per@soundtrap.com</t>
        </is>
      </c>
      <c r="AI417" s="43" t="inlineStr">
        <is>
          <t>+46 (0)8 519 70 550</t>
        </is>
      </c>
      <c r="AJ417" s="44" t="inlineStr">
        <is>
          <t>Stockholm, Sweden</t>
        </is>
      </c>
      <c r="AK417" s="45" t="inlineStr">
        <is>
          <t>P.O. Box 390</t>
        </is>
      </c>
      <c r="AL417" s="46" t="inlineStr">
        <is>
          <t/>
        </is>
      </c>
      <c r="AM417" s="47" t="inlineStr">
        <is>
          <t>Stockholm</t>
        </is>
      </c>
      <c r="AN417" s="48" t="inlineStr">
        <is>
          <t/>
        </is>
      </c>
      <c r="AO417" s="49" t="inlineStr">
        <is>
          <t>101 27</t>
        </is>
      </c>
      <c r="AP417" s="50" t="inlineStr">
        <is>
          <t>Sweden</t>
        </is>
      </c>
      <c r="AQ417" s="51" t="inlineStr">
        <is>
          <t>+46 (0)8 519 70 550</t>
        </is>
      </c>
      <c r="AR417" s="52" t="inlineStr">
        <is>
          <t/>
        </is>
      </c>
      <c r="AS417" s="53" t="inlineStr">
        <is>
          <t/>
        </is>
      </c>
      <c r="AT417" s="54" t="inlineStr">
        <is>
          <t>Europe</t>
        </is>
      </c>
      <c r="AU417" s="55" t="inlineStr">
        <is>
          <t>Northern Europe</t>
        </is>
      </c>
      <c r="AV417" s="56" t="inlineStr">
        <is>
          <t>The company raised $6 million of Series A venture funding led by Industrifonden on October 10, 2016. Peter Sterky, Andreas Carlsson, Alan Mamedi, Nami Zarringhalam, Linus Andreen, Aristotracks and other undisclosed new as well as existing investors also participated. The company will use the funding to expand its team as well as into new markets for other languages both for its consumer and education products. With the round, the company has raised a total of $8.5 million in funding to date.</t>
        </is>
      </c>
      <c r="AW417" s="57" t="inlineStr">
        <is>
          <t>Alan Mamedi, Andreas Carlsson, Aristotracks, Erik Schröder, Industrifonden, Joakim Karlsson, Kristoffer Melinder, Linus Andreen, Magnus Bergman, Nami Zarringhalam, Peter Sterky, Ulf Rosberg</t>
        </is>
      </c>
      <c r="AX417" s="58" t="n">
        <v>12.0</v>
      </c>
      <c r="AY417" s="59" t="inlineStr">
        <is>
          <t/>
        </is>
      </c>
      <c r="AZ417" s="60" t="inlineStr">
        <is>
          <t/>
        </is>
      </c>
      <c r="BA417" s="61" t="inlineStr">
        <is>
          <t/>
        </is>
      </c>
      <c r="BB417" s="62" t="inlineStr">
        <is>
          <t>Aristotracks (aristotracks.com), Industrifonden (www.industrifonden.com)</t>
        </is>
      </c>
      <c r="BC417" s="63" t="inlineStr">
        <is>
          <t/>
        </is>
      </c>
      <c r="BD417" s="64" t="inlineStr">
        <is>
          <t/>
        </is>
      </c>
      <c r="BE417" s="65" t="inlineStr">
        <is>
          <t/>
        </is>
      </c>
      <c r="BF417" s="66" t="inlineStr">
        <is>
          <t>Hansen Advokatbyrå (Legal Advisor)</t>
        </is>
      </c>
      <c r="BG417" s="67" t="n">
        <v>41579.0</v>
      </c>
      <c r="BH417" s="68" t="n">
        <v>0.07</v>
      </c>
      <c r="BI417" s="69" t="inlineStr">
        <is>
          <t>Actual</t>
        </is>
      </c>
      <c r="BJ417" s="70" t="inlineStr">
        <is>
          <t/>
        </is>
      </c>
      <c r="BK417" s="71" t="inlineStr">
        <is>
          <t/>
        </is>
      </c>
      <c r="BL417" s="72" t="inlineStr">
        <is>
          <t>Angel (individual)</t>
        </is>
      </c>
      <c r="BM417" s="73" t="inlineStr">
        <is>
          <t>Angel</t>
        </is>
      </c>
      <c r="BN417" s="74" t="inlineStr">
        <is>
          <t/>
        </is>
      </c>
      <c r="BO417" s="75" t="inlineStr">
        <is>
          <t>Individual</t>
        </is>
      </c>
      <c r="BP417" s="76" t="inlineStr">
        <is>
          <t/>
        </is>
      </c>
      <c r="BQ417" s="77" t="inlineStr">
        <is>
          <t/>
        </is>
      </c>
      <c r="BR417" s="78" t="inlineStr">
        <is>
          <t/>
        </is>
      </c>
      <c r="BS417" s="79" t="inlineStr">
        <is>
          <t>Completed</t>
        </is>
      </c>
      <c r="BT417" s="80" t="n">
        <v>42653.0</v>
      </c>
      <c r="BU417" s="81" t="n">
        <v>5.43</v>
      </c>
      <c r="BV417" s="82" t="inlineStr">
        <is>
          <t>Actual</t>
        </is>
      </c>
      <c r="BW417" s="83" t="inlineStr">
        <is>
          <t/>
        </is>
      </c>
      <c r="BX417" s="84" t="inlineStr">
        <is>
          <t/>
        </is>
      </c>
      <c r="BY417" s="85" t="inlineStr">
        <is>
          <t>Early Stage VC</t>
        </is>
      </c>
      <c r="BZ417" s="86" t="inlineStr">
        <is>
          <t>Series A</t>
        </is>
      </c>
      <c r="CA417" s="87" t="inlineStr">
        <is>
          <t/>
        </is>
      </c>
      <c r="CB417" s="88" t="inlineStr">
        <is>
          <t>Venture Capital</t>
        </is>
      </c>
      <c r="CC417" s="89" t="inlineStr">
        <is>
          <t/>
        </is>
      </c>
      <c r="CD417" s="90" t="inlineStr">
        <is>
          <t/>
        </is>
      </c>
      <c r="CE417" s="91" t="inlineStr">
        <is>
          <t/>
        </is>
      </c>
      <c r="CF417" s="92" t="inlineStr">
        <is>
          <t>Completed</t>
        </is>
      </c>
      <c r="CG417" s="93" t="inlineStr">
        <is>
          <t>0,44%</t>
        </is>
      </c>
      <c r="CH417" s="94" t="inlineStr">
        <is>
          <t>83</t>
        </is>
      </c>
      <c r="CI417" s="95" t="inlineStr">
        <is>
          <t>0,07%</t>
        </is>
      </c>
      <c r="CJ417" s="96" t="inlineStr">
        <is>
          <t>19,96%</t>
        </is>
      </c>
      <c r="CK417" s="97" t="inlineStr">
        <is>
          <t>-0,74%</t>
        </is>
      </c>
      <c r="CL417" s="98" t="inlineStr">
        <is>
          <t>10</t>
        </is>
      </c>
      <c r="CM417" s="99" t="inlineStr">
        <is>
          <t>0,43%</t>
        </is>
      </c>
      <c r="CN417" s="100" t="inlineStr">
        <is>
          <t>87</t>
        </is>
      </c>
      <c r="CO417" s="101" t="inlineStr">
        <is>
          <t>-0,12%</t>
        </is>
      </c>
      <c r="CP417" s="102" t="inlineStr">
        <is>
          <t>25</t>
        </is>
      </c>
      <c r="CQ417" s="103" t="inlineStr">
        <is>
          <t>-1,36%</t>
        </is>
      </c>
      <c r="CR417" s="104" t="inlineStr">
        <is>
          <t>2</t>
        </is>
      </c>
      <c r="CS417" s="105" t="inlineStr">
        <is>
          <t>0,07%</t>
        </is>
      </c>
      <c r="CT417" s="106" t="inlineStr">
        <is>
          <t>53</t>
        </is>
      </c>
      <c r="CU417" s="107" t="inlineStr">
        <is>
          <t>0,79%</t>
        </is>
      </c>
      <c r="CV417" s="108" t="inlineStr">
        <is>
          <t>96</t>
        </is>
      </c>
      <c r="CW417" s="109" t="inlineStr">
        <is>
          <t>90,26x</t>
        </is>
      </c>
      <c r="CX417" s="110" t="inlineStr">
        <is>
          <t>97</t>
        </is>
      </c>
      <c r="CY417" s="111" t="inlineStr">
        <is>
          <t>0,39x</t>
        </is>
      </c>
      <c r="CZ417" s="112" t="inlineStr">
        <is>
          <t>0,43%</t>
        </is>
      </c>
      <c r="DA417" s="113" t="inlineStr">
        <is>
          <t>252,89x</t>
        </is>
      </c>
      <c r="DB417" s="114" t="inlineStr">
        <is>
          <t>99</t>
        </is>
      </c>
      <c r="DC417" s="115" t="inlineStr">
        <is>
          <t>16,75x</t>
        </is>
      </c>
      <c r="DD417" s="116" t="inlineStr">
        <is>
          <t>88</t>
        </is>
      </c>
      <c r="DE417" s="117" t="inlineStr">
        <is>
          <t>440,41x</t>
        </is>
      </c>
      <c r="DF417" s="118" t="inlineStr">
        <is>
          <t>99</t>
        </is>
      </c>
      <c r="DG417" s="119" t="inlineStr">
        <is>
          <t>65,36x</t>
        </is>
      </c>
      <c r="DH417" s="120" t="inlineStr">
        <is>
          <t>98</t>
        </is>
      </c>
      <c r="DI417" s="121" t="inlineStr">
        <is>
          <t>17,13x</t>
        </is>
      </c>
      <c r="DJ417" s="122" t="inlineStr">
        <is>
          <t>87</t>
        </is>
      </c>
      <c r="DK417" s="123" t="inlineStr">
        <is>
          <t>16,36x</t>
        </is>
      </c>
      <c r="DL417" s="124" t="inlineStr">
        <is>
          <t>90</t>
        </is>
      </c>
      <c r="DM417" s="125" t="inlineStr">
        <is>
          <t>268.765</t>
        </is>
      </c>
      <c r="DN417" s="126" t="inlineStr">
        <is>
          <t>6.268</t>
        </is>
      </c>
      <c r="DO417" s="127" t="inlineStr">
        <is>
          <t>2,39%</t>
        </is>
      </c>
      <c r="DP417" s="128" t="inlineStr">
        <is>
          <t>13.685</t>
        </is>
      </c>
      <c r="DQ417" s="129" t="inlineStr">
        <is>
          <t>4</t>
        </is>
      </c>
      <c r="DR417" s="130" t="inlineStr">
        <is>
          <t>0,03%</t>
        </is>
      </c>
      <c r="DS417" s="131" t="inlineStr">
        <is>
          <t>2.357</t>
        </is>
      </c>
      <c r="DT417" s="132" t="inlineStr">
        <is>
          <t>-18</t>
        </is>
      </c>
      <c r="DU417" s="133" t="inlineStr">
        <is>
          <t>-0,76%</t>
        </is>
      </c>
      <c r="DV417" s="134" t="inlineStr">
        <is>
          <t>5.594</t>
        </is>
      </c>
      <c r="DW417" s="135" t="inlineStr">
        <is>
          <t>14</t>
        </is>
      </c>
      <c r="DX417" s="136" t="inlineStr">
        <is>
          <t>0,25%</t>
        </is>
      </c>
      <c r="DY417" s="137" t="inlineStr">
        <is>
          <t>PitchBook Research</t>
        </is>
      </c>
      <c r="DZ417" s="785">
        <f>HYPERLINK("https://my.pitchbook.com?c=117979-75", "View company online")</f>
      </c>
    </row>
    <row r="418">
      <c r="A418" s="139" t="inlineStr">
        <is>
          <t>55403-92</t>
        </is>
      </c>
      <c r="B418" s="140" t="inlineStr">
        <is>
          <t>SP Glass</t>
        </is>
      </c>
      <c r="C418" s="141" t="inlineStr">
        <is>
          <t/>
        </is>
      </c>
      <c r="D418" s="142" t="inlineStr">
        <is>
          <t/>
        </is>
      </c>
      <c r="E418" s="143" t="inlineStr">
        <is>
          <t>55403-92</t>
        </is>
      </c>
      <c r="F418" s="144" t="inlineStr">
        <is>
          <t>Manufacturer of flat glass intended to offer quality products for construction purposes. The company offers energy efficient and self cleaning glass with nano-enabled coatings which can retain heat within a building during winter months, enabling customers to use glasses which can prevent them from environmental pollution.</t>
        </is>
      </c>
      <c r="G418" s="145" t="inlineStr">
        <is>
          <t>Business Products and Services (B2B)</t>
        </is>
      </c>
      <c r="H418" s="146" t="inlineStr">
        <is>
          <t>Commercial Products</t>
        </is>
      </c>
      <c r="I418" s="147" t="inlineStr">
        <is>
          <t>Building Products</t>
        </is>
      </c>
      <c r="J418" s="148" t="inlineStr">
        <is>
          <t>Building Products*; Other Commercial Products; Raw Materials (Non-Wood)</t>
        </is>
      </c>
      <c r="K418" s="149" t="inlineStr">
        <is>
          <t>CleanTech, Manufacturing, Nanotechnology</t>
        </is>
      </c>
      <c r="L418" s="150" t="inlineStr">
        <is>
          <t>Venture Capital-Backed</t>
        </is>
      </c>
      <c r="M418" s="151" t="n">
        <v>762.25</v>
      </c>
      <c r="N418" s="152" t="inlineStr">
        <is>
          <t>Startup</t>
        </is>
      </c>
      <c r="O418" s="153" t="inlineStr">
        <is>
          <t>Privately Held (backing)</t>
        </is>
      </c>
      <c r="P418" s="154" t="inlineStr">
        <is>
          <t>Venture Capital</t>
        </is>
      </c>
      <c r="Q418" s="155" t="inlineStr">
        <is>
          <t>www.spglass.ru</t>
        </is>
      </c>
      <c r="R418" s="156" t="inlineStr">
        <is>
          <t/>
        </is>
      </c>
      <c r="S418" s="157" t="inlineStr">
        <is>
          <t/>
        </is>
      </c>
      <c r="T418" s="158" t="inlineStr">
        <is>
          <t/>
        </is>
      </c>
      <c r="U418" s="159" t="n">
        <v>2012.0</v>
      </c>
      <c r="V418" s="160" t="inlineStr">
        <is>
          <t/>
        </is>
      </c>
      <c r="W418" s="161" t="inlineStr">
        <is>
          <t/>
        </is>
      </c>
      <c r="X418" s="162" t="inlineStr">
        <is>
          <t/>
        </is>
      </c>
      <c r="Y418" s="163" t="inlineStr">
        <is>
          <t/>
        </is>
      </c>
      <c r="Z418" s="164" t="inlineStr">
        <is>
          <t/>
        </is>
      </c>
      <c r="AA418" s="165" t="inlineStr">
        <is>
          <t/>
        </is>
      </c>
      <c r="AB418" s="166" t="inlineStr">
        <is>
          <t/>
        </is>
      </c>
      <c r="AC418" s="167" t="inlineStr">
        <is>
          <t/>
        </is>
      </c>
      <c r="AD418" s="168" t="inlineStr">
        <is>
          <t/>
        </is>
      </c>
      <c r="AE418" s="169" t="inlineStr">
        <is>
          <t>123325-84P</t>
        </is>
      </c>
      <c r="AF418" s="170" t="inlineStr">
        <is>
          <t>Nikolay Filin</t>
        </is>
      </c>
      <c r="AG418" s="171" t="inlineStr">
        <is>
          <t>Group Chief Financial Officer</t>
        </is>
      </c>
      <c r="AH418" s="172" t="inlineStr">
        <is>
          <t/>
        </is>
      </c>
      <c r="AI418" s="173" t="inlineStr">
        <is>
          <t>+7 (8)495 324 5809</t>
        </is>
      </c>
      <c r="AJ418" s="174" t="inlineStr">
        <is>
          <t>Ulyanovsk, Russia</t>
        </is>
      </c>
      <c r="AK418" s="175" t="inlineStr">
        <is>
          <t>Zavolzhye industrial park</t>
        </is>
      </c>
      <c r="AL418" s="176" t="inlineStr">
        <is>
          <t/>
        </is>
      </c>
      <c r="AM418" s="177" t="inlineStr">
        <is>
          <t>Ulyanovsk</t>
        </is>
      </c>
      <c r="AN418" s="178" t="inlineStr">
        <is>
          <t/>
        </is>
      </c>
      <c r="AO418" s="179" t="inlineStr">
        <is>
          <t/>
        </is>
      </c>
      <c r="AP418" s="180" t="inlineStr">
        <is>
          <t>Russia</t>
        </is>
      </c>
      <c r="AQ418" s="181" t="inlineStr">
        <is>
          <t>+7 (8)495 324 5809</t>
        </is>
      </c>
      <c r="AR418" s="182" t="inlineStr">
        <is>
          <t/>
        </is>
      </c>
      <c r="AS418" s="183" t="inlineStr">
        <is>
          <t>info@spglass.ru</t>
        </is>
      </c>
      <c r="AT418" s="184" t="inlineStr">
        <is>
          <t>Europe</t>
        </is>
      </c>
      <c r="AU418" s="185" t="inlineStr">
        <is>
          <t>Eastern Europe</t>
        </is>
      </c>
      <c r="AV418" s="186" t="inlineStr">
        <is>
          <t>The company raised RUB 29600 million of venture funding from Rusnano and European Bank for Reconstruction and Development and other undisclosed investors in 2012.</t>
        </is>
      </c>
      <c r="AW418" s="187" t="inlineStr">
        <is>
          <t>European Bank for Reconstruction and Development, Rusnano</t>
        </is>
      </c>
      <c r="AX418" s="188" t="n">
        <v>2.0</v>
      </c>
      <c r="AY418" s="189" t="inlineStr">
        <is>
          <t/>
        </is>
      </c>
      <c r="AZ418" s="190" t="inlineStr">
        <is>
          <t/>
        </is>
      </c>
      <c r="BA418" s="191" t="inlineStr">
        <is>
          <t/>
        </is>
      </c>
      <c r="BB418" s="192" t="inlineStr">
        <is>
          <t>European Bank for Reconstruction and Development (www.ebrd.com), Rusnano (www.rusnano.com)</t>
        </is>
      </c>
      <c r="BC418" s="193" t="inlineStr">
        <is>
          <t/>
        </is>
      </c>
      <c r="BD418" s="194" t="inlineStr">
        <is>
          <t/>
        </is>
      </c>
      <c r="BE418" s="195" t="inlineStr">
        <is>
          <t/>
        </is>
      </c>
      <c r="BF418" s="196" t="inlineStr">
        <is>
          <t/>
        </is>
      </c>
      <c r="BG418" s="197" t="n">
        <v>41000.0</v>
      </c>
      <c r="BH418" s="198" t="n">
        <v>762.25</v>
      </c>
      <c r="BI418" s="199" t="inlineStr">
        <is>
          <t>Actual</t>
        </is>
      </c>
      <c r="BJ418" s="200" t="inlineStr">
        <is>
          <t/>
        </is>
      </c>
      <c r="BK418" s="201" t="inlineStr">
        <is>
          <t/>
        </is>
      </c>
      <c r="BL418" s="202" t="inlineStr">
        <is>
          <t>Early Stage VC</t>
        </is>
      </c>
      <c r="BM418" s="203" t="inlineStr">
        <is>
          <t/>
        </is>
      </c>
      <c r="BN418" s="204" t="inlineStr">
        <is>
          <t/>
        </is>
      </c>
      <c r="BO418" s="205" t="inlineStr">
        <is>
          <t>Venture Capital</t>
        </is>
      </c>
      <c r="BP418" s="206" t="inlineStr">
        <is>
          <t/>
        </is>
      </c>
      <c r="BQ418" s="207" t="inlineStr">
        <is>
          <t/>
        </is>
      </c>
      <c r="BR418" s="208" t="inlineStr">
        <is>
          <t/>
        </is>
      </c>
      <c r="BS418" s="209" t="inlineStr">
        <is>
          <t>Completed</t>
        </is>
      </c>
      <c r="BT418" s="210" t="n">
        <v>41000.0</v>
      </c>
      <c r="BU418" s="211" t="n">
        <v>762.25</v>
      </c>
      <c r="BV418" s="212" t="inlineStr">
        <is>
          <t>Actual</t>
        </is>
      </c>
      <c r="BW418" s="213" t="inlineStr">
        <is>
          <t/>
        </is>
      </c>
      <c r="BX418" s="214" t="inlineStr">
        <is>
          <t/>
        </is>
      </c>
      <c r="BY418" s="215" t="inlineStr">
        <is>
          <t>Early Stage VC</t>
        </is>
      </c>
      <c r="BZ418" s="216" t="inlineStr">
        <is>
          <t/>
        </is>
      </c>
      <c r="CA418" s="217" t="inlineStr">
        <is>
          <t/>
        </is>
      </c>
      <c r="CB418" s="218" t="inlineStr">
        <is>
          <t>Venture Capital</t>
        </is>
      </c>
      <c r="CC418" s="219" t="inlineStr">
        <is>
          <t/>
        </is>
      </c>
      <c r="CD418" s="220" t="inlineStr">
        <is>
          <t/>
        </is>
      </c>
      <c r="CE418" s="221" t="inlineStr">
        <is>
          <t/>
        </is>
      </c>
      <c r="CF418" s="222" t="inlineStr">
        <is>
          <t>Completed</t>
        </is>
      </c>
      <c r="CG418" s="223" t="inlineStr">
        <is>
          <t>0,00%</t>
        </is>
      </c>
      <c r="CH418" s="224" t="inlineStr">
        <is>
          <t>23</t>
        </is>
      </c>
      <c r="CI418" s="225" t="inlineStr">
        <is>
          <t>0,00%</t>
        </is>
      </c>
      <c r="CJ418" s="226" t="inlineStr">
        <is>
          <t>0,00%</t>
        </is>
      </c>
      <c r="CK418" s="227" t="inlineStr">
        <is>
          <t>0,00%</t>
        </is>
      </c>
      <c r="CL418" s="228" t="inlineStr">
        <is>
          <t>18</t>
        </is>
      </c>
      <c r="CM418" s="229" t="inlineStr">
        <is>
          <t/>
        </is>
      </c>
      <c r="CN418" s="230" t="inlineStr">
        <is>
          <t/>
        </is>
      </c>
      <c r="CO418" s="231" t="inlineStr">
        <is>
          <t>0,00%</t>
        </is>
      </c>
      <c r="CP418" s="232" t="inlineStr">
        <is>
          <t>26</t>
        </is>
      </c>
      <c r="CQ418" s="233" t="inlineStr">
        <is>
          <t>0,00%</t>
        </is>
      </c>
      <c r="CR418" s="234" t="inlineStr">
        <is>
          <t>13</t>
        </is>
      </c>
      <c r="CS418" s="235" t="inlineStr">
        <is>
          <t/>
        </is>
      </c>
      <c r="CT418" s="236" t="inlineStr">
        <is>
          <t/>
        </is>
      </c>
      <c r="CU418" s="237" t="inlineStr">
        <is>
          <t/>
        </is>
      </c>
      <c r="CV418" s="238" t="inlineStr">
        <is>
          <t/>
        </is>
      </c>
      <c r="CW418" s="239" t="inlineStr">
        <is>
          <t>0,63x</t>
        </is>
      </c>
      <c r="CX418" s="240" t="inlineStr">
        <is>
          <t>38</t>
        </is>
      </c>
      <c r="CY418" s="241" t="inlineStr">
        <is>
          <t>0,00x</t>
        </is>
      </c>
      <c r="CZ418" s="242" t="inlineStr">
        <is>
          <t>0,59%</t>
        </is>
      </c>
      <c r="DA418" s="243" t="inlineStr">
        <is>
          <t>0,63x</t>
        </is>
      </c>
      <c r="DB418" s="244" t="inlineStr">
        <is>
          <t>41</t>
        </is>
      </c>
      <c r="DC418" s="245" t="inlineStr">
        <is>
          <t/>
        </is>
      </c>
      <c r="DD418" s="246" t="inlineStr">
        <is>
          <t/>
        </is>
      </c>
      <c r="DE418" s="247" t="inlineStr">
        <is>
          <t>0,99x</t>
        </is>
      </c>
      <c r="DF418" s="248" t="inlineStr">
        <is>
          <t>50</t>
        </is>
      </c>
      <c r="DG418" s="249" t="inlineStr">
        <is>
          <t>0,28x</t>
        </is>
      </c>
      <c r="DH418" s="250" t="inlineStr">
        <is>
          <t>25</t>
        </is>
      </c>
      <c r="DI418" s="251" t="inlineStr">
        <is>
          <t/>
        </is>
      </c>
      <c r="DJ418" s="252" t="inlineStr">
        <is>
          <t/>
        </is>
      </c>
      <c r="DK418" s="253" t="inlineStr">
        <is>
          <t/>
        </is>
      </c>
      <c r="DL418" s="254" t="inlineStr">
        <is>
          <t/>
        </is>
      </c>
      <c r="DM418" s="255" t="inlineStr">
        <is>
          <t>637</t>
        </is>
      </c>
      <c r="DN418" s="256" t="inlineStr">
        <is>
          <t>-81</t>
        </is>
      </c>
      <c r="DO418" s="257" t="inlineStr">
        <is>
          <t>-11,28%</t>
        </is>
      </c>
      <c r="DP418" s="258" t="inlineStr">
        <is>
          <t/>
        </is>
      </c>
      <c r="DQ418" s="259" t="inlineStr">
        <is>
          <t/>
        </is>
      </c>
      <c r="DR418" s="260" t="inlineStr">
        <is>
          <t/>
        </is>
      </c>
      <c r="DS418" s="261" t="inlineStr">
        <is>
          <t>10</t>
        </is>
      </c>
      <c r="DT418" s="262" t="inlineStr">
        <is>
          <t>0</t>
        </is>
      </c>
      <c r="DU418" s="263" t="inlineStr">
        <is>
          <t>0,00%</t>
        </is>
      </c>
      <c r="DV418" s="264" t="inlineStr">
        <is>
          <t/>
        </is>
      </c>
      <c r="DW418" s="265" t="inlineStr">
        <is>
          <t/>
        </is>
      </c>
      <c r="DX418" s="266" t="inlineStr">
        <is>
          <t/>
        </is>
      </c>
      <c r="DY418" s="267" t="inlineStr">
        <is>
          <t>PitchBook Research</t>
        </is>
      </c>
      <c r="DZ418" s="786">
        <f>HYPERLINK("https://my.pitchbook.com?c=55403-92", "View company online")</f>
      </c>
    </row>
    <row r="419">
      <c r="A419" s="9" t="inlineStr">
        <is>
          <t>162995-77</t>
        </is>
      </c>
      <c r="B419" s="10" t="inlineStr">
        <is>
          <t>SpinChip Diagnostics</t>
        </is>
      </c>
      <c r="C419" s="11" t="inlineStr">
        <is>
          <t/>
        </is>
      </c>
      <c r="D419" s="12" t="inlineStr">
        <is>
          <t/>
        </is>
      </c>
      <c r="E419" s="13" t="inlineStr">
        <is>
          <t>162995-77</t>
        </is>
      </c>
      <c r="F419" s="14" t="inlineStr">
        <is>
          <t>Developer of next generation point of care platform for in vitro diagnostics point of care analyses. The company's platform uses a fraction of a droplet of blood from a patient's fingertip to perform analyses within a few minutes and at a unit cost significantly lower than other point of care platforms, enabling laboratories to perform a broader range of analyses using one platform and to transfer analyses from central laboratories to point of care without loss in quality.</t>
        </is>
      </c>
      <c r="G419" s="15" t="inlineStr">
        <is>
          <t>Healthcare</t>
        </is>
      </c>
      <c r="H419" s="16" t="inlineStr">
        <is>
          <t>Healthcare Devices and Supplies</t>
        </is>
      </c>
      <c r="I419" s="17" t="inlineStr">
        <is>
          <t>Diagnostic Equipment</t>
        </is>
      </c>
      <c r="J419" s="18" t="inlineStr">
        <is>
          <t>Diagnostic Equipment*</t>
        </is>
      </c>
      <c r="K419" s="19" t="inlineStr">
        <is>
          <t>HealthTech, Life Sciences</t>
        </is>
      </c>
      <c r="L419" s="20" t="inlineStr">
        <is>
          <t>Venture Capital-Backed</t>
        </is>
      </c>
      <c r="M419" s="21" t="n">
        <v>6.23</v>
      </c>
      <c r="N419" s="22" t="inlineStr">
        <is>
          <t>Product Development</t>
        </is>
      </c>
      <c r="O419" s="23" t="inlineStr">
        <is>
          <t>Privately Held (backing)</t>
        </is>
      </c>
      <c r="P419" s="24" t="inlineStr">
        <is>
          <t>Venture Capital</t>
        </is>
      </c>
      <c r="Q419" s="25" t="inlineStr">
        <is>
          <t>www.spinchip.no</t>
        </is>
      </c>
      <c r="R419" s="26" t="n">
        <v>20.0</v>
      </c>
      <c r="S419" s="27" t="inlineStr">
        <is>
          <t/>
        </is>
      </c>
      <c r="T419" s="28" t="inlineStr">
        <is>
          <t/>
        </is>
      </c>
      <c r="U419" s="29" t="n">
        <v>2012.0</v>
      </c>
      <c r="V419" s="30" t="inlineStr">
        <is>
          <t/>
        </is>
      </c>
      <c r="W419" s="31" t="inlineStr">
        <is>
          <t/>
        </is>
      </c>
      <c r="X419" s="32" t="inlineStr">
        <is>
          <t/>
        </is>
      </c>
      <c r="Y419" s="33" t="inlineStr">
        <is>
          <t/>
        </is>
      </c>
      <c r="Z419" s="34" t="inlineStr">
        <is>
          <t/>
        </is>
      </c>
      <c r="AA419" s="35" t="inlineStr">
        <is>
          <t/>
        </is>
      </c>
      <c r="AB419" s="36" t="inlineStr">
        <is>
          <t/>
        </is>
      </c>
      <c r="AC419" s="37" t="inlineStr">
        <is>
          <t/>
        </is>
      </c>
      <c r="AD419" s="38" t="inlineStr">
        <is>
          <t/>
        </is>
      </c>
      <c r="AE419" s="39" t="inlineStr">
        <is>
          <t>140853-88P</t>
        </is>
      </c>
      <c r="AF419" s="40" t="inlineStr">
        <is>
          <t>Lars Langmoen</t>
        </is>
      </c>
      <c r="AG419" s="41" t="inlineStr">
        <is>
          <t>Chief Executive Officer</t>
        </is>
      </c>
      <c r="AH419" s="42" t="inlineStr">
        <is>
          <t>lhl@spinchip.no</t>
        </is>
      </c>
      <c r="AI419" s="43" t="inlineStr">
        <is>
          <t>+46 (0)47 404 99 200</t>
        </is>
      </c>
      <c r="AJ419" s="44" t="inlineStr">
        <is>
          <t>Oslo, Sweden</t>
        </is>
      </c>
      <c r="AK419" s="45" t="inlineStr">
        <is>
          <t>P. O. Box 124 Blindern</t>
        </is>
      </c>
      <c r="AL419" s="46" t="inlineStr">
        <is>
          <t/>
        </is>
      </c>
      <c r="AM419" s="47" t="inlineStr">
        <is>
          <t>Oslo</t>
        </is>
      </c>
      <c r="AN419" s="48" t="inlineStr">
        <is>
          <t/>
        </is>
      </c>
      <c r="AO419" s="49" t="inlineStr">
        <is>
          <t/>
        </is>
      </c>
      <c r="AP419" s="50" t="inlineStr">
        <is>
          <t>Sweden</t>
        </is>
      </c>
      <c r="AQ419" s="51" t="inlineStr">
        <is>
          <t>+46 (0)47 404 99 200</t>
        </is>
      </c>
      <c r="AR419" s="52" t="inlineStr">
        <is>
          <t/>
        </is>
      </c>
      <c r="AS419" s="53" t="inlineStr">
        <is>
          <t>info@spinchip.no</t>
        </is>
      </c>
      <c r="AT419" s="54" t="inlineStr">
        <is>
          <t>Europe</t>
        </is>
      </c>
      <c r="AU419" s="55" t="inlineStr">
        <is>
          <t>Northern Europe</t>
        </is>
      </c>
      <c r="AV419" s="56" t="inlineStr">
        <is>
          <t>The company raised an undisclosed amount of venture funding from Grotmol Solutions in 2017. Previously, the company raised NOK 37 million of venture funding from Investinor on January 5, 2016.</t>
        </is>
      </c>
      <c r="AW419" s="57" t="inlineStr">
        <is>
          <t>Grotmol Solutions, Investinor, Lars-Olof Hansson, Sintef Energiforskning, Tronrud Engineering As</t>
        </is>
      </c>
      <c r="AX419" s="58" t="n">
        <v>5.0</v>
      </c>
      <c r="AY419" s="59" t="inlineStr">
        <is>
          <t/>
        </is>
      </c>
      <c r="AZ419" s="60" t="inlineStr">
        <is>
          <t/>
        </is>
      </c>
      <c r="BA419" s="61" t="inlineStr">
        <is>
          <t/>
        </is>
      </c>
      <c r="BB419" s="62" t="inlineStr">
        <is>
          <t>Grotmol Solutions (www.grotmolsolutions.com), Investinor (www.investinor.no), Sintef Energiforskning (www.sintef.no), Tronrud Engineering As (tronrud.no)</t>
        </is>
      </c>
      <c r="BC419" s="63" t="inlineStr">
        <is>
          <t/>
        </is>
      </c>
      <c r="BD419" s="64" t="inlineStr">
        <is>
          <t/>
        </is>
      </c>
      <c r="BE419" s="65" t="inlineStr">
        <is>
          <t/>
        </is>
      </c>
      <c r="BF419" s="66" t="inlineStr">
        <is>
          <t/>
        </is>
      </c>
      <c r="BG419" s="67" t="inlineStr">
        <is>
          <t/>
        </is>
      </c>
      <c r="BH419" s="68" t="n">
        <v>0.14</v>
      </c>
      <c r="BI419" s="69" t="inlineStr">
        <is>
          <t>Actual</t>
        </is>
      </c>
      <c r="BJ419" s="70" t="inlineStr">
        <is>
          <t/>
        </is>
      </c>
      <c r="BK419" s="71" t="inlineStr">
        <is>
          <t/>
        </is>
      </c>
      <c r="BL419" s="72" t="inlineStr">
        <is>
          <t>Angel (individual)</t>
        </is>
      </c>
      <c r="BM419" s="73" t="inlineStr">
        <is>
          <t>Angel</t>
        </is>
      </c>
      <c r="BN419" s="74" t="inlineStr">
        <is>
          <t/>
        </is>
      </c>
      <c r="BO419" s="75" t="inlineStr">
        <is>
          <t>Individual</t>
        </is>
      </c>
      <c r="BP419" s="76" t="inlineStr">
        <is>
          <t/>
        </is>
      </c>
      <c r="BQ419" s="77" t="inlineStr">
        <is>
          <t/>
        </is>
      </c>
      <c r="BR419" s="78" t="inlineStr">
        <is>
          <t/>
        </is>
      </c>
      <c r="BS419" s="79" t="inlineStr">
        <is>
          <t>Completed</t>
        </is>
      </c>
      <c r="BT419" s="80" t="n">
        <v>42736.0</v>
      </c>
      <c r="BU419" s="81" t="inlineStr">
        <is>
          <t/>
        </is>
      </c>
      <c r="BV419" s="82" t="inlineStr">
        <is>
          <t/>
        </is>
      </c>
      <c r="BW419" s="83" t="inlineStr">
        <is>
          <t/>
        </is>
      </c>
      <c r="BX419" s="84" t="inlineStr">
        <is>
          <t/>
        </is>
      </c>
      <c r="BY419" s="85" t="inlineStr">
        <is>
          <t>Early Stage VC</t>
        </is>
      </c>
      <c r="BZ419" s="86" t="inlineStr">
        <is>
          <t/>
        </is>
      </c>
      <c r="CA419" s="87" t="inlineStr">
        <is>
          <t/>
        </is>
      </c>
      <c r="CB419" s="88" t="inlineStr">
        <is>
          <t>Venture Capital</t>
        </is>
      </c>
      <c r="CC419" s="89" t="inlineStr">
        <is>
          <t/>
        </is>
      </c>
      <c r="CD419" s="90" t="inlineStr">
        <is>
          <t/>
        </is>
      </c>
      <c r="CE419" s="91" t="inlineStr">
        <is>
          <t/>
        </is>
      </c>
      <c r="CF419" s="92" t="inlineStr">
        <is>
          <t>Completed</t>
        </is>
      </c>
      <c r="CG419" s="93" t="inlineStr">
        <is>
          <t>0,00%</t>
        </is>
      </c>
      <c r="CH419" s="94" t="inlineStr">
        <is>
          <t>23</t>
        </is>
      </c>
      <c r="CI419" s="95" t="inlineStr">
        <is>
          <t>0,00%</t>
        </is>
      </c>
      <c r="CJ419" s="96" t="inlineStr">
        <is>
          <t>0,00%</t>
        </is>
      </c>
      <c r="CK419" s="97" t="inlineStr">
        <is>
          <t>0,00%</t>
        </is>
      </c>
      <c r="CL419" s="98" t="inlineStr">
        <is>
          <t>18</t>
        </is>
      </c>
      <c r="CM419" s="99" t="inlineStr">
        <is>
          <t/>
        </is>
      </c>
      <c r="CN419" s="100" t="inlineStr">
        <is>
          <t/>
        </is>
      </c>
      <c r="CO419" s="101" t="inlineStr">
        <is>
          <t/>
        </is>
      </c>
      <c r="CP419" s="102" t="inlineStr">
        <is>
          <t/>
        </is>
      </c>
      <c r="CQ419" s="103" t="inlineStr">
        <is>
          <t>0,00%</t>
        </is>
      </c>
      <c r="CR419" s="104" t="inlineStr">
        <is>
          <t>13</t>
        </is>
      </c>
      <c r="CS419" s="105" t="inlineStr">
        <is>
          <t/>
        </is>
      </c>
      <c r="CT419" s="106" t="inlineStr">
        <is>
          <t/>
        </is>
      </c>
      <c r="CU419" s="107" t="inlineStr">
        <is>
          <t/>
        </is>
      </c>
      <c r="CV419" s="108" t="inlineStr">
        <is>
          <t/>
        </is>
      </c>
      <c r="CW419" s="109" t="inlineStr">
        <is>
          <t>0,56x</t>
        </is>
      </c>
      <c r="CX419" s="110" t="inlineStr">
        <is>
          <t>36</t>
        </is>
      </c>
      <c r="CY419" s="111" t="inlineStr">
        <is>
          <t>0,02x</t>
        </is>
      </c>
      <c r="CZ419" s="112" t="inlineStr">
        <is>
          <t>2,78%</t>
        </is>
      </c>
      <c r="DA419" s="113" t="inlineStr">
        <is>
          <t>0,56x</t>
        </is>
      </c>
      <c r="DB419" s="114" t="inlineStr">
        <is>
          <t>38</t>
        </is>
      </c>
      <c r="DC419" s="115" t="inlineStr">
        <is>
          <t/>
        </is>
      </c>
      <c r="DD419" s="116" t="inlineStr">
        <is>
          <t/>
        </is>
      </c>
      <c r="DE419" s="117" t="inlineStr">
        <is>
          <t/>
        </is>
      </c>
      <c r="DF419" s="118" t="inlineStr">
        <is>
          <t/>
        </is>
      </c>
      <c r="DG419" s="119" t="inlineStr">
        <is>
          <t>0,56x</t>
        </is>
      </c>
      <c r="DH419" s="120" t="inlineStr">
        <is>
          <t>38</t>
        </is>
      </c>
      <c r="DI419" s="121" t="inlineStr">
        <is>
          <t/>
        </is>
      </c>
      <c r="DJ419" s="122" t="inlineStr">
        <is>
          <t/>
        </is>
      </c>
      <c r="DK419" s="123" t="inlineStr">
        <is>
          <t/>
        </is>
      </c>
      <c r="DL419" s="124" t="inlineStr">
        <is>
          <t/>
        </is>
      </c>
      <c r="DM419" s="125" t="inlineStr">
        <is>
          <t/>
        </is>
      </c>
      <c r="DN419" s="126" t="inlineStr">
        <is>
          <t/>
        </is>
      </c>
      <c r="DO419" s="127" t="inlineStr">
        <is>
          <t/>
        </is>
      </c>
      <c r="DP419" s="128" t="inlineStr">
        <is>
          <t/>
        </is>
      </c>
      <c r="DQ419" s="129" t="inlineStr">
        <is>
          <t/>
        </is>
      </c>
      <c r="DR419" s="130" t="inlineStr">
        <is>
          <t/>
        </is>
      </c>
      <c r="DS419" s="131" t="inlineStr">
        <is>
          <t>20</t>
        </is>
      </c>
      <c r="DT419" s="132" t="inlineStr">
        <is>
          <t>0</t>
        </is>
      </c>
      <c r="DU419" s="133" t="inlineStr">
        <is>
          <t>0,00%</t>
        </is>
      </c>
      <c r="DV419" s="134" t="inlineStr">
        <is>
          <t/>
        </is>
      </c>
      <c r="DW419" s="135" t="inlineStr">
        <is>
          <t/>
        </is>
      </c>
      <c r="DX419" s="136" t="inlineStr">
        <is>
          <t/>
        </is>
      </c>
      <c r="DY419" s="137" t="inlineStr">
        <is>
          <t>PitchBook Research</t>
        </is>
      </c>
      <c r="DZ419" s="785">
        <f>HYPERLINK("https://my.pitchbook.com?c=162995-77", "View company online")</f>
      </c>
    </row>
    <row r="420">
      <c r="A420" s="139" t="inlineStr">
        <is>
          <t>114986-71</t>
        </is>
      </c>
      <c r="B420" s="140" t="inlineStr">
        <is>
          <t>Spinnova</t>
        </is>
      </c>
      <c r="C420" s="141" t="inlineStr">
        <is>
          <t/>
        </is>
      </c>
      <c r="D420" s="142" t="inlineStr">
        <is>
          <t/>
        </is>
      </c>
      <c r="E420" s="143" t="inlineStr">
        <is>
          <t>114986-71</t>
        </is>
      </c>
      <c r="F420" s="144" t="inlineStr">
        <is>
          <t>Developer of a fiber yarn technology designed to spin yarn directly from wood fiber wіthout complex chemіcal processes. The company's fiber yarn technology uses wood fibers to produce filaments and yarns that can replace cotton, viscose and other raw materials in both woven and non-woven applications, providing consumers with sustainable and cost-efficient fiber products from forest based bio-materials.</t>
        </is>
      </c>
      <c r="G420" s="145" t="inlineStr">
        <is>
          <t>Materials and Resources</t>
        </is>
      </c>
      <c r="H420" s="146" t="inlineStr">
        <is>
          <t>Forestry</t>
        </is>
      </c>
      <c r="I420" s="147" t="inlineStr">
        <is>
          <t>Wood/Hard Products</t>
        </is>
      </c>
      <c r="J420" s="148" t="inlineStr">
        <is>
          <t>Wood/Hard Products*; Machinery (B2B); Other Forestry; Other Textiles</t>
        </is>
      </c>
      <c r="K420" s="149" t="inlineStr">
        <is>
          <t>CleanTech</t>
        </is>
      </c>
      <c r="L420" s="150" t="inlineStr">
        <is>
          <t>Venture Capital-Backed</t>
        </is>
      </c>
      <c r="M420" s="151" t="n">
        <v>6.95</v>
      </c>
      <c r="N420" s="152" t="inlineStr">
        <is>
          <t>Startup</t>
        </is>
      </c>
      <c r="O420" s="153" t="inlineStr">
        <is>
          <t>Privately Held (backing)</t>
        </is>
      </c>
      <c r="P420" s="154" t="inlineStr">
        <is>
          <t>Venture Capital</t>
        </is>
      </c>
      <c r="Q420" s="155" t="inlineStr">
        <is>
          <t>www.spinnova.fi</t>
        </is>
      </c>
      <c r="R420" s="156" t="n">
        <v>9.0</v>
      </c>
      <c r="S420" s="157" t="inlineStr">
        <is>
          <t/>
        </is>
      </c>
      <c r="T420" s="158" t="inlineStr">
        <is>
          <t/>
        </is>
      </c>
      <c r="U420" s="159" t="n">
        <v>2014.0</v>
      </c>
      <c r="V420" s="160" t="inlineStr">
        <is>
          <t/>
        </is>
      </c>
      <c r="W420" s="161" t="inlineStr">
        <is>
          <t/>
        </is>
      </c>
      <c r="X420" s="162" t="inlineStr">
        <is>
          <t/>
        </is>
      </c>
      <c r="Y420" s="163" t="n">
        <v>0.90036</v>
      </c>
      <c r="Z420" s="164" t="inlineStr">
        <is>
          <t/>
        </is>
      </c>
      <c r="AA420" s="165" t="n">
        <v>0.03675</v>
      </c>
      <c r="AB420" s="166" t="inlineStr">
        <is>
          <t/>
        </is>
      </c>
      <c r="AC420" s="167" t="n">
        <v>0.04594</v>
      </c>
      <c r="AD420" s="168" t="inlineStr">
        <is>
          <t>FY 2015</t>
        </is>
      </c>
      <c r="AE420" s="169" t="inlineStr">
        <is>
          <t>102460-78P</t>
        </is>
      </c>
      <c r="AF420" s="170" t="inlineStr">
        <is>
          <t>Janne Poranen</t>
        </is>
      </c>
      <c r="AG420" s="171" t="inlineStr">
        <is>
          <t>Co-Founder &amp; Chief Executive Officer</t>
        </is>
      </c>
      <c r="AH420" s="172" t="inlineStr">
        <is>
          <t>janne.poranen@spinnova.fi</t>
        </is>
      </c>
      <c r="AI420" s="173" t="inlineStr">
        <is>
          <t>+358 (0)40 013 8711</t>
        </is>
      </c>
      <c r="AJ420" s="174" t="inlineStr">
        <is>
          <t>Vaajakoski, Finland</t>
        </is>
      </c>
      <c r="AK420" s="175" t="inlineStr">
        <is>
          <t>Asematie 11</t>
        </is>
      </c>
      <c r="AL420" s="176" t="inlineStr">
        <is>
          <t/>
        </is>
      </c>
      <c r="AM420" s="177" t="inlineStr">
        <is>
          <t>Vaajakoski</t>
        </is>
      </c>
      <c r="AN420" s="178" t="inlineStr">
        <is>
          <t/>
        </is>
      </c>
      <c r="AO420" s="179" t="inlineStr">
        <is>
          <t>40800</t>
        </is>
      </c>
      <c r="AP420" s="180" t="inlineStr">
        <is>
          <t>Finland</t>
        </is>
      </c>
      <c r="AQ420" s="181" t="inlineStr">
        <is>
          <t/>
        </is>
      </c>
      <c r="AR420" s="182" t="inlineStr">
        <is>
          <t/>
        </is>
      </c>
      <c r="AS420" s="183" t="inlineStr">
        <is>
          <t>info@spinnova.fi</t>
        </is>
      </c>
      <c r="AT420" s="184" t="inlineStr">
        <is>
          <t>Europe</t>
        </is>
      </c>
      <c r="AU420" s="185" t="inlineStr">
        <is>
          <t>Northern Europe</t>
        </is>
      </c>
      <c r="AV420" s="186" t="inlineStr">
        <is>
          <t>The company received EUR 5 million of financing from Fibria Celulose on July 7, 2017, putting the company's pre-money valuation at EUR 22.77 million. Prior to that, the company raised EUR 1.95 million of venture funding from VTT Ventures, Lenzing and Besodos on December 23, 2014. Markku Kaloniemi, Yrjö Neuvo and Timo Soininen also participated in this round. The company is being actively tracked by PitchBook.</t>
        </is>
      </c>
      <c r="AW420" s="187" t="inlineStr">
        <is>
          <t>Besodos Investors, Fibria Celulose, Lenzing, Markku Kaloniemi, Startup 100, Timo Soininen, VTT Ventures, Yrjö Neuvo</t>
        </is>
      </c>
      <c r="AX420" s="188" t="n">
        <v>8.0</v>
      </c>
      <c r="AY420" s="189" t="inlineStr">
        <is>
          <t/>
        </is>
      </c>
      <c r="AZ420" s="190" t="inlineStr">
        <is>
          <t/>
        </is>
      </c>
      <c r="BA420" s="191" t="inlineStr">
        <is>
          <t/>
        </is>
      </c>
      <c r="BB420" s="192" t="inlineStr">
        <is>
          <t>Besodos Investors (www.besodos.fi), Fibria Celulose (www.fibria.com.br), Lenzing (www.lenzing.com), Startup 100 (startup100.net), VTT Ventures (www.vttventures.fi)</t>
        </is>
      </c>
      <c r="BC420" s="193" t="inlineStr">
        <is>
          <t/>
        </is>
      </c>
      <c r="BD420" s="194" t="inlineStr">
        <is>
          <t/>
        </is>
      </c>
      <c r="BE420" s="195" t="inlineStr">
        <is>
          <t/>
        </is>
      </c>
      <c r="BF420" s="196" t="inlineStr">
        <is>
          <t>Pöyry (Advisor)</t>
        </is>
      </c>
      <c r="BG420" s="197" t="inlineStr">
        <is>
          <t/>
        </is>
      </c>
      <c r="BH420" s="198" t="inlineStr">
        <is>
          <t/>
        </is>
      </c>
      <c r="BI420" s="199" t="inlineStr">
        <is>
          <t/>
        </is>
      </c>
      <c r="BJ420" s="200" t="inlineStr">
        <is>
          <t/>
        </is>
      </c>
      <c r="BK420" s="201" t="inlineStr">
        <is>
          <t/>
        </is>
      </c>
      <c r="BL420" s="202" t="inlineStr">
        <is>
          <t>Accelerator/Incubator</t>
        </is>
      </c>
      <c r="BM420" s="203" t="inlineStr">
        <is>
          <t/>
        </is>
      </c>
      <c r="BN420" s="204" t="inlineStr">
        <is>
          <t/>
        </is>
      </c>
      <c r="BO420" s="205" t="inlineStr">
        <is>
          <t>Other</t>
        </is>
      </c>
      <c r="BP420" s="206" t="inlineStr">
        <is>
          <t/>
        </is>
      </c>
      <c r="BQ420" s="207" t="inlineStr">
        <is>
          <t/>
        </is>
      </c>
      <c r="BR420" s="208" t="inlineStr">
        <is>
          <t/>
        </is>
      </c>
      <c r="BS420" s="209" t="inlineStr">
        <is>
          <t>Completed</t>
        </is>
      </c>
      <c r="BT420" s="210" t="n">
        <v>42923.0</v>
      </c>
      <c r="BU420" s="211" t="n">
        <v>5.0</v>
      </c>
      <c r="BV420" s="212" t="inlineStr">
        <is>
          <t>Actual</t>
        </is>
      </c>
      <c r="BW420" s="213" t="n">
        <v>27.77</v>
      </c>
      <c r="BX420" s="214" t="inlineStr">
        <is>
          <t>Actual</t>
        </is>
      </c>
      <c r="BY420" s="215" t="inlineStr">
        <is>
          <t>Corporate</t>
        </is>
      </c>
      <c r="BZ420" s="216" t="inlineStr">
        <is>
          <t>Corporate</t>
        </is>
      </c>
      <c r="CA420" s="217" t="inlineStr">
        <is>
          <t/>
        </is>
      </c>
      <c r="CB420" s="218" t="inlineStr">
        <is>
          <t>Corporate</t>
        </is>
      </c>
      <c r="CC420" s="219" t="inlineStr">
        <is>
          <t/>
        </is>
      </c>
      <c r="CD420" s="220" t="inlineStr">
        <is>
          <t/>
        </is>
      </c>
      <c r="CE420" s="221" t="inlineStr">
        <is>
          <t/>
        </is>
      </c>
      <c r="CF420" s="222" t="inlineStr">
        <is>
          <t>Announced/In Progress</t>
        </is>
      </c>
      <c r="CG420" s="223" t="inlineStr">
        <is>
          <t>0,00%</t>
        </is>
      </c>
      <c r="CH420" s="224" t="inlineStr">
        <is>
          <t>23</t>
        </is>
      </c>
      <c r="CI420" s="225" t="inlineStr">
        <is>
          <t>0,00%</t>
        </is>
      </c>
      <c r="CJ420" s="226" t="inlineStr">
        <is>
          <t>0,00%</t>
        </is>
      </c>
      <c r="CK420" s="227" t="inlineStr">
        <is>
          <t>0,00%</t>
        </is>
      </c>
      <c r="CL420" s="228" t="inlineStr">
        <is>
          <t>18</t>
        </is>
      </c>
      <c r="CM420" s="229" t="inlineStr">
        <is>
          <t>0,00%</t>
        </is>
      </c>
      <c r="CN420" s="230" t="inlineStr">
        <is>
          <t>19</t>
        </is>
      </c>
      <c r="CO420" s="231" t="inlineStr">
        <is>
          <t>0,00%</t>
        </is>
      </c>
      <c r="CP420" s="232" t="inlineStr">
        <is>
          <t>26</t>
        </is>
      </c>
      <c r="CQ420" s="233" t="inlineStr">
        <is>
          <t>0,00%</t>
        </is>
      </c>
      <c r="CR420" s="234" t="inlineStr">
        <is>
          <t>13</t>
        </is>
      </c>
      <c r="CS420" s="235" t="inlineStr">
        <is>
          <t/>
        </is>
      </c>
      <c r="CT420" s="236" t="inlineStr">
        <is>
          <t/>
        </is>
      </c>
      <c r="CU420" s="237" t="inlineStr">
        <is>
          <t>0,00%</t>
        </is>
      </c>
      <c r="CV420" s="238" t="inlineStr">
        <is>
          <t>20</t>
        </is>
      </c>
      <c r="CW420" s="239" t="inlineStr">
        <is>
          <t>0,51x</t>
        </is>
      </c>
      <c r="CX420" s="240" t="inlineStr">
        <is>
          <t>34</t>
        </is>
      </c>
      <c r="CY420" s="241" t="inlineStr">
        <is>
          <t>0,00x</t>
        </is>
      </c>
      <c r="CZ420" s="242" t="inlineStr">
        <is>
          <t>0,32%</t>
        </is>
      </c>
      <c r="DA420" s="243" t="inlineStr">
        <is>
          <t>0,89x</t>
        </is>
      </c>
      <c r="DB420" s="244" t="inlineStr">
        <is>
          <t>49</t>
        </is>
      </c>
      <c r="DC420" s="245" t="inlineStr">
        <is>
          <t>0,12x</t>
        </is>
      </c>
      <c r="DD420" s="246" t="inlineStr">
        <is>
          <t>16</t>
        </is>
      </c>
      <c r="DE420" s="247" t="inlineStr">
        <is>
          <t>0,73x</t>
        </is>
      </c>
      <c r="DF420" s="248" t="inlineStr">
        <is>
          <t>44</t>
        </is>
      </c>
      <c r="DG420" s="249" t="inlineStr">
        <is>
          <t>1,06x</t>
        </is>
      </c>
      <c r="DH420" s="250" t="inlineStr">
        <is>
          <t>51</t>
        </is>
      </c>
      <c r="DI420" s="251" t="inlineStr">
        <is>
          <t/>
        </is>
      </c>
      <c r="DJ420" s="252" t="inlineStr">
        <is>
          <t/>
        </is>
      </c>
      <c r="DK420" s="253" t="inlineStr">
        <is>
          <t>0,12x</t>
        </is>
      </c>
      <c r="DL420" s="254" t="inlineStr">
        <is>
          <t>20</t>
        </is>
      </c>
      <c r="DM420" s="255" t="inlineStr">
        <is>
          <t>425</t>
        </is>
      </c>
      <c r="DN420" s="256" t="inlineStr">
        <is>
          <t>69</t>
        </is>
      </c>
      <c r="DO420" s="257" t="inlineStr">
        <is>
          <t>19,38%</t>
        </is>
      </c>
      <c r="DP420" s="258" t="inlineStr">
        <is>
          <t/>
        </is>
      </c>
      <c r="DQ420" s="259" t="inlineStr">
        <is>
          <t/>
        </is>
      </c>
      <c r="DR420" s="260" t="inlineStr">
        <is>
          <t/>
        </is>
      </c>
      <c r="DS420" s="261" t="inlineStr">
        <is>
          <t>38</t>
        </is>
      </c>
      <c r="DT420" s="262" t="inlineStr">
        <is>
          <t>-1</t>
        </is>
      </c>
      <c r="DU420" s="263" t="inlineStr">
        <is>
          <t>-2,56%</t>
        </is>
      </c>
      <c r="DV420" s="264" t="inlineStr">
        <is>
          <t>41</t>
        </is>
      </c>
      <c r="DW420" s="265" t="inlineStr">
        <is>
          <t>-1</t>
        </is>
      </c>
      <c r="DX420" s="266" t="inlineStr">
        <is>
          <t>-2,38%</t>
        </is>
      </c>
      <c r="DY420" s="267" t="inlineStr">
        <is>
          <t>PitchBook Research</t>
        </is>
      </c>
      <c r="DZ420" s="786">
        <f>HYPERLINK("https://my.pitchbook.com?c=114986-71", "View company online")</f>
      </c>
    </row>
    <row r="421">
      <c r="A421" s="9" t="inlineStr">
        <is>
          <t>59038-12</t>
        </is>
      </c>
      <c r="B421" s="10" t="inlineStr">
        <is>
          <t>Sportlobster</t>
        </is>
      </c>
      <c r="C421" s="11" t="inlineStr">
        <is>
          <t/>
        </is>
      </c>
      <c r="D421" s="12" t="inlineStr">
        <is>
          <t/>
        </is>
      </c>
      <c r="E421" s="13" t="inlineStr">
        <is>
          <t>59038-12</t>
        </is>
      </c>
      <c r="F421" s="14" t="inlineStr">
        <is>
          <t>Provider of a sports social network designed to offer real-time sporting information. The company's sports social network offers live scores, sports news, blogs, photographs, predictions and videos, enabling consumers to write articles and share their sporting thoughts and insights.</t>
        </is>
      </c>
      <c r="G421" s="15" t="inlineStr">
        <is>
          <t>Information Technology</t>
        </is>
      </c>
      <c r="H421" s="16" t="inlineStr">
        <is>
          <t>Software</t>
        </is>
      </c>
      <c r="I421" s="17" t="inlineStr">
        <is>
          <t>Social/Platform Software</t>
        </is>
      </c>
      <c r="J421" s="18" t="inlineStr">
        <is>
          <t>Social/Platform Software*; Information Services (B2C); Application Software</t>
        </is>
      </c>
      <c r="K421" s="19" t="inlineStr">
        <is>
          <t>Mobile, SaaS</t>
        </is>
      </c>
      <c r="L421" s="20" t="inlineStr">
        <is>
          <t>Venture Capital-Backed</t>
        </is>
      </c>
      <c r="M421" s="21" t="n">
        <v>6.85</v>
      </c>
      <c r="N421" s="22" t="inlineStr">
        <is>
          <t>Startup</t>
        </is>
      </c>
      <c r="O421" s="23" t="inlineStr">
        <is>
          <t>Privately Held (backing)</t>
        </is>
      </c>
      <c r="P421" s="24" t="inlineStr">
        <is>
          <t>Venture Capital</t>
        </is>
      </c>
      <c r="Q421" s="25" t="inlineStr">
        <is>
          <t>www.sportlobster.com</t>
        </is>
      </c>
      <c r="R421" s="26" t="n">
        <v>43.0</v>
      </c>
      <c r="S421" s="27" t="inlineStr">
        <is>
          <t/>
        </is>
      </c>
      <c r="T421" s="28" t="inlineStr">
        <is>
          <t/>
        </is>
      </c>
      <c r="U421" s="29" t="n">
        <v>2012.0</v>
      </c>
      <c r="V421" s="30" t="inlineStr">
        <is>
          <t/>
        </is>
      </c>
      <c r="W421" s="31" t="inlineStr">
        <is>
          <t/>
        </is>
      </c>
      <c r="X421" s="32" t="inlineStr">
        <is>
          <t/>
        </is>
      </c>
      <c r="Y421" s="33" t="inlineStr">
        <is>
          <t/>
        </is>
      </c>
      <c r="Z421" s="34" t="inlineStr">
        <is>
          <t/>
        </is>
      </c>
      <c r="AA421" s="35" t="inlineStr">
        <is>
          <t/>
        </is>
      </c>
      <c r="AB421" s="36" t="inlineStr">
        <is>
          <t/>
        </is>
      </c>
      <c r="AC421" s="37" t="inlineStr">
        <is>
          <t/>
        </is>
      </c>
      <c r="AD421" s="38" t="inlineStr">
        <is>
          <t>FY 2013</t>
        </is>
      </c>
      <c r="AE421" s="39" t="inlineStr">
        <is>
          <t>53847-37P</t>
        </is>
      </c>
      <c r="AF421" s="40" t="inlineStr">
        <is>
          <t>Andrew Meikle</t>
        </is>
      </c>
      <c r="AG421" s="41" t="inlineStr">
        <is>
          <t>Board Member, Chief Executive Officer &amp; Co-Founder</t>
        </is>
      </c>
      <c r="AH421" s="42" t="inlineStr">
        <is>
          <t>andrew.meikle@sportlobster.com</t>
        </is>
      </c>
      <c r="AI421" s="43" t="inlineStr">
        <is>
          <t/>
        </is>
      </c>
      <c r="AJ421" s="44" t="inlineStr">
        <is>
          <t>London, United Kingdom</t>
        </is>
      </c>
      <c r="AK421" s="45" t="inlineStr">
        <is>
          <t>36 Spital Square</t>
        </is>
      </c>
      <c r="AL421" s="46" t="inlineStr">
        <is>
          <t>4th floor</t>
        </is>
      </c>
      <c r="AM421" s="47" t="inlineStr">
        <is>
          <t>London</t>
        </is>
      </c>
      <c r="AN421" s="48" t="inlineStr">
        <is>
          <t>England</t>
        </is>
      </c>
      <c r="AO421" s="49" t="inlineStr">
        <is>
          <t>E1 6DY</t>
        </is>
      </c>
      <c r="AP421" s="50" t="inlineStr">
        <is>
          <t>United Kingdom</t>
        </is>
      </c>
      <c r="AQ421" s="51" t="inlineStr">
        <is>
          <t/>
        </is>
      </c>
      <c r="AR421" s="52" t="inlineStr">
        <is>
          <t/>
        </is>
      </c>
      <c r="AS421" s="53" t="inlineStr">
        <is>
          <t/>
        </is>
      </c>
      <c r="AT421" s="54" t="inlineStr">
        <is>
          <t>Europe</t>
        </is>
      </c>
      <c r="AU421" s="55" t="inlineStr">
        <is>
          <t>Western Europe</t>
        </is>
      </c>
      <c r="AV421" s="56" t="inlineStr">
        <is>
          <t>The company raised GBP 2 million of venture funding from Daman Investments on November 16, 2015. The company will use the funding to accelerator and support its products and strategic developments.</t>
        </is>
      </c>
      <c r="AW421" s="57" t="inlineStr">
        <is>
          <t>Daman Investments, Individual Investor, Wychwood Capital Partners</t>
        </is>
      </c>
      <c r="AX421" s="58" t="n">
        <v>3.0</v>
      </c>
      <c r="AY421" s="59" t="inlineStr">
        <is>
          <t/>
        </is>
      </c>
      <c r="AZ421" s="60" t="inlineStr">
        <is>
          <t/>
        </is>
      </c>
      <c r="BA421" s="61" t="inlineStr">
        <is>
          <t/>
        </is>
      </c>
      <c r="BB421" s="62" t="inlineStr">
        <is>
          <t>Daman Investments (www.daman.ae), Wychwood Capital Partners (www.w-c-p.com)</t>
        </is>
      </c>
      <c r="BC421" s="63" t="inlineStr">
        <is>
          <t/>
        </is>
      </c>
      <c r="BD421" s="64" t="inlineStr">
        <is>
          <t/>
        </is>
      </c>
      <c r="BE421" s="65" t="inlineStr">
        <is>
          <t/>
        </is>
      </c>
      <c r="BF421" s="66" t="inlineStr">
        <is>
          <t/>
        </is>
      </c>
      <c r="BG421" s="67" t="n">
        <v>41000.0</v>
      </c>
      <c r="BH421" s="68" t="n">
        <v>0.61</v>
      </c>
      <c r="BI421" s="69" t="inlineStr">
        <is>
          <t>Actual</t>
        </is>
      </c>
      <c r="BJ421" s="70" t="inlineStr">
        <is>
          <t/>
        </is>
      </c>
      <c r="BK421" s="71" t="inlineStr">
        <is>
          <t/>
        </is>
      </c>
      <c r="BL421" s="72" t="inlineStr">
        <is>
          <t>Seed Round</t>
        </is>
      </c>
      <c r="BM421" s="73" t="inlineStr">
        <is>
          <t>Seed</t>
        </is>
      </c>
      <c r="BN421" s="74" t="inlineStr">
        <is>
          <t/>
        </is>
      </c>
      <c r="BO421" s="75" t="inlineStr">
        <is>
          <t>Individual</t>
        </is>
      </c>
      <c r="BP421" s="76" t="inlineStr">
        <is>
          <t/>
        </is>
      </c>
      <c r="BQ421" s="77" t="inlineStr">
        <is>
          <t/>
        </is>
      </c>
      <c r="BR421" s="78" t="inlineStr">
        <is>
          <t/>
        </is>
      </c>
      <c r="BS421" s="79" t="inlineStr">
        <is>
          <t>Completed</t>
        </is>
      </c>
      <c r="BT421" s="80" t="n">
        <v>42324.0</v>
      </c>
      <c r="BU421" s="81" t="n">
        <v>2.83</v>
      </c>
      <c r="BV421" s="82" t="inlineStr">
        <is>
          <t>Actual</t>
        </is>
      </c>
      <c r="BW421" s="83" t="inlineStr">
        <is>
          <t/>
        </is>
      </c>
      <c r="BX421" s="84" t="inlineStr">
        <is>
          <t/>
        </is>
      </c>
      <c r="BY421" s="85" t="inlineStr">
        <is>
          <t>Early Stage VC</t>
        </is>
      </c>
      <c r="BZ421" s="86" t="inlineStr">
        <is>
          <t/>
        </is>
      </c>
      <c r="CA421" s="87" t="inlineStr">
        <is>
          <t/>
        </is>
      </c>
      <c r="CB421" s="88" t="inlineStr">
        <is>
          <t>Venture Capital</t>
        </is>
      </c>
      <c r="CC421" s="89" t="inlineStr">
        <is>
          <t/>
        </is>
      </c>
      <c r="CD421" s="90" t="inlineStr">
        <is>
          <t/>
        </is>
      </c>
      <c r="CE421" s="91" t="inlineStr">
        <is>
          <t/>
        </is>
      </c>
      <c r="CF421" s="92" t="inlineStr">
        <is>
          <t>Completed</t>
        </is>
      </c>
      <c r="CG421" s="93" t="inlineStr">
        <is>
          <t>-2,38%</t>
        </is>
      </c>
      <c r="CH421" s="94" t="inlineStr">
        <is>
          <t>2</t>
        </is>
      </c>
      <c r="CI421" s="95" t="inlineStr">
        <is>
          <t>-0,09%</t>
        </is>
      </c>
      <c r="CJ421" s="96" t="inlineStr">
        <is>
          <t>-3,85%</t>
        </is>
      </c>
      <c r="CK421" s="97" t="inlineStr">
        <is>
          <t>-4,93%</t>
        </is>
      </c>
      <c r="CL421" s="98" t="inlineStr">
        <is>
          <t>1</t>
        </is>
      </c>
      <c r="CM421" s="99" t="inlineStr">
        <is>
          <t/>
        </is>
      </c>
      <c r="CN421" s="100" t="inlineStr">
        <is>
          <t/>
        </is>
      </c>
      <c r="CO421" s="101" t="inlineStr">
        <is>
          <t>-10,09%</t>
        </is>
      </c>
      <c r="CP421" s="102" t="inlineStr">
        <is>
          <t>2</t>
        </is>
      </c>
      <c r="CQ421" s="103" t="inlineStr">
        <is>
          <t>0,23%</t>
        </is>
      </c>
      <c r="CR421" s="104" t="inlineStr">
        <is>
          <t>84</t>
        </is>
      </c>
      <c r="CS421" s="105" t="inlineStr">
        <is>
          <t/>
        </is>
      </c>
      <c r="CT421" s="106" t="inlineStr">
        <is>
          <t/>
        </is>
      </c>
      <c r="CU421" s="107" t="inlineStr">
        <is>
          <t/>
        </is>
      </c>
      <c r="CV421" s="108" t="inlineStr">
        <is>
          <t/>
        </is>
      </c>
      <c r="CW421" s="109" t="inlineStr">
        <is>
          <t>5,25x</t>
        </is>
      </c>
      <c r="CX421" s="110" t="inlineStr">
        <is>
          <t>80</t>
        </is>
      </c>
      <c r="CY421" s="111" t="inlineStr">
        <is>
          <t>0,03x</t>
        </is>
      </c>
      <c r="CZ421" s="112" t="inlineStr">
        <is>
          <t>0,49%</t>
        </is>
      </c>
      <c r="DA421" s="113" t="inlineStr">
        <is>
          <t>9,10x</t>
        </is>
      </c>
      <c r="DB421" s="114" t="inlineStr">
        <is>
          <t>87</t>
        </is>
      </c>
      <c r="DC421" s="115" t="inlineStr">
        <is>
          <t/>
        </is>
      </c>
      <c r="DD421" s="116" t="inlineStr">
        <is>
          <t/>
        </is>
      </c>
      <c r="DE421" s="117" t="inlineStr">
        <is>
          <t>4,45x</t>
        </is>
      </c>
      <c r="DF421" s="118" t="inlineStr">
        <is>
          <t>75</t>
        </is>
      </c>
      <c r="DG421" s="119" t="inlineStr">
        <is>
          <t>13,75x</t>
        </is>
      </c>
      <c r="DH421" s="120" t="inlineStr">
        <is>
          <t>89</t>
        </is>
      </c>
      <c r="DI421" s="121" t="inlineStr">
        <is>
          <t/>
        </is>
      </c>
      <c r="DJ421" s="122" t="inlineStr">
        <is>
          <t/>
        </is>
      </c>
      <c r="DK421" s="123" t="inlineStr">
        <is>
          <t/>
        </is>
      </c>
      <c r="DL421" s="124" t="inlineStr">
        <is>
          <t/>
        </is>
      </c>
      <c r="DM421" s="125" t="inlineStr">
        <is>
          <t>3.237</t>
        </is>
      </c>
      <c r="DN421" s="126" t="inlineStr">
        <is>
          <t>-1.493</t>
        </is>
      </c>
      <c r="DO421" s="127" t="inlineStr">
        <is>
          <t>-31,56%</t>
        </is>
      </c>
      <c r="DP421" s="128" t="inlineStr">
        <is>
          <t/>
        </is>
      </c>
      <c r="DQ421" s="129" t="inlineStr">
        <is>
          <t/>
        </is>
      </c>
      <c r="DR421" s="130" t="inlineStr">
        <is>
          <t/>
        </is>
      </c>
      <c r="DS421" s="131" t="inlineStr">
        <is>
          <t>499</t>
        </is>
      </c>
      <c r="DT421" s="132" t="inlineStr">
        <is>
          <t>-8</t>
        </is>
      </c>
      <c r="DU421" s="133" t="inlineStr">
        <is>
          <t>-1,58%</t>
        </is>
      </c>
      <c r="DV421" s="134" t="inlineStr">
        <is>
          <t/>
        </is>
      </c>
      <c r="DW421" s="135" t="inlineStr">
        <is>
          <t/>
        </is>
      </c>
      <c r="DX421" s="136" t="inlineStr">
        <is>
          <t/>
        </is>
      </c>
      <c r="DY421" s="137" t="inlineStr">
        <is>
          <t>PitchBook Research</t>
        </is>
      </c>
      <c r="DZ421" s="785">
        <f>HYPERLINK("https://my.pitchbook.com?c=59038-12", "View company online")</f>
      </c>
    </row>
    <row r="422">
      <c r="A422" s="139" t="inlineStr">
        <is>
          <t>98884-09</t>
        </is>
      </c>
      <c r="B422" s="140" t="inlineStr">
        <is>
          <t>Spotcap</t>
        </is>
      </c>
      <c r="C422" s="141" t="inlineStr">
        <is>
          <t/>
        </is>
      </c>
      <c r="D422" s="142" t="inlineStr">
        <is>
          <t/>
        </is>
      </c>
      <c r="E422" s="143" t="inlineStr">
        <is>
          <t>98884-09</t>
        </is>
      </c>
      <c r="F422" s="144" t="inlineStr">
        <is>
          <t>Provider of an online lending platform intended to provide flexible and accessible business finance to small and medium-sized businesses. The company's online credit platform uses proprietary credit algorithm which provides deep insight into the financial condition of a business, enabling efficient provision of finance to its customers.</t>
        </is>
      </c>
      <c r="G422" s="145" t="inlineStr">
        <is>
          <t>Information Technology</t>
        </is>
      </c>
      <c r="H422" s="146" t="inlineStr">
        <is>
          <t>Software</t>
        </is>
      </c>
      <c r="I422" s="147" t="inlineStr">
        <is>
          <t>Social/Platform Software</t>
        </is>
      </c>
      <c r="J422" s="148" t="inlineStr">
        <is>
          <t>Social/Platform Software*; Other Financial Services; Financial Software</t>
        </is>
      </c>
      <c r="K422" s="149" t="inlineStr">
        <is>
          <t>FinTech</t>
        </is>
      </c>
      <c r="L422" s="150" t="inlineStr">
        <is>
          <t>Venture Capital-Backed</t>
        </is>
      </c>
      <c r="M422" s="151" t="n">
        <v>63.5</v>
      </c>
      <c r="N422" s="152" t="inlineStr">
        <is>
          <t>Generating Revenue</t>
        </is>
      </c>
      <c r="O422" s="153" t="inlineStr">
        <is>
          <t>Privately Held (backing)</t>
        </is>
      </c>
      <c r="P422" s="154" t="inlineStr">
        <is>
          <t>Venture Capital</t>
        </is>
      </c>
      <c r="Q422" s="155" t="inlineStr">
        <is>
          <t>www.spotcap.com</t>
        </is>
      </c>
      <c r="R422" s="156" t="n">
        <v>90.0</v>
      </c>
      <c r="S422" s="157" t="inlineStr">
        <is>
          <t/>
        </is>
      </c>
      <c r="T422" s="158" t="inlineStr">
        <is>
          <t/>
        </is>
      </c>
      <c r="U422" s="159" t="n">
        <v>2014.0</v>
      </c>
      <c r="V422" s="160" t="inlineStr">
        <is>
          <t/>
        </is>
      </c>
      <c r="W422" s="161" t="inlineStr">
        <is>
          <t/>
        </is>
      </c>
      <c r="X422" s="162" t="inlineStr">
        <is>
          <t/>
        </is>
      </c>
      <c r="Y422" s="163" t="inlineStr">
        <is>
          <t/>
        </is>
      </c>
      <c r="Z422" s="164" t="inlineStr">
        <is>
          <t/>
        </is>
      </c>
      <c r="AA422" s="165" t="inlineStr">
        <is>
          <t/>
        </is>
      </c>
      <c r="AB422" s="166" t="inlineStr">
        <is>
          <t/>
        </is>
      </c>
      <c r="AC422" s="167" t="inlineStr">
        <is>
          <t/>
        </is>
      </c>
      <c r="AD422" s="168" t="inlineStr">
        <is>
          <t/>
        </is>
      </c>
      <c r="AE422" s="169" t="inlineStr">
        <is>
          <t>83068-66P</t>
        </is>
      </c>
      <c r="AF422" s="170" t="inlineStr">
        <is>
          <t>Jens Woloszczak</t>
        </is>
      </c>
      <c r="AG422" s="171" t="inlineStr">
        <is>
          <t>Co-Founder &amp; Chief Executive Officer</t>
        </is>
      </c>
      <c r="AH422" s="172" t="inlineStr">
        <is>
          <t>jens.woloszczak@spotcap.es</t>
        </is>
      </c>
      <c r="AI422" s="173" t="inlineStr">
        <is>
          <t>+34 91 119 6187</t>
        </is>
      </c>
      <c r="AJ422" s="174" t="inlineStr">
        <is>
          <t>Berlin, Germany</t>
        </is>
      </c>
      <c r="AK422" s="175" t="inlineStr">
        <is>
          <t>Rosenthaler Str. 42</t>
        </is>
      </c>
      <c r="AL422" s="176" t="inlineStr">
        <is>
          <t/>
        </is>
      </c>
      <c r="AM422" s="177" t="inlineStr">
        <is>
          <t>Berlin</t>
        </is>
      </c>
      <c r="AN422" s="178" t="inlineStr">
        <is>
          <t/>
        </is>
      </c>
      <c r="AO422" s="179" t="inlineStr">
        <is>
          <t>10178</t>
        </is>
      </c>
      <c r="AP422" s="180" t="inlineStr">
        <is>
          <t>Germany</t>
        </is>
      </c>
      <c r="AQ422" s="181" t="inlineStr">
        <is>
          <t>+49 (0)30 1234 5678 9</t>
        </is>
      </c>
      <c r="AR422" s="182" t="inlineStr">
        <is>
          <t/>
        </is>
      </c>
      <c r="AS422" s="183" t="inlineStr">
        <is>
          <t>info@spotcap.com</t>
        </is>
      </c>
      <c r="AT422" s="184" t="inlineStr">
        <is>
          <t>Europe</t>
        </is>
      </c>
      <c r="AU422" s="185" t="inlineStr">
        <is>
          <t>Western Europe</t>
        </is>
      </c>
      <c r="AV422" s="186" t="inlineStr">
        <is>
          <t>The company received AUD 20 million of debt financing from Heartland Bank on January 30, 2017. The funds will be used to accelerate growth whilst it executes its entry into the New Zealand market. Previously, the company raised EUR 31.5 million of venture funding led by Finstar Financial Group on February 2, 2016.</t>
        </is>
      </c>
      <c r="AW422" s="187" t="inlineStr">
        <is>
          <t>Access Industries, Finstar Financial Group, Holtzbrinck Ventures, Kreos Capital, Rocket Internet</t>
        </is>
      </c>
      <c r="AX422" s="188" t="n">
        <v>5.0</v>
      </c>
      <c r="AY422" s="189" t="inlineStr">
        <is>
          <t/>
        </is>
      </c>
      <c r="AZ422" s="190" t="inlineStr">
        <is>
          <t/>
        </is>
      </c>
      <c r="BA422" s="191" t="inlineStr">
        <is>
          <t/>
        </is>
      </c>
      <c r="BB422" s="192" t="inlineStr">
        <is>
          <t>Access Industries (www.accessindustries.com), Finstar Financial Group (www.finstar.com), Holtzbrinck Ventures (www.holtzbrinck-ventures.com), Kreos Capital (www.kreoscapital.com), Rocket Internet (www.rocket-internet.com)</t>
        </is>
      </c>
      <c r="BC422" s="193" t="inlineStr">
        <is>
          <t/>
        </is>
      </c>
      <c r="BD422" s="194" t="inlineStr">
        <is>
          <t/>
        </is>
      </c>
      <c r="BE422" s="195" t="inlineStr">
        <is>
          <t/>
        </is>
      </c>
      <c r="BF422" s="196" t="inlineStr">
        <is>
          <t>Marlin &amp; Associates (Advisor), Kreos Capital, Borse Venture Network (Lead Manager or Arranger), Heartland Bank (New Zealand)</t>
        </is>
      </c>
      <c r="BG422" s="197" t="n">
        <v>41886.0</v>
      </c>
      <c r="BH422" s="198" t="inlineStr">
        <is>
          <t/>
        </is>
      </c>
      <c r="BI422" s="199" t="inlineStr">
        <is>
          <t/>
        </is>
      </c>
      <c r="BJ422" s="200" t="inlineStr">
        <is>
          <t/>
        </is>
      </c>
      <c r="BK422" s="201" t="inlineStr">
        <is>
          <t/>
        </is>
      </c>
      <c r="BL422" s="202" t="inlineStr">
        <is>
          <t>Accelerator/Incubator</t>
        </is>
      </c>
      <c r="BM422" s="203" t="inlineStr">
        <is>
          <t/>
        </is>
      </c>
      <c r="BN422" s="204" t="inlineStr">
        <is>
          <t/>
        </is>
      </c>
      <c r="BO422" s="205" t="inlineStr">
        <is>
          <t>Venture Capital</t>
        </is>
      </c>
      <c r="BP422" s="206" t="inlineStr">
        <is>
          <t/>
        </is>
      </c>
      <c r="BQ422" s="207" t="inlineStr">
        <is>
          <t/>
        </is>
      </c>
      <c r="BR422" s="208" t="inlineStr">
        <is>
          <t/>
        </is>
      </c>
      <c r="BS422" s="209" t="inlineStr">
        <is>
          <t>Completed</t>
        </is>
      </c>
      <c r="BT422" s="210" t="n">
        <v>42765.0</v>
      </c>
      <c r="BU422" s="211" t="n">
        <v>14.0</v>
      </c>
      <c r="BV422" s="212" t="inlineStr">
        <is>
          <t>Actual</t>
        </is>
      </c>
      <c r="BW422" s="213" t="inlineStr">
        <is>
          <t/>
        </is>
      </c>
      <c r="BX422" s="214" t="inlineStr">
        <is>
          <t/>
        </is>
      </c>
      <c r="BY422" s="215" t="inlineStr">
        <is>
          <t>Debt - General</t>
        </is>
      </c>
      <c r="BZ422" s="216" t="inlineStr">
        <is>
          <t/>
        </is>
      </c>
      <c r="CA422" s="217" t="inlineStr">
        <is>
          <t/>
        </is>
      </c>
      <c r="CB422" s="218" t="inlineStr">
        <is>
          <t>Debt</t>
        </is>
      </c>
      <c r="CC422" s="219" t="inlineStr">
        <is>
          <t>Other Debt</t>
        </is>
      </c>
      <c r="CD422" s="220" t="inlineStr">
        <is>
          <t/>
        </is>
      </c>
      <c r="CE422" s="221" t="inlineStr">
        <is>
          <t/>
        </is>
      </c>
      <c r="CF422" s="222" t="inlineStr">
        <is>
          <t>Completed</t>
        </is>
      </c>
      <c r="CG422" s="223" t="inlineStr">
        <is>
          <t>0,13%</t>
        </is>
      </c>
      <c r="CH422" s="224" t="inlineStr">
        <is>
          <t>75</t>
        </is>
      </c>
      <c r="CI422" s="225" t="inlineStr">
        <is>
          <t>-0,04%</t>
        </is>
      </c>
      <c r="CJ422" s="226" t="inlineStr">
        <is>
          <t>-23,10%</t>
        </is>
      </c>
      <c r="CK422" s="227" t="inlineStr">
        <is>
          <t>-0,06%</t>
        </is>
      </c>
      <c r="CL422" s="228" t="inlineStr">
        <is>
          <t>17</t>
        </is>
      </c>
      <c r="CM422" s="229" t="inlineStr">
        <is>
          <t>0,31%</t>
        </is>
      </c>
      <c r="CN422" s="230" t="inlineStr">
        <is>
          <t>82</t>
        </is>
      </c>
      <c r="CO422" s="231" t="inlineStr">
        <is>
          <t>0,05%</t>
        </is>
      </c>
      <c r="CP422" s="232" t="inlineStr">
        <is>
          <t>78</t>
        </is>
      </c>
      <c r="CQ422" s="233" t="inlineStr">
        <is>
          <t>-0,16%</t>
        </is>
      </c>
      <c r="CR422" s="234" t="inlineStr">
        <is>
          <t>11</t>
        </is>
      </c>
      <c r="CS422" s="235" t="inlineStr">
        <is>
          <t>0,50%</t>
        </is>
      </c>
      <c r="CT422" s="236" t="inlineStr">
        <is>
          <t>87</t>
        </is>
      </c>
      <c r="CU422" s="237" t="inlineStr">
        <is>
          <t>0,12%</t>
        </is>
      </c>
      <c r="CV422" s="238" t="inlineStr">
        <is>
          <t>70</t>
        </is>
      </c>
      <c r="CW422" s="239" t="inlineStr">
        <is>
          <t>2,75x</t>
        </is>
      </c>
      <c r="CX422" s="240" t="inlineStr">
        <is>
          <t>70</t>
        </is>
      </c>
      <c r="CY422" s="241" t="inlineStr">
        <is>
          <t>0,04x</t>
        </is>
      </c>
      <c r="CZ422" s="242" t="inlineStr">
        <is>
          <t>1,38%</t>
        </is>
      </c>
      <c r="DA422" s="243" t="inlineStr">
        <is>
          <t>4,08x</t>
        </is>
      </c>
      <c r="DB422" s="244" t="inlineStr">
        <is>
          <t>77</t>
        </is>
      </c>
      <c r="DC422" s="245" t="inlineStr">
        <is>
          <t>1,43x</t>
        </is>
      </c>
      <c r="DD422" s="246" t="inlineStr">
        <is>
          <t>55</t>
        </is>
      </c>
      <c r="DE422" s="247" t="inlineStr">
        <is>
          <t>1,91x</t>
        </is>
      </c>
      <c r="DF422" s="248" t="inlineStr">
        <is>
          <t>63</t>
        </is>
      </c>
      <c r="DG422" s="249" t="inlineStr">
        <is>
          <t>6,25x</t>
        </is>
      </c>
      <c r="DH422" s="250" t="inlineStr">
        <is>
          <t>81</t>
        </is>
      </c>
      <c r="DI422" s="251" t="inlineStr">
        <is>
          <t>0,42x</t>
        </is>
      </c>
      <c r="DJ422" s="252" t="inlineStr">
        <is>
          <t>36</t>
        </is>
      </c>
      <c r="DK422" s="253" t="inlineStr">
        <is>
          <t>2,44x</t>
        </is>
      </c>
      <c r="DL422" s="254" t="inlineStr">
        <is>
          <t>67</t>
        </is>
      </c>
      <c r="DM422" s="255" t="inlineStr">
        <is>
          <t>1.155</t>
        </is>
      </c>
      <c r="DN422" s="256" t="inlineStr">
        <is>
          <t>51</t>
        </is>
      </c>
      <c r="DO422" s="257" t="inlineStr">
        <is>
          <t>4,62%</t>
        </is>
      </c>
      <c r="DP422" s="258" t="inlineStr">
        <is>
          <t>332</t>
        </is>
      </c>
      <c r="DQ422" s="259" t="inlineStr">
        <is>
          <t>2</t>
        </is>
      </c>
      <c r="DR422" s="260" t="inlineStr">
        <is>
          <t>0,61%</t>
        </is>
      </c>
      <c r="DS422" s="261" t="inlineStr">
        <is>
          <t>226</t>
        </is>
      </c>
      <c r="DT422" s="262" t="inlineStr">
        <is>
          <t>-2</t>
        </is>
      </c>
      <c r="DU422" s="263" t="inlineStr">
        <is>
          <t>-0,88%</t>
        </is>
      </c>
      <c r="DV422" s="264" t="inlineStr">
        <is>
          <t>836</t>
        </is>
      </c>
      <c r="DW422" s="265" t="inlineStr">
        <is>
          <t>0</t>
        </is>
      </c>
      <c r="DX422" s="266" t="inlineStr">
        <is>
          <t>0,00%</t>
        </is>
      </c>
      <c r="DY422" s="267" t="inlineStr">
        <is>
          <t>PitchBook Research</t>
        </is>
      </c>
      <c r="DZ422" s="786">
        <f>HYPERLINK("https://my.pitchbook.com?c=98884-09", "View company online")</f>
      </c>
    </row>
    <row r="423">
      <c r="A423" s="9" t="inlineStr">
        <is>
          <t>106782-85</t>
        </is>
      </c>
      <c r="B423" s="10" t="inlineStr">
        <is>
          <t>SPOTTED.DE</t>
        </is>
      </c>
      <c r="C423" s="11" t="inlineStr">
        <is>
          <t>bibflirt</t>
        </is>
      </c>
      <c r="D423" s="12" t="inlineStr">
        <is>
          <t/>
        </is>
      </c>
      <c r="E423" s="13" t="inlineStr">
        <is>
          <t>106782-85</t>
        </is>
      </c>
      <c r="F423" s="14" t="inlineStr">
        <is>
          <t>Developer of a social discovery app designed to connect people with same interests. The company's social discovery app applies a hyperlocal approach to real life and brings together people who cross paths every day enabling users to make new connections with people from their everyday life.</t>
        </is>
      </c>
      <c r="G423" s="15" t="inlineStr">
        <is>
          <t>Information Technology</t>
        </is>
      </c>
      <c r="H423" s="16" t="inlineStr">
        <is>
          <t>Software</t>
        </is>
      </c>
      <c r="I423" s="17" t="inlineStr">
        <is>
          <t>Social/Platform Software</t>
        </is>
      </c>
      <c r="J423" s="18" t="inlineStr">
        <is>
          <t>Social/Platform Software*; Information Services (B2C); Social Content</t>
        </is>
      </c>
      <c r="K423" s="19" t="inlineStr">
        <is>
          <t>Mobile, SaaS</t>
        </is>
      </c>
      <c r="L423" s="20" t="inlineStr">
        <is>
          <t>Venture Capital-Backed</t>
        </is>
      </c>
      <c r="M423" s="21" t="n">
        <v>13.4</v>
      </c>
      <c r="N423" s="22" t="inlineStr">
        <is>
          <t>Startup</t>
        </is>
      </c>
      <c r="O423" s="23" t="inlineStr">
        <is>
          <t>Privately Held (backing)</t>
        </is>
      </c>
      <c r="P423" s="24" t="inlineStr">
        <is>
          <t>Venture Capital</t>
        </is>
      </c>
      <c r="Q423" s="25" t="inlineStr">
        <is>
          <t>www.joinspotted.com</t>
        </is>
      </c>
      <c r="R423" s="26" t="n">
        <v>11.0</v>
      </c>
      <c r="S423" s="27" t="inlineStr">
        <is>
          <t/>
        </is>
      </c>
      <c r="T423" s="28" t="inlineStr">
        <is>
          <t/>
        </is>
      </c>
      <c r="U423" s="29" t="n">
        <v>2013.0</v>
      </c>
      <c r="V423" s="30" t="inlineStr">
        <is>
          <t/>
        </is>
      </c>
      <c r="W423" s="31" t="inlineStr">
        <is>
          <t/>
        </is>
      </c>
      <c r="X423" s="32" t="inlineStr">
        <is>
          <t/>
        </is>
      </c>
      <c r="Y423" s="33" t="inlineStr">
        <is>
          <t/>
        </is>
      </c>
      <c r="Z423" s="34" t="inlineStr">
        <is>
          <t/>
        </is>
      </c>
      <c r="AA423" s="35" t="inlineStr">
        <is>
          <t/>
        </is>
      </c>
      <c r="AB423" s="36" t="inlineStr">
        <is>
          <t/>
        </is>
      </c>
      <c r="AC423" s="37" t="inlineStr">
        <is>
          <t/>
        </is>
      </c>
      <c r="AD423" s="38" t="inlineStr">
        <is>
          <t/>
        </is>
      </c>
      <c r="AE423" s="39" t="inlineStr">
        <is>
          <t>92984-50P</t>
        </is>
      </c>
      <c r="AF423" s="40" t="inlineStr">
        <is>
          <t>Nik Myftari</t>
        </is>
      </c>
      <c r="AG423" s="41" t="inlineStr">
        <is>
          <t>Co-Founder &amp; Chief Executive Officer</t>
        </is>
      </c>
      <c r="AH423" s="42" t="inlineStr">
        <is>
          <t>nik@spotted.de</t>
        </is>
      </c>
      <c r="AI423" s="43" t="inlineStr">
        <is>
          <t/>
        </is>
      </c>
      <c r="AJ423" s="44" t="inlineStr">
        <is>
          <t>Mannheim, Germany</t>
        </is>
      </c>
      <c r="AK423" s="45" t="inlineStr">
        <is>
          <t>F7, 21</t>
        </is>
      </c>
      <c r="AL423" s="46" t="inlineStr">
        <is>
          <t/>
        </is>
      </c>
      <c r="AM423" s="47" t="inlineStr">
        <is>
          <t>Mannheim</t>
        </is>
      </c>
      <c r="AN423" s="48" t="inlineStr">
        <is>
          <t/>
        </is>
      </c>
      <c r="AO423" s="49" t="inlineStr">
        <is>
          <t>68159</t>
        </is>
      </c>
      <c r="AP423" s="50" t="inlineStr">
        <is>
          <t>Germany</t>
        </is>
      </c>
      <c r="AQ423" s="51" t="inlineStr">
        <is>
          <t/>
        </is>
      </c>
      <c r="AR423" s="52" t="inlineStr">
        <is>
          <t/>
        </is>
      </c>
      <c r="AS423" s="53" t="inlineStr">
        <is>
          <t>info@spotted.de</t>
        </is>
      </c>
      <c r="AT423" s="54" t="inlineStr">
        <is>
          <t>Europe</t>
        </is>
      </c>
      <c r="AU423" s="55" t="inlineStr">
        <is>
          <t>Western Europe</t>
        </is>
      </c>
      <c r="AV423" s="56" t="inlineStr">
        <is>
          <t>The company raised $14.5 million of venture funding from Media Ventures, Wolfman Holdings and Deutsche Balaton on August 10, 2015. The company will use the funding for the further development of the application as well as its international expansion.</t>
        </is>
      </c>
      <c r="AW423" s="57" t="inlineStr">
        <is>
          <t>Deutsche Balaton, Media Ventures, Wolfman Holdings</t>
        </is>
      </c>
      <c r="AX423" s="58" t="n">
        <v>3.0</v>
      </c>
      <c r="AY423" s="59" t="inlineStr">
        <is>
          <t/>
        </is>
      </c>
      <c r="AZ423" s="60" t="inlineStr">
        <is>
          <t/>
        </is>
      </c>
      <c r="BA423" s="61" t="inlineStr">
        <is>
          <t/>
        </is>
      </c>
      <c r="BB423" s="62" t="inlineStr">
        <is>
          <t>Deutsche Balaton (www.deutsche-balaton.de), Media Ventures (www.mediaventures.de), Wolfman Holdings (www.wolfmanholding.com)</t>
        </is>
      </c>
      <c r="BC423" s="63" t="inlineStr">
        <is>
          <t/>
        </is>
      </c>
      <c r="BD423" s="64" t="inlineStr">
        <is>
          <t/>
        </is>
      </c>
      <c r="BE423" s="65" t="inlineStr">
        <is>
          <t/>
        </is>
      </c>
      <c r="BF423" s="66" t="inlineStr">
        <is>
          <t/>
        </is>
      </c>
      <c r="BG423" s="67" t="n">
        <v>41640.0</v>
      </c>
      <c r="BH423" s="68" t="n">
        <v>0.37</v>
      </c>
      <c r="BI423" s="69" t="inlineStr">
        <is>
          <t>Actual</t>
        </is>
      </c>
      <c r="BJ423" s="70" t="inlineStr">
        <is>
          <t/>
        </is>
      </c>
      <c r="BK423" s="71" t="inlineStr">
        <is>
          <t/>
        </is>
      </c>
      <c r="BL423" s="72" t="inlineStr">
        <is>
          <t>Early Stage VC</t>
        </is>
      </c>
      <c r="BM423" s="73" t="inlineStr">
        <is>
          <t/>
        </is>
      </c>
      <c r="BN423" s="74" t="inlineStr">
        <is>
          <t/>
        </is>
      </c>
      <c r="BO423" s="75" t="inlineStr">
        <is>
          <t>Venture Capital</t>
        </is>
      </c>
      <c r="BP423" s="76" t="inlineStr">
        <is>
          <t/>
        </is>
      </c>
      <c r="BQ423" s="77" t="inlineStr">
        <is>
          <t/>
        </is>
      </c>
      <c r="BR423" s="78" t="inlineStr">
        <is>
          <t/>
        </is>
      </c>
      <c r="BS423" s="79" t="inlineStr">
        <is>
          <t>Completed</t>
        </is>
      </c>
      <c r="BT423" s="80" t="n">
        <v>42226.0</v>
      </c>
      <c r="BU423" s="81" t="n">
        <v>13.04</v>
      </c>
      <c r="BV423" s="82" t="inlineStr">
        <is>
          <t>Actual</t>
        </is>
      </c>
      <c r="BW423" s="83" t="inlineStr">
        <is>
          <t/>
        </is>
      </c>
      <c r="BX423" s="84" t="inlineStr">
        <is>
          <t/>
        </is>
      </c>
      <c r="BY423" s="85" t="inlineStr">
        <is>
          <t>Early Stage VC</t>
        </is>
      </c>
      <c r="BZ423" s="86" t="inlineStr">
        <is>
          <t/>
        </is>
      </c>
      <c r="CA423" s="87" t="inlineStr">
        <is>
          <t/>
        </is>
      </c>
      <c r="CB423" s="88" t="inlineStr">
        <is>
          <t>Venture Capital</t>
        </is>
      </c>
      <c r="CC423" s="89" t="inlineStr">
        <is>
          <t/>
        </is>
      </c>
      <c r="CD423" s="90" t="inlineStr">
        <is>
          <t/>
        </is>
      </c>
      <c r="CE423" s="91" t="inlineStr">
        <is>
          <t/>
        </is>
      </c>
      <c r="CF423" s="92" t="inlineStr">
        <is>
          <t>Completed</t>
        </is>
      </c>
      <c r="CG423" s="93" t="inlineStr">
        <is>
          <t>0,10%</t>
        </is>
      </c>
      <c r="CH423" s="94" t="inlineStr">
        <is>
          <t>73</t>
        </is>
      </c>
      <c r="CI423" s="95" t="inlineStr">
        <is>
          <t>-0,10%</t>
        </is>
      </c>
      <c r="CJ423" s="96" t="inlineStr">
        <is>
          <t>-48,32%</t>
        </is>
      </c>
      <c r="CK423" s="97" t="inlineStr">
        <is>
          <t>0,00%</t>
        </is>
      </c>
      <c r="CL423" s="98" t="inlineStr">
        <is>
          <t>18</t>
        </is>
      </c>
      <c r="CM423" s="99" t="inlineStr">
        <is>
          <t>0,04%</t>
        </is>
      </c>
      <c r="CN423" s="100" t="inlineStr">
        <is>
          <t>50</t>
        </is>
      </c>
      <c r="CO423" s="101" t="inlineStr">
        <is>
          <t>0,00%</t>
        </is>
      </c>
      <c r="CP423" s="102" t="inlineStr">
        <is>
          <t>26</t>
        </is>
      </c>
      <c r="CQ423" s="103" t="inlineStr">
        <is>
          <t>0,00%</t>
        </is>
      </c>
      <c r="CR423" s="104" t="inlineStr">
        <is>
          <t>13</t>
        </is>
      </c>
      <c r="CS423" s="105" t="inlineStr">
        <is>
          <t>-0,01%</t>
        </is>
      </c>
      <c r="CT423" s="106" t="inlineStr">
        <is>
          <t>15</t>
        </is>
      </c>
      <c r="CU423" s="107" t="inlineStr">
        <is>
          <t>0,08%</t>
        </is>
      </c>
      <c r="CV423" s="108" t="inlineStr">
        <is>
          <t>65</t>
        </is>
      </c>
      <c r="CW423" s="109" t="inlineStr">
        <is>
          <t>99,17x</t>
        </is>
      </c>
      <c r="CX423" s="110" t="inlineStr">
        <is>
          <t>98</t>
        </is>
      </c>
      <c r="CY423" s="111" t="inlineStr">
        <is>
          <t>2,00x</t>
        </is>
      </c>
      <c r="CZ423" s="112" t="inlineStr">
        <is>
          <t>2,05%</t>
        </is>
      </c>
      <c r="DA423" s="113" t="inlineStr">
        <is>
          <t>0,97x</t>
        </is>
      </c>
      <c r="DB423" s="114" t="inlineStr">
        <is>
          <t>51</t>
        </is>
      </c>
      <c r="DC423" s="115" t="inlineStr">
        <is>
          <t>295,62x</t>
        </is>
      </c>
      <c r="DD423" s="116" t="inlineStr">
        <is>
          <t>99</t>
        </is>
      </c>
      <c r="DE423" s="117" t="inlineStr">
        <is>
          <t>0,72x</t>
        </is>
      </c>
      <c r="DF423" s="118" t="inlineStr">
        <is>
          <t>44</t>
        </is>
      </c>
      <c r="DG423" s="119" t="inlineStr">
        <is>
          <t>1,22x</t>
        </is>
      </c>
      <c r="DH423" s="120" t="inlineStr">
        <is>
          <t>54</t>
        </is>
      </c>
      <c r="DI423" s="121" t="inlineStr">
        <is>
          <t>590,80x</t>
        </is>
      </c>
      <c r="DJ423" s="122" t="inlineStr">
        <is>
          <t>99</t>
        </is>
      </c>
      <c r="DK423" s="123" t="inlineStr">
        <is>
          <t>0,44x</t>
        </is>
      </c>
      <c r="DL423" s="124" t="inlineStr">
        <is>
          <t>37</t>
        </is>
      </c>
      <c r="DM423" s="125" t="inlineStr">
        <is>
          <t>434</t>
        </is>
      </c>
      <c r="DN423" s="126" t="inlineStr">
        <is>
          <t>20</t>
        </is>
      </c>
      <c r="DO423" s="127" t="inlineStr">
        <is>
          <t>4,83%</t>
        </is>
      </c>
      <c r="DP423" s="128" t="inlineStr">
        <is>
          <t>472.206</t>
        </is>
      </c>
      <c r="DQ423" s="129" t="inlineStr">
        <is>
          <t>-229</t>
        </is>
      </c>
      <c r="DR423" s="130" t="inlineStr">
        <is>
          <t>-0,05%</t>
        </is>
      </c>
      <c r="DS423" s="131" t="inlineStr">
        <is>
          <t>43</t>
        </is>
      </c>
      <c r="DT423" s="132" t="inlineStr">
        <is>
          <t>0</t>
        </is>
      </c>
      <c r="DU423" s="133" t="inlineStr">
        <is>
          <t>0,00%</t>
        </is>
      </c>
      <c r="DV423" s="134" t="inlineStr">
        <is>
          <t>151</t>
        </is>
      </c>
      <c r="DW423" s="135" t="inlineStr">
        <is>
          <t>1</t>
        </is>
      </c>
      <c r="DX423" s="136" t="inlineStr">
        <is>
          <t>0,67%</t>
        </is>
      </c>
      <c r="DY423" s="137" t="inlineStr">
        <is>
          <t>PitchBook Research</t>
        </is>
      </c>
      <c r="DZ423" s="785">
        <f>HYPERLINK("https://my.pitchbook.com?c=106782-85", "View company online")</f>
      </c>
    </row>
    <row r="424">
      <c r="A424" s="139" t="inlineStr">
        <is>
          <t>60113-44</t>
        </is>
      </c>
      <c r="B424" s="140" t="inlineStr">
        <is>
          <t>Springlane</t>
        </is>
      </c>
      <c r="C424" s="141" t="inlineStr">
        <is>
          <t/>
        </is>
      </c>
      <c r="D424" s="142" t="inlineStr">
        <is>
          <t/>
        </is>
      </c>
      <c r="E424" s="143" t="inlineStr">
        <is>
          <t>60113-44</t>
        </is>
      </c>
      <c r="F424" s="144" t="inlineStr">
        <is>
          <t>Provider of an online portal designed to sell cooking and kitchen accessories. The company's online portal helps the customers to find an extensive selection of table top products, kitchen equipment, delicatessen in all variations to refined kitchen utensils and also include themed areas for cooking &amp; preparation, food &amp; beverage as well as service &amp; decoration which present an assorted line of products from renowned producers and upcoming insider-brands, enabling customers to cook with the modern utensils.</t>
        </is>
      </c>
      <c r="G424" s="145" t="inlineStr">
        <is>
          <t>Consumer Products and Services (B2C)</t>
        </is>
      </c>
      <c r="H424" s="146" t="inlineStr">
        <is>
          <t>Retail</t>
        </is>
      </c>
      <c r="I424" s="147" t="inlineStr">
        <is>
          <t>Internet Retail</t>
        </is>
      </c>
      <c r="J424" s="148" t="inlineStr">
        <is>
          <t>Internet Retail*; Household Appliances; Social/Platform Software</t>
        </is>
      </c>
      <c r="K424" s="149" t="inlineStr">
        <is>
          <t/>
        </is>
      </c>
      <c r="L424" s="150" t="inlineStr">
        <is>
          <t>Venture Capital-Backed</t>
        </is>
      </c>
      <c r="M424" s="151" t="n">
        <v>9.79</v>
      </c>
      <c r="N424" s="152" t="inlineStr">
        <is>
          <t>Startup</t>
        </is>
      </c>
      <c r="O424" s="153" t="inlineStr">
        <is>
          <t>Privately Held (backing)</t>
        </is>
      </c>
      <c r="P424" s="154" t="inlineStr">
        <is>
          <t>Venture Capital</t>
        </is>
      </c>
      <c r="Q424" s="155" t="inlineStr">
        <is>
          <t>www.springlane.de</t>
        </is>
      </c>
      <c r="R424" s="156" t="n">
        <v>51.0</v>
      </c>
      <c r="S424" s="157" t="inlineStr">
        <is>
          <t/>
        </is>
      </c>
      <c r="T424" s="158" t="inlineStr">
        <is>
          <t/>
        </is>
      </c>
      <c r="U424" s="159" t="n">
        <v>2012.0</v>
      </c>
      <c r="V424" s="160" t="inlineStr">
        <is>
          <t/>
        </is>
      </c>
      <c r="W424" s="161" t="inlineStr">
        <is>
          <t/>
        </is>
      </c>
      <c r="X424" s="162" t="inlineStr">
        <is>
          <t/>
        </is>
      </c>
      <c r="Y424" s="163" t="inlineStr">
        <is>
          <t/>
        </is>
      </c>
      <c r="Z424" s="164" t="inlineStr">
        <is>
          <t/>
        </is>
      </c>
      <c r="AA424" s="165" t="inlineStr">
        <is>
          <t/>
        </is>
      </c>
      <c r="AB424" s="166" t="inlineStr">
        <is>
          <t/>
        </is>
      </c>
      <c r="AC424" s="167" t="inlineStr">
        <is>
          <t/>
        </is>
      </c>
      <c r="AD424" s="168" t="inlineStr">
        <is>
          <t/>
        </is>
      </c>
      <c r="AE424" s="169" t="inlineStr">
        <is>
          <t>56413-54P</t>
        </is>
      </c>
      <c r="AF424" s="170" t="inlineStr">
        <is>
          <t>Marius Till Fritzsche</t>
        </is>
      </c>
      <c r="AG424" s="171" t="inlineStr">
        <is>
          <t>Co-Founder and Managing Director</t>
        </is>
      </c>
      <c r="AH424" s="172" t="inlineStr">
        <is>
          <t>marius.tillfritzsche@springlane.de</t>
        </is>
      </c>
      <c r="AI424" s="173" t="inlineStr">
        <is>
          <t>+49 (0)80 0270 7027</t>
        </is>
      </c>
      <c r="AJ424" s="174" t="inlineStr">
        <is>
          <t>Düsseldorf, Germany</t>
        </is>
      </c>
      <c r="AK424" s="175" t="inlineStr">
        <is>
          <t>Erkrather Str. 228d</t>
        </is>
      </c>
      <c r="AL424" s="176" t="inlineStr">
        <is>
          <t/>
        </is>
      </c>
      <c r="AM424" s="177" t="inlineStr">
        <is>
          <t>Düsseldorf</t>
        </is>
      </c>
      <c r="AN424" s="178" t="inlineStr">
        <is>
          <t/>
        </is>
      </c>
      <c r="AO424" s="179" t="inlineStr">
        <is>
          <t>40233</t>
        </is>
      </c>
      <c r="AP424" s="180" t="inlineStr">
        <is>
          <t>Germany</t>
        </is>
      </c>
      <c r="AQ424" s="181" t="inlineStr">
        <is>
          <t>+49 (0)80 0270 7027</t>
        </is>
      </c>
      <c r="AR424" s="182" t="inlineStr">
        <is>
          <t>+49 (0)21 1749 5511 0</t>
        </is>
      </c>
      <c r="AS424" s="183" t="inlineStr">
        <is>
          <t>info@springlane.de</t>
        </is>
      </c>
      <c r="AT424" s="184" t="inlineStr">
        <is>
          <t>Europe</t>
        </is>
      </c>
      <c r="AU424" s="185" t="inlineStr">
        <is>
          <t>Western Europe</t>
        </is>
      </c>
      <c r="AV424" s="186" t="inlineStr">
        <is>
          <t>The company raised $11 million of Series B venture funding from Holtzbrinck Ventures, Tengelmann Ventures and Kreditanstalt Fur Wiederaufbau on September 15, 2015. Ad4Ventures, Certara, Heliad Equity Partners and Ithaca also participated in the transaction.</t>
        </is>
      </c>
      <c r="AW424" s="187" t="inlineStr">
        <is>
          <t>Ad4Ventures, Certara, Heliad Equity Partners, Holtzbrinck Ventures, Ihaca, KfW Bankengruppe, Tengelmann Ventures</t>
        </is>
      </c>
      <c r="AX424" s="188" t="n">
        <v>7.0</v>
      </c>
      <c r="AY424" s="189" t="inlineStr">
        <is>
          <t/>
        </is>
      </c>
      <c r="AZ424" s="190" t="inlineStr">
        <is>
          <t/>
        </is>
      </c>
      <c r="BA424" s="191" t="inlineStr">
        <is>
          <t/>
        </is>
      </c>
      <c r="BB424" s="192" t="inlineStr">
        <is>
          <t>Ad4Ventures (www.ad4ventures.com), Certara (www.certara.com), Heliad Equity Partners (www.heliad.com), Holtzbrinck Ventures (www.holtzbrinck-ventures.com), KfW Bankengruppe (www.kfw.de), Tengelmann Ventures (www.tev.de)</t>
        </is>
      </c>
      <c r="BC424" s="193" t="inlineStr">
        <is>
          <t/>
        </is>
      </c>
      <c r="BD424" s="194" t="inlineStr">
        <is>
          <t/>
        </is>
      </c>
      <c r="BE424" s="195" t="inlineStr">
        <is>
          <t/>
        </is>
      </c>
      <c r="BF424" s="196" t="inlineStr">
        <is>
          <t/>
        </is>
      </c>
      <c r="BG424" s="197" t="n">
        <v>41471.0</v>
      </c>
      <c r="BH424" s="198" t="inlineStr">
        <is>
          <t/>
        </is>
      </c>
      <c r="BI424" s="199" t="inlineStr">
        <is>
          <t/>
        </is>
      </c>
      <c r="BJ424" s="200" t="inlineStr">
        <is>
          <t/>
        </is>
      </c>
      <c r="BK424" s="201" t="inlineStr">
        <is>
          <t/>
        </is>
      </c>
      <c r="BL424" s="202" t="inlineStr">
        <is>
          <t>Early Stage VC</t>
        </is>
      </c>
      <c r="BM424" s="203" t="inlineStr">
        <is>
          <t/>
        </is>
      </c>
      <c r="BN424" s="204" t="inlineStr">
        <is>
          <t/>
        </is>
      </c>
      <c r="BO424" s="205" t="inlineStr">
        <is>
          <t>Venture Capital</t>
        </is>
      </c>
      <c r="BP424" s="206" t="inlineStr">
        <is>
          <t/>
        </is>
      </c>
      <c r="BQ424" s="207" t="inlineStr">
        <is>
          <t/>
        </is>
      </c>
      <c r="BR424" s="208" t="inlineStr">
        <is>
          <t/>
        </is>
      </c>
      <c r="BS424" s="209" t="inlineStr">
        <is>
          <t>Completed</t>
        </is>
      </c>
      <c r="BT424" s="210" t="n">
        <v>42262.0</v>
      </c>
      <c r="BU424" s="211" t="n">
        <v>9.79</v>
      </c>
      <c r="BV424" s="212" t="inlineStr">
        <is>
          <t>Actual</t>
        </is>
      </c>
      <c r="BW424" s="213" t="inlineStr">
        <is>
          <t/>
        </is>
      </c>
      <c r="BX424" s="214" t="inlineStr">
        <is>
          <t/>
        </is>
      </c>
      <c r="BY424" s="215" t="inlineStr">
        <is>
          <t>Early Stage VC</t>
        </is>
      </c>
      <c r="BZ424" s="216" t="inlineStr">
        <is>
          <t>Series B</t>
        </is>
      </c>
      <c r="CA424" s="217" t="inlineStr">
        <is>
          <t/>
        </is>
      </c>
      <c r="CB424" s="218" t="inlineStr">
        <is>
          <t>Venture Capital</t>
        </is>
      </c>
      <c r="CC424" s="219" t="inlineStr">
        <is>
          <t/>
        </is>
      </c>
      <c r="CD424" s="220" t="inlineStr">
        <is>
          <t/>
        </is>
      </c>
      <c r="CE424" s="221" t="inlineStr">
        <is>
          <t/>
        </is>
      </c>
      <c r="CF424" s="222" t="inlineStr">
        <is>
          <t>Completed</t>
        </is>
      </c>
      <c r="CG424" s="223" t="inlineStr">
        <is>
          <t>0,25%</t>
        </is>
      </c>
      <c r="CH424" s="224" t="inlineStr">
        <is>
          <t>79</t>
        </is>
      </c>
      <c r="CI424" s="225" t="inlineStr">
        <is>
          <t>-0,03%</t>
        </is>
      </c>
      <c r="CJ424" s="226" t="inlineStr">
        <is>
          <t>-10,57%</t>
        </is>
      </c>
      <c r="CK424" s="227" t="inlineStr">
        <is>
          <t>0,16%</t>
        </is>
      </c>
      <c r="CL424" s="228" t="inlineStr">
        <is>
          <t>81</t>
        </is>
      </c>
      <c r="CM424" s="229" t="inlineStr">
        <is>
          <t>0,34%</t>
        </is>
      </c>
      <c r="CN424" s="230" t="inlineStr">
        <is>
          <t>83</t>
        </is>
      </c>
      <c r="CO424" s="231" t="inlineStr">
        <is>
          <t>0,06%</t>
        </is>
      </c>
      <c r="CP424" s="232" t="inlineStr">
        <is>
          <t>78</t>
        </is>
      </c>
      <c r="CQ424" s="233" t="inlineStr">
        <is>
          <t>0,26%</t>
        </is>
      </c>
      <c r="CR424" s="234" t="inlineStr">
        <is>
          <t>84</t>
        </is>
      </c>
      <c r="CS424" s="235" t="inlineStr">
        <is>
          <t>0,30%</t>
        </is>
      </c>
      <c r="CT424" s="236" t="inlineStr">
        <is>
          <t>79</t>
        </is>
      </c>
      <c r="CU424" s="237" t="inlineStr">
        <is>
          <t>0,39%</t>
        </is>
      </c>
      <c r="CV424" s="238" t="inlineStr">
        <is>
          <t>89</t>
        </is>
      </c>
      <c r="CW424" s="239" t="inlineStr">
        <is>
          <t>134,90x</t>
        </is>
      </c>
      <c r="CX424" s="240" t="inlineStr">
        <is>
          <t>98</t>
        </is>
      </c>
      <c r="CY424" s="241" t="inlineStr">
        <is>
          <t>0,35x</t>
        </is>
      </c>
      <c r="CZ424" s="242" t="inlineStr">
        <is>
          <t>0,26%</t>
        </is>
      </c>
      <c r="DA424" s="243" t="inlineStr">
        <is>
          <t>251,88x</t>
        </is>
      </c>
      <c r="DB424" s="244" t="inlineStr">
        <is>
          <t>99</t>
        </is>
      </c>
      <c r="DC424" s="245" t="inlineStr">
        <is>
          <t>17,92x</t>
        </is>
      </c>
      <c r="DD424" s="246" t="inlineStr">
        <is>
          <t>89</t>
        </is>
      </c>
      <c r="DE424" s="247" t="inlineStr">
        <is>
          <t>473,59x</t>
        </is>
      </c>
      <c r="DF424" s="248" t="inlineStr">
        <is>
          <t>99</t>
        </is>
      </c>
      <c r="DG424" s="249" t="inlineStr">
        <is>
          <t>30,17x</t>
        </is>
      </c>
      <c r="DH424" s="250" t="inlineStr">
        <is>
          <t>95</t>
        </is>
      </c>
      <c r="DI424" s="251" t="inlineStr">
        <is>
          <t>33,83x</t>
        </is>
      </c>
      <c r="DJ424" s="252" t="inlineStr">
        <is>
          <t>91</t>
        </is>
      </c>
      <c r="DK424" s="253" t="inlineStr">
        <is>
          <t>2,02x</t>
        </is>
      </c>
      <c r="DL424" s="254" t="inlineStr">
        <is>
          <t>63</t>
        </is>
      </c>
      <c r="DM424" s="255" t="inlineStr">
        <is>
          <t>292.470</t>
        </is>
      </c>
      <c r="DN424" s="256" t="inlineStr">
        <is>
          <t>-3.631</t>
        </is>
      </c>
      <c r="DO424" s="257" t="inlineStr">
        <is>
          <t>-1,23%</t>
        </is>
      </c>
      <c r="DP424" s="258" t="inlineStr">
        <is>
          <t>27.000</t>
        </is>
      </c>
      <c r="DQ424" s="259" t="inlineStr">
        <is>
          <t>63</t>
        </is>
      </c>
      <c r="DR424" s="260" t="inlineStr">
        <is>
          <t>0,23%</t>
        </is>
      </c>
      <c r="DS424" s="261" t="inlineStr">
        <is>
          <t>1.089</t>
        </is>
      </c>
      <c r="DT424" s="262" t="inlineStr">
        <is>
          <t>-6</t>
        </is>
      </c>
      <c r="DU424" s="263" t="inlineStr">
        <is>
          <t>-0,55%</t>
        </is>
      </c>
      <c r="DV424" s="264" t="inlineStr">
        <is>
          <t>691</t>
        </is>
      </c>
      <c r="DW424" s="265" t="inlineStr">
        <is>
          <t>4</t>
        </is>
      </c>
      <c r="DX424" s="266" t="inlineStr">
        <is>
          <t>0,58%</t>
        </is>
      </c>
      <c r="DY424" s="267" t="inlineStr">
        <is>
          <t>PitchBook Research</t>
        </is>
      </c>
      <c r="DZ424" s="786">
        <f>HYPERLINK("https://my.pitchbook.com?c=60113-44", "View company online")</f>
      </c>
    </row>
    <row r="425">
      <c r="A425" s="9" t="inlineStr">
        <is>
          <t>93935-53</t>
        </is>
      </c>
      <c r="B425" s="10" t="inlineStr">
        <is>
          <t>StarOfService</t>
        </is>
      </c>
      <c r="C425" s="11" t="inlineStr">
        <is>
          <t/>
        </is>
      </c>
      <c r="D425" s="12" t="inlineStr">
        <is>
          <t/>
        </is>
      </c>
      <c r="E425" s="13" t="inlineStr">
        <is>
          <t>93935-53</t>
        </is>
      </c>
      <c r="F425" s="14" t="inlineStr">
        <is>
          <t>Provider of an online marketplace for hiring workers and local services. The company offers an online platform for hiring photographers, tutors, contractors and other local service professionals.</t>
        </is>
      </c>
      <c r="G425" s="15" t="inlineStr">
        <is>
          <t>Information Technology</t>
        </is>
      </c>
      <c r="H425" s="16" t="inlineStr">
        <is>
          <t>Software</t>
        </is>
      </c>
      <c r="I425" s="17" t="inlineStr">
        <is>
          <t>Social/Platform Software</t>
        </is>
      </c>
      <c r="J425" s="18" t="inlineStr">
        <is>
          <t>Social/Platform Software*; Other Services (B2C Non-Financial)</t>
        </is>
      </c>
      <c r="K425" s="19" t="inlineStr">
        <is>
          <t>E-Commerce</t>
        </is>
      </c>
      <c r="L425" s="20" t="inlineStr">
        <is>
          <t>Venture Capital-Backed</t>
        </is>
      </c>
      <c r="M425" s="21" t="n">
        <v>10.43</v>
      </c>
      <c r="N425" s="22" t="inlineStr">
        <is>
          <t>Generating Revenue</t>
        </is>
      </c>
      <c r="O425" s="23" t="inlineStr">
        <is>
          <t>Privately Held (backing)</t>
        </is>
      </c>
      <c r="P425" s="24" t="inlineStr">
        <is>
          <t>Venture Capital</t>
        </is>
      </c>
      <c r="Q425" s="25" t="inlineStr">
        <is>
          <t>www.starofservice.com</t>
        </is>
      </c>
      <c r="R425" s="26" t="n">
        <v>32.0</v>
      </c>
      <c r="S425" s="27" t="inlineStr">
        <is>
          <t/>
        </is>
      </c>
      <c r="T425" s="28" t="inlineStr">
        <is>
          <t/>
        </is>
      </c>
      <c r="U425" s="29" t="n">
        <v>2012.0</v>
      </c>
      <c r="V425" s="30" t="inlineStr">
        <is>
          <t/>
        </is>
      </c>
      <c r="W425" s="31" t="inlineStr">
        <is>
          <t/>
        </is>
      </c>
      <c r="X425" s="32" t="inlineStr">
        <is>
          <t/>
        </is>
      </c>
      <c r="Y425" s="33" t="inlineStr">
        <is>
          <t/>
        </is>
      </c>
      <c r="Z425" s="34" t="inlineStr">
        <is>
          <t/>
        </is>
      </c>
      <c r="AA425" s="35" t="inlineStr">
        <is>
          <t/>
        </is>
      </c>
      <c r="AB425" s="36" t="inlineStr">
        <is>
          <t/>
        </is>
      </c>
      <c r="AC425" s="37" t="inlineStr">
        <is>
          <t/>
        </is>
      </c>
      <c r="AD425" s="38" t="inlineStr">
        <is>
          <t/>
        </is>
      </c>
      <c r="AE425" s="39" t="inlineStr">
        <is>
          <t>96964-03P</t>
        </is>
      </c>
      <c r="AF425" s="40" t="inlineStr">
        <is>
          <t>Lucas Lambertini</t>
        </is>
      </c>
      <c r="AG425" s="41" t="inlineStr">
        <is>
          <t>Co-Founder &amp; Chief Executive Officer</t>
        </is>
      </c>
      <c r="AH425" s="42" t="inlineStr">
        <is>
          <t>lucas@starofservice.com</t>
        </is>
      </c>
      <c r="AI425" s="43" t="inlineStr">
        <is>
          <t/>
        </is>
      </c>
      <c r="AJ425" s="44" t="inlineStr">
        <is>
          <t>Courbevoie, France</t>
        </is>
      </c>
      <c r="AK425" s="45" t="inlineStr">
        <is>
          <t>58 rue Lambrechts</t>
        </is>
      </c>
      <c r="AL425" s="46" t="inlineStr">
        <is>
          <t/>
        </is>
      </c>
      <c r="AM425" s="47" t="inlineStr">
        <is>
          <t>Courbevoie</t>
        </is>
      </c>
      <c r="AN425" s="48" t="inlineStr">
        <is>
          <t/>
        </is>
      </c>
      <c r="AO425" s="49" t="inlineStr">
        <is>
          <t>92400</t>
        </is>
      </c>
      <c r="AP425" s="50" t="inlineStr">
        <is>
          <t>France</t>
        </is>
      </c>
      <c r="AQ425" s="51" t="inlineStr">
        <is>
          <t/>
        </is>
      </c>
      <c r="AR425" s="52" t="inlineStr">
        <is>
          <t/>
        </is>
      </c>
      <c r="AS425" s="53" t="inlineStr">
        <is>
          <t>contact@starofservice.com</t>
        </is>
      </c>
      <c r="AT425" s="54" t="inlineStr">
        <is>
          <t>Europe</t>
        </is>
      </c>
      <c r="AU425" s="55" t="inlineStr">
        <is>
          <t>Western Europe</t>
        </is>
      </c>
      <c r="AV425" s="56" t="inlineStr">
        <is>
          <t>The company raised $10 million of Series A venture funding from lead investors Andrea Piccioni and Silvio Pagliani on September 20, 2016. Enern Investments, Protos Venture Capital, Point Nine Capital, Klaus Nyengaard, Frédéric Mazzella, Francis Nappez and other undisclosed individual investors also participated. The company will use the funding for further global expansion.</t>
        </is>
      </c>
      <c r="AW425" s="57" t="inlineStr">
        <is>
          <t>Andrea Piccioni, Enern, Francis Nappez, Frédéric Mazzella, Kima Ventures, Klaus Nyengaard, Oleg Tscheltzoff, Point Nine Capital, Protos Venture Capital, Ralph Werner, RTAventures, Silvio Pagliani, Three Point Capital</t>
        </is>
      </c>
      <c r="AX425" s="58" t="n">
        <v>13.0</v>
      </c>
      <c r="AY425" s="59" t="inlineStr">
        <is>
          <t/>
        </is>
      </c>
      <c r="AZ425" s="60" t="inlineStr">
        <is>
          <t/>
        </is>
      </c>
      <c r="BA425" s="61" t="inlineStr">
        <is>
          <t/>
        </is>
      </c>
      <c r="BB425" s="62" t="inlineStr">
        <is>
          <t>Enern (www.enern.eu), Kima Ventures (www.kimaventures.com), Point Nine Capital (www.pointninecap.com), Protos Venture Capital (www.protos.vc), RTAventures (www.rtaventures.com), Three Point Capital (www.tpc.us)</t>
        </is>
      </c>
      <c r="BC425" s="63" t="inlineStr">
        <is>
          <t/>
        </is>
      </c>
      <c r="BD425" s="64" t="inlineStr">
        <is>
          <t/>
        </is>
      </c>
      <c r="BE425" s="65" t="inlineStr">
        <is>
          <t/>
        </is>
      </c>
      <c r="BF425" s="66" t="inlineStr">
        <is>
          <t/>
        </is>
      </c>
      <c r="BG425" s="67" t="n">
        <v>41969.0</v>
      </c>
      <c r="BH425" s="68" t="n">
        <v>0.4</v>
      </c>
      <c r="BI425" s="69" t="inlineStr">
        <is>
          <t>Actual</t>
        </is>
      </c>
      <c r="BJ425" s="70" t="inlineStr">
        <is>
          <t/>
        </is>
      </c>
      <c r="BK425" s="71" t="inlineStr">
        <is>
          <t/>
        </is>
      </c>
      <c r="BL425" s="72" t="inlineStr">
        <is>
          <t>Seed Round</t>
        </is>
      </c>
      <c r="BM425" s="73" t="inlineStr">
        <is>
          <t>Seed</t>
        </is>
      </c>
      <c r="BN425" s="74" t="inlineStr">
        <is>
          <t/>
        </is>
      </c>
      <c r="BO425" s="75" t="inlineStr">
        <is>
          <t>Venture Capital</t>
        </is>
      </c>
      <c r="BP425" s="76" t="inlineStr">
        <is>
          <t/>
        </is>
      </c>
      <c r="BQ425" s="77" t="inlineStr">
        <is>
          <t/>
        </is>
      </c>
      <c r="BR425" s="78" t="inlineStr">
        <is>
          <t/>
        </is>
      </c>
      <c r="BS425" s="79" t="inlineStr">
        <is>
          <t>Completed</t>
        </is>
      </c>
      <c r="BT425" s="80" t="n">
        <v>42633.0</v>
      </c>
      <c r="BU425" s="81" t="n">
        <v>8.93</v>
      </c>
      <c r="BV425" s="82" t="inlineStr">
        <is>
          <t>Actual</t>
        </is>
      </c>
      <c r="BW425" s="83" t="inlineStr">
        <is>
          <t/>
        </is>
      </c>
      <c r="BX425" s="84" t="inlineStr">
        <is>
          <t/>
        </is>
      </c>
      <c r="BY425" s="85" t="inlineStr">
        <is>
          <t>Early Stage VC</t>
        </is>
      </c>
      <c r="BZ425" s="86" t="inlineStr">
        <is>
          <t>Series A</t>
        </is>
      </c>
      <c r="CA425" s="87" t="inlineStr">
        <is>
          <t/>
        </is>
      </c>
      <c r="CB425" s="88" t="inlineStr">
        <is>
          <t>Venture Capital</t>
        </is>
      </c>
      <c r="CC425" s="89" t="inlineStr">
        <is>
          <t/>
        </is>
      </c>
      <c r="CD425" s="90" t="inlineStr">
        <is>
          <t/>
        </is>
      </c>
      <c r="CE425" s="91" t="inlineStr">
        <is>
          <t/>
        </is>
      </c>
      <c r="CF425" s="92" t="inlineStr">
        <is>
          <t>Completed</t>
        </is>
      </c>
      <c r="CG425" s="93" t="inlineStr">
        <is>
          <t>0,65%</t>
        </is>
      </c>
      <c r="CH425" s="94" t="inlineStr">
        <is>
          <t>86</t>
        </is>
      </c>
      <c r="CI425" s="95" t="inlineStr">
        <is>
          <t>0,05%</t>
        </is>
      </c>
      <c r="CJ425" s="96" t="inlineStr">
        <is>
          <t>7,57%</t>
        </is>
      </c>
      <c r="CK425" s="97" t="inlineStr">
        <is>
          <t>0,32%</t>
        </is>
      </c>
      <c r="CL425" s="98" t="inlineStr">
        <is>
          <t>82</t>
        </is>
      </c>
      <c r="CM425" s="99" t="inlineStr">
        <is>
          <t>0,98%</t>
        </is>
      </c>
      <c r="CN425" s="100" t="inlineStr">
        <is>
          <t>96</t>
        </is>
      </c>
      <c r="CO425" s="101" t="inlineStr">
        <is>
          <t>0,65%</t>
        </is>
      </c>
      <c r="CP425" s="102" t="inlineStr">
        <is>
          <t>83</t>
        </is>
      </c>
      <c r="CQ425" s="103" t="inlineStr">
        <is>
          <t>-0,01%</t>
        </is>
      </c>
      <c r="CR425" s="104" t="inlineStr">
        <is>
          <t>13</t>
        </is>
      </c>
      <c r="CS425" s="105" t="inlineStr">
        <is>
          <t>1,53%</t>
        </is>
      </c>
      <c r="CT425" s="106" t="inlineStr">
        <is>
          <t>97</t>
        </is>
      </c>
      <c r="CU425" s="107" t="inlineStr">
        <is>
          <t>0,43%</t>
        </is>
      </c>
      <c r="CV425" s="108" t="inlineStr">
        <is>
          <t>90</t>
        </is>
      </c>
      <c r="CW425" s="109" t="inlineStr">
        <is>
          <t>188,31x</t>
        </is>
      </c>
      <c r="CX425" s="110" t="inlineStr">
        <is>
          <t>99</t>
        </is>
      </c>
      <c r="CY425" s="111" t="inlineStr">
        <is>
          <t>0,77x</t>
        </is>
      </c>
      <c r="CZ425" s="112" t="inlineStr">
        <is>
          <t>0,41%</t>
        </is>
      </c>
      <c r="DA425" s="113" t="inlineStr">
        <is>
          <t>366,30x</t>
        </is>
      </c>
      <c r="DB425" s="114" t="inlineStr">
        <is>
          <t>100</t>
        </is>
      </c>
      <c r="DC425" s="115" t="inlineStr">
        <is>
          <t>10,31x</t>
        </is>
      </c>
      <c r="DD425" s="116" t="inlineStr">
        <is>
          <t>84</t>
        </is>
      </c>
      <c r="DE425" s="117" t="inlineStr">
        <is>
          <t>638,68x</t>
        </is>
      </c>
      <c r="DF425" s="118" t="inlineStr">
        <is>
          <t>99</t>
        </is>
      </c>
      <c r="DG425" s="119" t="inlineStr">
        <is>
          <t>93,92x</t>
        </is>
      </c>
      <c r="DH425" s="120" t="inlineStr">
        <is>
          <t>99</t>
        </is>
      </c>
      <c r="DI425" s="121" t="inlineStr">
        <is>
          <t>17,27x</t>
        </is>
      </c>
      <c r="DJ425" s="122" t="inlineStr">
        <is>
          <t>87</t>
        </is>
      </c>
      <c r="DK425" s="123" t="inlineStr">
        <is>
          <t>3,35x</t>
        </is>
      </c>
      <c r="DL425" s="124" t="inlineStr">
        <is>
          <t>72</t>
        </is>
      </c>
      <c r="DM425" s="125" t="inlineStr">
        <is>
          <t>390.772</t>
        </is>
      </c>
      <c r="DN425" s="126" t="inlineStr">
        <is>
          <t>6.057</t>
        </is>
      </c>
      <c r="DO425" s="127" t="inlineStr">
        <is>
          <t>1,57%</t>
        </is>
      </c>
      <c r="DP425" s="128" t="inlineStr">
        <is>
          <t>13.675</t>
        </is>
      </c>
      <c r="DQ425" s="129" t="inlineStr">
        <is>
          <t>255</t>
        </is>
      </c>
      <c r="DR425" s="130" t="inlineStr">
        <is>
          <t>1,90%</t>
        </is>
      </c>
      <c r="DS425" s="131" t="inlineStr">
        <is>
          <t>3.384</t>
        </is>
      </c>
      <c r="DT425" s="132" t="inlineStr">
        <is>
          <t>-4</t>
        </is>
      </c>
      <c r="DU425" s="133" t="inlineStr">
        <is>
          <t>-0,12%</t>
        </is>
      </c>
      <c r="DV425" s="134" t="inlineStr">
        <is>
          <t>1.148</t>
        </is>
      </c>
      <c r="DW425" s="135" t="inlineStr">
        <is>
          <t>4</t>
        </is>
      </c>
      <c r="DX425" s="136" t="inlineStr">
        <is>
          <t>0,35%</t>
        </is>
      </c>
      <c r="DY425" s="137" t="inlineStr">
        <is>
          <t>PitchBook Research</t>
        </is>
      </c>
      <c r="DZ425" s="785">
        <f>HYPERLINK("https://my.pitchbook.com?c=93935-53", "View company online")</f>
      </c>
    </row>
    <row r="426">
      <c r="A426" s="139" t="inlineStr">
        <is>
          <t>167093-02</t>
        </is>
      </c>
      <c r="B426" s="140" t="inlineStr">
        <is>
          <t>Starship Technologies</t>
        </is>
      </c>
      <c r="C426" s="141" t="inlineStr">
        <is>
          <t/>
        </is>
      </c>
      <c r="D426" s="142" t="inlineStr">
        <is>
          <t>Starship</t>
        </is>
      </c>
      <c r="E426" s="143" t="inlineStr">
        <is>
          <t>167093-02</t>
        </is>
      </c>
      <c r="F426" s="144" t="inlineStr">
        <is>
          <t>Developer of self-driving robotic delivery vehicles designed to help in product delivery. The company's self-driving robotic delivery vehicles are equipped with a sensor suite that includes cameras, enabling consumers to send and receive products anytime and anywhere.</t>
        </is>
      </c>
      <c r="G426" s="145" t="inlineStr">
        <is>
          <t>Consumer Products and Services (B2C)</t>
        </is>
      </c>
      <c r="H426" s="146" t="inlineStr">
        <is>
          <t>Consumer Durables</t>
        </is>
      </c>
      <c r="I426" s="147" t="inlineStr">
        <is>
          <t>Electronics (B2C)</t>
        </is>
      </c>
      <c r="J426" s="148" t="inlineStr">
        <is>
          <t>Electronics (B2C)*; Other Hardware; Other Software</t>
        </is>
      </c>
      <c r="K426" s="149" t="inlineStr">
        <is>
          <t>Artificial Intelligence &amp; Machine Learning, Autonomous cars, Robotics and Drones</t>
        </is>
      </c>
      <c r="L426" s="150" t="inlineStr">
        <is>
          <t>Venture Capital-Backed</t>
        </is>
      </c>
      <c r="M426" s="151" t="n">
        <v>16.2</v>
      </c>
      <c r="N426" s="152" t="inlineStr">
        <is>
          <t>Startup</t>
        </is>
      </c>
      <c r="O426" s="153" t="inlineStr">
        <is>
          <t>Privately Held (backing)</t>
        </is>
      </c>
      <c r="P426" s="154" t="inlineStr">
        <is>
          <t>Venture Capital</t>
        </is>
      </c>
      <c r="Q426" s="155" t="inlineStr">
        <is>
          <t>www.starship.xyz</t>
        </is>
      </c>
      <c r="R426" s="156" t="n">
        <v>30.0</v>
      </c>
      <c r="S426" s="157" t="inlineStr">
        <is>
          <t/>
        </is>
      </c>
      <c r="T426" s="158" t="inlineStr">
        <is>
          <t/>
        </is>
      </c>
      <c r="U426" s="159" t="n">
        <v>2014.0</v>
      </c>
      <c r="V426" s="160" t="inlineStr">
        <is>
          <t/>
        </is>
      </c>
      <c r="W426" s="161" t="inlineStr">
        <is>
          <t/>
        </is>
      </c>
      <c r="X426" s="162" t="inlineStr">
        <is>
          <t/>
        </is>
      </c>
      <c r="Y426" s="163" t="inlineStr">
        <is>
          <t/>
        </is>
      </c>
      <c r="Z426" s="164" t="inlineStr">
        <is>
          <t/>
        </is>
      </c>
      <c r="AA426" s="165" t="inlineStr">
        <is>
          <t/>
        </is>
      </c>
      <c r="AB426" s="166" t="inlineStr">
        <is>
          <t/>
        </is>
      </c>
      <c r="AC426" s="167" t="inlineStr">
        <is>
          <t/>
        </is>
      </c>
      <c r="AD426" s="168" t="inlineStr">
        <is>
          <t/>
        </is>
      </c>
      <c r="AE426" s="169" t="inlineStr">
        <is>
          <t>148972-78P</t>
        </is>
      </c>
      <c r="AF426" s="170" t="inlineStr">
        <is>
          <t>Ahti Heinla</t>
        </is>
      </c>
      <c r="AG426" s="171" t="inlineStr">
        <is>
          <t>Board Member, Co-Founder, Chief Executive Officer &amp; Chief Technology Officer</t>
        </is>
      </c>
      <c r="AH426" s="172" t="inlineStr">
        <is>
          <t>ahti.heinla@starship.xyz</t>
        </is>
      </c>
      <c r="AI426" s="173" t="inlineStr">
        <is>
          <t/>
        </is>
      </c>
      <c r="AJ426" s="174" t="inlineStr">
        <is>
          <t>London, United Kingdom</t>
        </is>
      </c>
      <c r="AK426" s="175" t="inlineStr">
        <is>
          <t>201 Borough High Street</t>
        </is>
      </c>
      <c r="AL426" s="176" t="inlineStr">
        <is>
          <t/>
        </is>
      </c>
      <c r="AM426" s="177" t="inlineStr">
        <is>
          <t>London</t>
        </is>
      </c>
      <c r="AN426" s="178" t="inlineStr">
        <is>
          <t>England</t>
        </is>
      </c>
      <c r="AO426" s="179" t="inlineStr">
        <is>
          <t>SE1 1JA</t>
        </is>
      </c>
      <c r="AP426" s="180" t="inlineStr">
        <is>
          <t>United Kingdom</t>
        </is>
      </c>
      <c r="AQ426" s="181" t="inlineStr">
        <is>
          <t/>
        </is>
      </c>
      <c r="AR426" s="182" t="inlineStr">
        <is>
          <t/>
        </is>
      </c>
      <c r="AS426" s="183" t="inlineStr">
        <is>
          <t>info@starship.xyz</t>
        </is>
      </c>
      <c r="AT426" s="184" t="inlineStr">
        <is>
          <t>Europe</t>
        </is>
      </c>
      <c r="AU426" s="185" t="inlineStr">
        <is>
          <t>Western Europe</t>
        </is>
      </c>
      <c r="AV426" s="186" t="inlineStr">
        <is>
          <t>The company raised $17.2 million of seed funding in a deal led by Daimler on January 12, 2017. Shasta Ventures, Matrix Partners, HOF Capital (New York), Morpheus Venture Partners, Grishin Robotics, Zx Ventures and Playfair Capital also participated in the round. The funding will accelerate development of the company's technology and enable the launch of pilot programs in several new markets.</t>
        </is>
      </c>
      <c r="AW426" s="187" t="inlineStr">
        <is>
          <t>Daimler, Grishin Robotics, HOF Capital (New York), Matrix Partners, Playfair Capital, Shasta Ventures, The Morpheus Gang, Zx Ventures</t>
        </is>
      </c>
      <c r="AX426" s="188" t="n">
        <v>8.0</v>
      </c>
      <c r="AY426" s="189" t="inlineStr">
        <is>
          <t/>
        </is>
      </c>
      <c r="AZ426" s="190" t="inlineStr">
        <is>
          <t/>
        </is>
      </c>
      <c r="BA426" s="191" t="inlineStr">
        <is>
          <t/>
        </is>
      </c>
      <c r="BB426" s="192" t="inlineStr">
        <is>
          <t>Daimler (www.daimler.com), Grishin Robotics (www.grishinrobotics.com), Matrix Partners (www.matrixpartners.com), Playfair Capital (www.playfaircapital.com), Shasta Ventures (www.shastaventures.com), The Morpheus Gang (www.themorpheus.com), Zx Ventures (www.zx-ventures.com)</t>
        </is>
      </c>
      <c r="BC426" s="193" t="inlineStr">
        <is>
          <t/>
        </is>
      </c>
      <c r="BD426" s="194" t="inlineStr">
        <is>
          <t/>
        </is>
      </c>
      <c r="BE426" s="195" t="inlineStr">
        <is>
          <t/>
        </is>
      </c>
      <c r="BF426" s="196" t="inlineStr">
        <is>
          <t/>
        </is>
      </c>
      <c r="BG426" s="197" t="n">
        <v>42747.0</v>
      </c>
      <c r="BH426" s="198" t="n">
        <v>16.2</v>
      </c>
      <c r="BI426" s="199" t="inlineStr">
        <is>
          <t>Actual</t>
        </is>
      </c>
      <c r="BJ426" s="200" t="inlineStr">
        <is>
          <t/>
        </is>
      </c>
      <c r="BK426" s="201" t="inlineStr">
        <is>
          <t/>
        </is>
      </c>
      <c r="BL426" s="202" t="inlineStr">
        <is>
          <t>Seed Round</t>
        </is>
      </c>
      <c r="BM426" s="203" t="inlineStr">
        <is>
          <t>Seed</t>
        </is>
      </c>
      <c r="BN426" s="204" t="inlineStr">
        <is>
          <t/>
        </is>
      </c>
      <c r="BO426" s="205" t="inlineStr">
        <is>
          <t>Venture Capital</t>
        </is>
      </c>
      <c r="BP426" s="206" t="inlineStr">
        <is>
          <t/>
        </is>
      </c>
      <c r="BQ426" s="207" t="inlineStr">
        <is>
          <t/>
        </is>
      </c>
      <c r="BR426" s="208" t="inlineStr">
        <is>
          <t/>
        </is>
      </c>
      <c r="BS426" s="209" t="inlineStr">
        <is>
          <t>Completed</t>
        </is>
      </c>
      <c r="BT426" s="210" t="n">
        <v>42747.0</v>
      </c>
      <c r="BU426" s="211" t="n">
        <v>16.2</v>
      </c>
      <c r="BV426" s="212" t="inlineStr">
        <is>
          <t>Actual</t>
        </is>
      </c>
      <c r="BW426" s="213" t="inlineStr">
        <is>
          <t/>
        </is>
      </c>
      <c r="BX426" s="214" t="inlineStr">
        <is>
          <t/>
        </is>
      </c>
      <c r="BY426" s="215" t="inlineStr">
        <is>
          <t>Seed Round</t>
        </is>
      </c>
      <c r="BZ426" s="216" t="inlineStr">
        <is>
          <t>Seed</t>
        </is>
      </c>
      <c r="CA426" s="217" t="inlineStr">
        <is>
          <t/>
        </is>
      </c>
      <c r="CB426" s="218" t="inlineStr">
        <is>
          <t>Venture Capital</t>
        </is>
      </c>
      <c r="CC426" s="219" t="inlineStr">
        <is>
          <t/>
        </is>
      </c>
      <c r="CD426" s="220" t="inlineStr">
        <is>
          <t/>
        </is>
      </c>
      <c r="CE426" s="221" t="inlineStr">
        <is>
          <t/>
        </is>
      </c>
      <c r="CF426" s="222" t="inlineStr">
        <is>
          <t>Completed</t>
        </is>
      </c>
      <c r="CG426" s="223" t="inlineStr">
        <is>
          <t>-0,21%</t>
        </is>
      </c>
      <c r="CH426" s="224" t="inlineStr">
        <is>
          <t>12</t>
        </is>
      </c>
      <c r="CI426" s="225" t="inlineStr">
        <is>
          <t>0,05%</t>
        </is>
      </c>
      <c r="CJ426" s="226" t="inlineStr">
        <is>
          <t>20,33%</t>
        </is>
      </c>
      <c r="CK426" s="227" t="inlineStr">
        <is>
          <t>-0,99%</t>
        </is>
      </c>
      <c r="CL426" s="228" t="inlineStr">
        <is>
          <t>9</t>
        </is>
      </c>
      <c r="CM426" s="229" t="inlineStr">
        <is>
          <t>0,57%</t>
        </is>
      </c>
      <c r="CN426" s="230" t="inlineStr">
        <is>
          <t>91</t>
        </is>
      </c>
      <c r="CO426" s="231" t="inlineStr">
        <is>
          <t>-2,95%</t>
        </is>
      </c>
      <c r="CP426" s="232" t="inlineStr">
        <is>
          <t>12</t>
        </is>
      </c>
      <c r="CQ426" s="233" t="inlineStr">
        <is>
          <t>0,97%</t>
        </is>
      </c>
      <c r="CR426" s="234" t="inlineStr">
        <is>
          <t>88</t>
        </is>
      </c>
      <c r="CS426" s="235" t="inlineStr">
        <is>
          <t>0,66%</t>
        </is>
      </c>
      <c r="CT426" s="236" t="inlineStr">
        <is>
          <t>91</t>
        </is>
      </c>
      <c r="CU426" s="237" t="inlineStr">
        <is>
          <t>0,49%</t>
        </is>
      </c>
      <c r="CV426" s="238" t="inlineStr">
        <is>
          <t>91</t>
        </is>
      </c>
      <c r="CW426" s="239" t="inlineStr">
        <is>
          <t>24,97x</t>
        </is>
      </c>
      <c r="CX426" s="240" t="inlineStr">
        <is>
          <t>93</t>
        </is>
      </c>
      <c r="CY426" s="241" t="inlineStr">
        <is>
          <t>1,09x</t>
        </is>
      </c>
      <c r="CZ426" s="242" t="inlineStr">
        <is>
          <t>4,55%</t>
        </is>
      </c>
      <c r="DA426" s="243" t="inlineStr">
        <is>
          <t>39,92x</t>
        </is>
      </c>
      <c r="DB426" s="244" t="inlineStr">
        <is>
          <t>95</t>
        </is>
      </c>
      <c r="DC426" s="245" t="inlineStr">
        <is>
          <t>10,01x</t>
        </is>
      </c>
      <c r="DD426" s="246" t="inlineStr">
        <is>
          <t>84</t>
        </is>
      </c>
      <c r="DE426" s="247" t="inlineStr">
        <is>
          <t>11,12x</t>
        </is>
      </c>
      <c r="DF426" s="248" t="inlineStr">
        <is>
          <t>84</t>
        </is>
      </c>
      <c r="DG426" s="249" t="inlineStr">
        <is>
          <t>68,72x</t>
        </is>
      </c>
      <c r="DH426" s="250" t="inlineStr">
        <is>
          <t>98</t>
        </is>
      </c>
      <c r="DI426" s="251" t="inlineStr">
        <is>
          <t>8,26x</t>
        </is>
      </c>
      <c r="DJ426" s="252" t="inlineStr">
        <is>
          <t>80</t>
        </is>
      </c>
      <c r="DK426" s="253" t="inlineStr">
        <is>
          <t>11,77x</t>
        </is>
      </c>
      <c r="DL426" s="254" t="inlineStr">
        <is>
          <t>88</t>
        </is>
      </c>
      <c r="DM426" s="255" t="inlineStr">
        <is>
          <t>7.082</t>
        </is>
      </c>
      <c r="DN426" s="256" t="inlineStr">
        <is>
          <t>-729</t>
        </is>
      </c>
      <c r="DO426" s="257" t="inlineStr">
        <is>
          <t>-9,33%</t>
        </is>
      </c>
      <c r="DP426" s="258" t="inlineStr">
        <is>
          <t>6.567</t>
        </is>
      </c>
      <c r="DQ426" s="259" t="inlineStr">
        <is>
          <t>43</t>
        </is>
      </c>
      <c r="DR426" s="260" t="inlineStr">
        <is>
          <t>0,66%</t>
        </is>
      </c>
      <c r="DS426" s="261" t="inlineStr">
        <is>
          <t>2.443</t>
        </is>
      </c>
      <c r="DT426" s="262" t="inlineStr">
        <is>
          <t>58</t>
        </is>
      </c>
      <c r="DU426" s="263" t="inlineStr">
        <is>
          <t>2,43%</t>
        </is>
      </c>
      <c r="DV426" s="264" t="inlineStr">
        <is>
          <t>4.028</t>
        </is>
      </c>
      <c r="DW426" s="265" t="inlineStr">
        <is>
          <t>8</t>
        </is>
      </c>
      <c r="DX426" s="266" t="inlineStr">
        <is>
          <t>0,20%</t>
        </is>
      </c>
      <c r="DY426" s="267" t="inlineStr">
        <is>
          <t>PitchBook Research</t>
        </is>
      </c>
      <c r="DZ426" s="786">
        <f>HYPERLINK("https://my.pitchbook.com?c=167093-02", "View company online")</f>
      </c>
    </row>
    <row r="427">
      <c r="A427" s="9" t="inlineStr">
        <is>
          <t>160539-58</t>
        </is>
      </c>
      <c r="B427" s="10" t="inlineStr">
        <is>
          <t>Storm Therapeutics</t>
        </is>
      </c>
      <c r="C427" s="11" t="inlineStr">
        <is>
          <t>Iceni Therapeutics</t>
        </is>
      </c>
      <c r="D427" s="12" t="inlineStr">
        <is>
          <t/>
        </is>
      </c>
      <c r="E427" s="13" t="inlineStr">
        <is>
          <t>160539-58</t>
        </is>
      </c>
      <c r="F427" s="14" t="inlineStr">
        <is>
          <t>Developer of small molecule drugs. The company is focused on the identification and development of small molecule drugs that target RNA-modifying enzymes for cancer treatment.</t>
        </is>
      </c>
      <c r="G427" s="15" t="inlineStr">
        <is>
          <t>Healthcare</t>
        </is>
      </c>
      <c r="H427" s="16" t="inlineStr">
        <is>
          <t>Pharmaceuticals and Biotechnology</t>
        </is>
      </c>
      <c r="I427" s="17" t="inlineStr">
        <is>
          <t>Drug Discovery</t>
        </is>
      </c>
      <c r="J427" s="18" t="inlineStr">
        <is>
          <t>Drug Discovery*; Biotechnology</t>
        </is>
      </c>
      <c r="K427" s="19" t="inlineStr">
        <is>
          <t>Life Sciences, Oncology</t>
        </is>
      </c>
      <c r="L427" s="20" t="inlineStr">
        <is>
          <t>Venture Capital-Backed</t>
        </is>
      </c>
      <c r="M427" s="21" t="n">
        <v>16.17</v>
      </c>
      <c r="N427" s="22" t="inlineStr">
        <is>
          <t>Startup</t>
        </is>
      </c>
      <c r="O427" s="23" t="inlineStr">
        <is>
          <t>Privately Held (backing)</t>
        </is>
      </c>
      <c r="P427" s="24" t="inlineStr">
        <is>
          <t>Venture Capital</t>
        </is>
      </c>
      <c r="Q427" s="25" t="inlineStr">
        <is>
          <t>www.stormtherapeutics.com</t>
        </is>
      </c>
      <c r="R427" s="26" t="inlineStr">
        <is>
          <t/>
        </is>
      </c>
      <c r="S427" s="27" t="inlineStr">
        <is>
          <t/>
        </is>
      </c>
      <c r="T427" s="28" t="inlineStr">
        <is>
          <t/>
        </is>
      </c>
      <c r="U427" s="29" t="n">
        <v>2015.0</v>
      </c>
      <c r="V427" s="30" t="inlineStr">
        <is>
          <t/>
        </is>
      </c>
      <c r="W427" s="31" t="inlineStr">
        <is>
          <t/>
        </is>
      </c>
      <c r="X427" s="32" t="inlineStr">
        <is>
          <t/>
        </is>
      </c>
      <c r="Y427" s="33" t="inlineStr">
        <is>
          <t/>
        </is>
      </c>
      <c r="Z427" s="34" t="inlineStr">
        <is>
          <t/>
        </is>
      </c>
      <c r="AA427" s="35" t="inlineStr">
        <is>
          <t/>
        </is>
      </c>
      <c r="AB427" s="36" t="inlineStr">
        <is>
          <t/>
        </is>
      </c>
      <c r="AC427" s="37" t="inlineStr">
        <is>
          <t/>
        </is>
      </c>
      <c r="AD427" s="38" t="inlineStr">
        <is>
          <t/>
        </is>
      </c>
      <c r="AE427" s="39" t="inlineStr">
        <is>
          <t>56782-99P</t>
        </is>
      </c>
      <c r="AF427" s="40" t="inlineStr">
        <is>
          <t>Keith Blundy</t>
        </is>
      </c>
      <c r="AG427" s="41" t="inlineStr">
        <is>
          <t>Chief Executive Officer</t>
        </is>
      </c>
      <c r="AH427" s="42" t="inlineStr">
        <is>
          <t>keith.blundy@stormtherapeutics.com</t>
        </is>
      </c>
      <c r="AI427" s="43" t="inlineStr">
        <is>
          <t/>
        </is>
      </c>
      <c r="AJ427" s="44" t="inlineStr">
        <is>
          <t>Cambridge, United Kingdom</t>
        </is>
      </c>
      <c r="AK427" s="45" t="inlineStr">
        <is>
          <t/>
        </is>
      </c>
      <c r="AL427" s="46" t="inlineStr">
        <is>
          <t/>
        </is>
      </c>
      <c r="AM427" s="47" t="inlineStr">
        <is>
          <t>Cambridge</t>
        </is>
      </c>
      <c r="AN427" s="48" t="inlineStr">
        <is>
          <t>England</t>
        </is>
      </c>
      <c r="AO427" s="49" t="inlineStr">
        <is>
          <t/>
        </is>
      </c>
      <c r="AP427" s="50" t="inlineStr">
        <is>
          <t>United Kingdom</t>
        </is>
      </c>
      <c r="AQ427" s="51" t="inlineStr">
        <is>
          <t/>
        </is>
      </c>
      <c r="AR427" s="52" t="inlineStr">
        <is>
          <t/>
        </is>
      </c>
      <c r="AS427" s="53" t="inlineStr">
        <is>
          <t/>
        </is>
      </c>
      <c r="AT427" s="54" t="inlineStr">
        <is>
          <t>Europe</t>
        </is>
      </c>
      <c r="AU427" s="55" t="inlineStr">
        <is>
          <t>Western Europe</t>
        </is>
      </c>
      <c r="AV427" s="56" t="inlineStr">
        <is>
          <t>The company raised GBP 12 million of Series A venture funding from Cambridge Innovation Capital, Imperial Innovations (AIM: IVO) and Pfizer Venture Investments June 28, 2016, putting the pre-money valuation at GBP 1.77 million. Merck Ventures also participated in the round. Imperial Innovations invested GBP 3 million as a part of investment and will hold a 22.3% stake in the company. Of the total amount, GBP 7.35 million was raised via convertible debt. The funding will be used for the identification of small molecules that target RNA-modifying enzymes as the basis for the development of new cancer therapies. Merck Ventures also participated.</t>
        </is>
      </c>
      <c r="AW427" s="57" t="inlineStr">
        <is>
          <t>Cambridge Innovation Capital, Merck Capital Ventures, Merck Ventures, Pfizer Venture Investments, Touchstone Innovations</t>
        </is>
      </c>
      <c r="AX427" s="58" t="n">
        <v>5.0</v>
      </c>
      <c r="AY427" s="59" t="inlineStr">
        <is>
          <t/>
        </is>
      </c>
      <c r="AZ427" s="60" t="inlineStr">
        <is>
          <t/>
        </is>
      </c>
      <c r="BA427" s="61" t="inlineStr">
        <is>
          <t/>
        </is>
      </c>
      <c r="BB427" s="62" t="inlineStr">
        <is>
          <t>Cambridge Innovation Capital (www.cicplc.co.uk), Merck Ventures (www.merck-ventures.com), Touchstone Innovations (www.touchstoneinnovations.com)</t>
        </is>
      </c>
      <c r="BC427" s="63" t="inlineStr">
        <is>
          <t/>
        </is>
      </c>
      <c r="BD427" s="64" t="inlineStr">
        <is>
          <t/>
        </is>
      </c>
      <c r="BE427" s="65" t="inlineStr">
        <is>
          <t/>
        </is>
      </c>
      <c r="BF427" s="66" t="inlineStr">
        <is>
          <t/>
        </is>
      </c>
      <c r="BG427" s="67" t="n">
        <v>42125.0</v>
      </c>
      <c r="BH427" s="68" t="n">
        <v>0.69</v>
      </c>
      <c r="BI427" s="69" t="inlineStr">
        <is>
          <t>Actual</t>
        </is>
      </c>
      <c r="BJ427" s="70" t="inlineStr">
        <is>
          <t/>
        </is>
      </c>
      <c r="BK427" s="71" t="inlineStr">
        <is>
          <t/>
        </is>
      </c>
      <c r="BL427" s="72" t="inlineStr">
        <is>
          <t>Seed Round</t>
        </is>
      </c>
      <c r="BM427" s="73" t="inlineStr">
        <is>
          <t>Seed</t>
        </is>
      </c>
      <c r="BN427" s="74" t="inlineStr">
        <is>
          <t/>
        </is>
      </c>
      <c r="BO427" s="75" t="inlineStr">
        <is>
          <t>Venture Capital</t>
        </is>
      </c>
      <c r="BP427" s="76" t="inlineStr">
        <is>
          <t/>
        </is>
      </c>
      <c r="BQ427" s="77" t="inlineStr">
        <is>
          <t/>
        </is>
      </c>
      <c r="BR427" s="78" t="inlineStr">
        <is>
          <t/>
        </is>
      </c>
      <c r="BS427" s="79" t="inlineStr">
        <is>
          <t>Completed</t>
        </is>
      </c>
      <c r="BT427" s="80" t="n">
        <v>42549.0</v>
      </c>
      <c r="BU427" s="81" t="n">
        <v>15.2</v>
      </c>
      <c r="BV427" s="82" t="inlineStr">
        <is>
          <t>Actual</t>
        </is>
      </c>
      <c r="BW427" s="83" t="n">
        <v>8.12</v>
      </c>
      <c r="BX427" s="84" t="inlineStr">
        <is>
          <t>Actual</t>
        </is>
      </c>
      <c r="BY427" s="85" t="inlineStr">
        <is>
          <t>Early Stage VC</t>
        </is>
      </c>
      <c r="BZ427" s="86" t="inlineStr">
        <is>
          <t>Series A</t>
        </is>
      </c>
      <c r="CA427" s="87" t="inlineStr">
        <is>
          <t/>
        </is>
      </c>
      <c r="CB427" s="88" t="inlineStr">
        <is>
          <t>Venture Capital</t>
        </is>
      </c>
      <c r="CC427" s="89" t="inlineStr">
        <is>
          <t>Convertible Debt</t>
        </is>
      </c>
      <c r="CD427" s="90" t="inlineStr">
        <is>
          <t/>
        </is>
      </c>
      <c r="CE427" s="91" t="inlineStr">
        <is>
          <t/>
        </is>
      </c>
      <c r="CF427" s="92" t="inlineStr">
        <is>
          <t>Completed</t>
        </is>
      </c>
      <c r="CG427" s="93" t="inlineStr">
        <is>
          <t>0,00%</t>
        </is>
      </c>
      <c r="CH427" s="94" t="inlineStr">
        <is>
          <t>23</t>
        </is>
      </c>
      <c r="CI427" s="95" t="inlineStr">
        <is>
          <t>0,00%</t>
        </is>
      </c>
      <c r="CJ427" s="96" t="inlineStr">
        <is>
          <t>0,00%</t>
        </is>
      </c>
      <c r="CK427" s="97" t="inlineStr">
        <is>
          <t>0,00%</t>
        </is>
      </c>
      <c r="CL427" s="98" t="inlineStr">
        <is>
          <t>18</t>
        </is>
      </c>
      <c r="CM427" s="99" t="inlineStr">
        <is>
          <t/>
        </is>
      </c>
      <c r="CN427" s="100" t="inlineStr">
        <is>
          <t/>
        </is>
      </c>
      <c r="CO427" s="101" t="inlineStr">
        <is>
          <t>0,00%</t>
        </is>
      </c>
      <c r="CP427" s="102" t="inlineStr">
        <is>
          <t>26</t>
        </is>
      </c>
      <c r="CQ427" s="103" t="inlineStr">
        <is>
          <t>0,00%</t>
        </is>
      </c>
      <c r="CR427" s="104" t="inlineStr">
        <is>
          <t>13</t>
        </is>
      </c>
      <c r="CS427" s="105" t="inlineStr">
        <is>
          <t/>
        </is>
      </c>
      <c r="CT427" s="106" t="inlineStr">
        <is>
          <t/>
        </is>
      </c>
      <c r="CU427" s="107" t="inlineStr">
        <is>
          <t/>
        </is>
      </c>
      <c r="CV427" s="108" t="inlineStr">
        <is>
          <t/>
        </is>
      </c>
      <c r="CW427" s="109" t="inlineStr">
        <is>
          <t>0,39x</t>
        </is>
      </c>
      <c r="CX427" s="110" t="inlineStr">
        <is>
          <t>28</t>
        </is>
      </c>
      <c r="CY427" s="111" t="inlineStr">
        <is>
          <t>0,04x</t>
        </is>
      </c>
      <c r="CZ427" s="112" t="inlineStr">
        <is>
          <t>10,08%</t>
        </is>
      </c>
      <c r="DA427" s="113" t="inlineStr">
        <is>
          <t>0,39x</t>
        </is>
      </c>
      <c r="DB427" s="114" t="inlineStr">
        <is>
          <t>31</t>
        </is>
      </c>
      <c r="DC427" s="115" t="inlineStr">
        <is>
          <t/>
        </is>
      </c>
      <c r="DD427" s="116" t="inlineStr">
        <is>
          <t/>
        </is>
      </c>
      <c r="DE427" s="117" t="inlineStr">
        <is>
          <t>0,16x</t>
        </is>
      </c>
      <c r="DF427" s="118" t="inlineStr">
        <is>
          <t>16</t>
        </is>
      </c>
      <c r="DG427" s="119" t="inlineStr">
        <is>
          <t>0,61x</t>
        </is>
      </c>
      <c r="DH427" s="120" t="inlineStr">
        <is>
          <t>40</t>
        </is>
      </c>
      <c r="DI427" s="121" t="inlineStr">
        <is>
          <t/>
        </is>
      </c>
      <c r="DJ427" s="122" t="inlineStr">
        <is>
          <t/>
        </is>
      </c>
      <c r="DK427" s="123" t="inlineStr">
        <is>
          <t/>
        </is>
      </c>
      <c r="DL427" s="124" t="inlineStr">
        <is>
          <t/>
        </is>
      </c>
      <c r="DM427" s="125" t="inlineStr">
        <is>
          <t>106</t>
        </is>
      </c>
      <c r="DN427" s="126" t="inlineStr">
        <is>
          <t>-24</t>
        </is>
      </c>
      <c r="DO427" s="127" t="inlineStr">
        <is>
          <t>-18,46%</t>
        </is>
      </c>
      <c r="DP427" s="128" t="inlineStr">
        <is>
          <t/>
        </is>
      </c>
      <c r="DQ427" s="129" t="inlineStr">
        <is>
          <t/>
        </is>
      </c>
      <c r="DR427" s="130" t="inlineStr">
        <is>
          <t/>
        </is>
      </c>
      <c r="DS427" s="131" t="inlineStr">
        <is>
          <t>21</t>
        </is>
      </c>
      <c r="DT427" s="132" t="inlineStr">
        <is>
          <t>1</t>
        </is>
      </c>
      <c r="DU427" s="133" t="inlineStr">
        <is>
          <t>5,00%</t>
        </is>
      </c>
      <c r="DV427" s="134" t="inlineStr">
        <is>
          <t/>
        </is>
      </c>
      <c r="DW427" s="135" t="inlineStr">
        <is>
          <t/>
        </is>
      </c>
      <c r="DX427" s="136" t="inlineStr">
        <is>
          <t/>
        </is>
      </c>
      <c r="DY427" s="137" t="inlineStr">
        <is>
          <t>PitchBook Research</t>
        </is>
      </c>
      <c r="DZ427" s="785">
        <f>HYPERLINK("https://my.pitchbook.com?c=160539-58", "View company online")</f>
      </c>
    </row>
    <row r="428">
      <c r="A428" s="139" t="inlineStr">
        <is>
          <t>156126-88</t>
        </is>
      </c>
      <c r="B428" s="140" t="inlineStr">
        <is>
          <t>Stratumn</t>
        </is>
      </c>
      <c r="C428" s="141" t="inlineStr">
        <is>
          <t/>
        </is>
      </c>
      <c r="D428" s="142" t="inlineStr">
        <is>
          <t/>
        </is>
      </c>
      <c r="E428" s="143" t="inlineStr">
        <is>
          <t>156126-88</t>
        </is>
      </c>
      <c r="F428" s="144" t="inlineStr">
        <is>
          <t>Developer of a block-chain transaction technology designed to develop networks, free organizations and individuals to trust the millions of processes that connect our world. The company's block-chain transaction technology that automates the auditing process, eliminate errors and fraud and processes that are cryptographically written, executed and verified, providing secure processes between enterprise partners, customers and regulators while insuring data privacy and reducing operational frictions and costs.</t>
        </is>
      </c>
      <c r="G428" s="145" t="inlineStr">
        <is>
          <t>Information Technology</t>
        </is>
      </c>
      <c r="H428" s="146" t="inlineStr">
        <is>
          <t>Software</t>
        </is>
      </c>
      <c r="I428" s="147" t="inlineStr">
        <is>
          <t>Network Management Software</t>
        </is>
      </c>
      <c r="J428" s="148" t="inlineStr">
        <is>
          <t>Network Management Software*; Other Business Products and Services; Application Software</t>
        </is>
      </c>
      <c r="K428" s="149" t="inlineStr">
        <is>
          <t>FinTech</t>
        </is>
      </c>
      <c r="L428" s="150" t="inlineStr">
        <is>
          <t>Venture Capital-Backed</t>
        </is>
      </c>
      <c r="M428" s="151" t="n">
        <v>7.6</v>
      </c>
      <c r="N428" s="152" t="inlineStr">
        <is>
          <t>Generating Revenue</t>
        </is>
      </c>
      <c r="O428" s="153" t="inlineStr">
        <is>
          <t>Privately Held (backing)</t>
        </is>
      </c>
      <c r="P428" s="154" t="inlineStr">
        <is>
          <t>Venture Capital</t>
        </is>
      </c>
      <c r="Q428" s="155" t="inlineStr">
        <is>
          <t>www.stratumn.com</t>
        </is>
      </c>
      <c r="R428" s="156" t="n">
        <v>15.0</v>
      </c>
      <c r="S428" s="157" t="inlineStr">
        <is>
          <t/>
        </is>
      </c>
      <c r="T428" s="158" t="inlineStr">
        <is>
          <t/>
        </is>
      </c>
      <c r="U428" s="159" t="n">
        <v>2015.0</v>
      </c>
      <c r="V428" s="160" t="inlineStr">
        <is>
          <t/>
        </is>
      </c>
      <c r="W428" s="161" t="inlineStr">
        <is>
          <t/>
        </is>
      </c>
      <c r="X428" s="162" t="inlineStr">
        <is>
          <t/>
        </is>
      </c>
      <c r="Y428" s="163" t="n">
        <v>0.17075</v>
      </c>
      <c r="Z428" s="164" t="inlineStr">
        <is>
          <t/>
        </is>
      </c>
      <c r="AA428" s="165" t="n">
        <v>-0.40789</v>
      </c>
      <c r="AB428" s="166" t="inlineStr">
        <is>
          <t/>
        </is>
      </c>
      <c r="AC428" s="167" t="n">
        <v>-0.48378</v>
      </c>
      <c r="AD428" s="168" t="inlineStr">
        <is>
          <t>FY 2016</t>
        </is>
      </c>
      <c r="AE428" s="169" t="inlineStr">
        <is>
          <t>131608-27P</t>
        </is>
      </c>
      <c r="AF428" s="170" t="inlineStr">
        <is>
          <t>Richard Caetano</t>
        </is>
      </c>
      <c r="AG428" s="171" t="inlineStr">
        <is>
          <t>Co-Founder, Chief Executive Officer &amp; Vice President, Engineering</t>
        </is>
      </c>
      <c r="AH428" s="172" t="inlineStr">
        <is>
          <t>richard@stratumn.com</t>
        </is>
      </c>
      <c r="AI428" s="173" t="inlineStr">
        <is>
          <t/>
        </is>
      </c>
      <c r="AJ428" s="174" t="inlineStr">
        <is>
          <t>Paris, France</t>
        </is>
      </c>
      <c r="AK428" s="175" t="inlineStr">
        <is>
          <t>1 Bis Cité Paradis</t>
        </is>
      </c>
      <c r="AL428" s="176" t="inlineStr">
        <is>
          <t/>
        </is>
      </c>
      <c r="AM428" s="177" t="inlineStr">
        <is>
          <t>Paris</t>
        </is>
      </c>
      <c r="AN428" s="178" t="inlineStr">
        <is>
          <t/>
        </is>
      </c>
      <c r="AO428" s="179" t="inlineStr">
        <is>
          <t>75010</t>
        </is>
      </c>
      <c r="AP428" s="180" t="inlineStr">
        <is>
          <t>France</t>
        </is>
      </c>
      <c r="AQ428" s="181" t="inlineStr">
        <is>
          <t/>
        </is>
      </c>
      <c r="AR428" s="182" t="inlineStr">
        <is>
          <t/>
        </is>
      </c>
      <c r="AS428" s="183" t="inlineStr">
        <is>
          <t>hello@stratumn.com</t>
        </is>
      </c>
      <c r="AT428" s="184" t="inlineStr">
        <is>
          <t>Europe</t>
        </is>
      </c>
      <c r="AU428" s="185" t="inlineStr">
        <is>
          <t>Western Europe</t>
        </is>
      </c>
      <c r="AV428" s="186" t="inlineStr">
        <is>
          <t>The company raised EUR 7 million of Series A venture funding in a deal led by Open CNP, the corporate venture arm of CNP Assurances on June 8, 2017. Nasdaq, Digital Currency Group and Otium Venture also participated in the round. The company intends to use the funds to accelerate their development, notably by focusing on research, product design, business development, as well as by continuing to attract talented individuals and expansion into the U.S.</t>
        </is>
      </c>
      <c r="AW428" s="187" t="inlineStr">
        <is>
          <t>CNP Assurances, Digital Currency Group, Eric Larchevêque, NASDAQ, Otium</t>
        </is>
      </c>
      <c r="AX428" s="188" t="n">
        <v>5.0</v>
      </c>
      <c r="AY428" s="189" t="inlineStr">
        <is>
          <t/>
        </is>
      </c>
      <c r="AZ428" s="190" t="inlineStr">
        <is>
          <t/>
        </is>
      </c>
      <c r="BA428" s="191" t="inlineStr">
        <is>
          <t/>
        </is>
      </c>
      <c r="BB428" s="192" t="inlineStr">
        <is>
          <t>CNP Assurances (www.cnp.fr), Digital Currency Group (www.dcg.co), NASDAQ (www.nasdaq.com), Otium (www.otium.fr)</t>
        </is>
      </c>
      <c r="BC428" s="193" t="inlineStr">
        <is>
          <t/>
        </is>
      </c>
      <c r="BD428" s="194" t="inlineStr">
        <is>
          <t/>
        </is>
      </c>
      <c r="BE428" s="195" t="inlineStr">
        <is>
          <t/>
        </is>
      </c>
      <c r="BF428" s="196" t="inlineStr">
        <is>
          <t/>
        </is>
      </c>
      <c r="BG428" s="197" t="n">
        <v>42458.0</v>
      </c>
      <c r="BH428" s="198" t="n">
        <v>0.6</v>
      </c>
      <c r="BI428" s="199" t="inlineStr">
        <is>
          <t>Actual</t>
        </is>
      </c>
      <c r="BJ428" s="200" t="inlineStr">
        <is>
          <t/>
        </is>
      </c>
      <c r="BK428" s="201" t="inlineStr">
        <is>
          <t/>
        </is>
      </c>
      <c r="BL428" s="202" t="inlineStr">
        <is>
          <t>Seed Round</t>
        </is>
      </c>
      <c r="BM428" s="203" t="inlineStr">
        <is>
          <t>Seed</t>
        </is>
      </c>
      <c r="BN428" s="204" t="inlineStr">
        <is>
          <t/>
        </is>
      </c>
      <c r="BO428" s="205" t="inlineStr">
        <is>
          <t>Venture Capital</t>
        </is>
      </c>
      <c r="BP428" s="206" t="inlineStr">
        <is>
          <t/>
        </is>
      </c>
      <c r="BQ428" s="207" t="inlineStr">
        <is>
          <t/>
        </is>
      </c>
      <c r="BR428" s="208" t="inlineStr">
        <is>
          <t/>
        </is>
      </c>
      <c r="BS428" s="209" t="inlineStr">
        <is>
          <t>Completed</t>
        </is>
      </c>
      <c r="BT428" s="210" t="n">
        <v>42894.0</v>
      </c>
      <c r="BU428" s="211" t="n">
        <v>7.0</v>
      </c>
      <c r="BV428" s="212" t="inlineStr">
        <is>
          <t>Actual</t>
        </is>
      </c>
      <c r="BW428" s="213" t="inlineStr">
        <is>
          <t/>
        </is>
      </c>
      <c r="BX428" s="214" t="inlineStr">
        <is>
          <t/>
        </is>
      </c>
      <c r="BY428" s="215" t="inlineStr">
        <is>
          <t>Early Stage VC</t>
        </is>
      </c>
      <c r="BZ428" s="216" t="inlineStr">
        <is>
          <t>Series A</t>
        </is>
      </c>
      <c r="CA428" s="217" t="inlineStr">
        <is>
          <t/>
        </is>
      </c>
      <c r="CB428" s="218" t="inlineStr">
        <is>
          <t>Venture Capital</t>
        </is>
      </c>
      <c r="CC428" s="219" t="inlineStr">
        <is>
          <t/>
        </is>
      </c>
      <c r="CD428" s="220" t="inlineStr">
        <is>
          <t/>
        </is>
      </c>
      <c r="CE428" s="221" t="inlineStr">
        <is>
          <t/>
        </is>
      </c>
      <c r="CF428" s="222" t="inlineStr">
        <is>
          <t>Completed</t>
        </is>
      </c>
      <c r="CG428" s="223" t="inlineStr">
        <is>
          <t>-5,05%</t>
        </is>
      </c>
      <c r="CH428" s="224" t="inlineStr">
        <is>
          <t>1</t>
        </is>
      </c>
      <c r="CI428" s="225" t="inlineStr">
        <is>
          <t>0,02%</t>
        </is>
      </c>
      <c r="CJ428" s="226" t="inlineStr">
        <is>
          <t>0,47%</t>
        </is>
      </c>
      <c r="CK428" s="227" t="inlineStr">
        <is>
          <t>-10,53%</t>
        </is>
      </c>
      <c r="CL428" s="228" t="inlineStr">
        <is>
          <t>1</t>
        </is>
      </c>
      <c r="CM428" s="229" t="inlineStr">
        <is>
          <t>0,44%</t>
        </is>
      </c>
      <c r="CN428" s="230" t="inlineStr">
        <is>
          <t>88</t>
        </is>
      </c>
      <c r="CO428" s="231" t="inlineStr">
        <is>
          <t>-21,07%</t>
        </is>
      </c>
      <c r="CP428" s="232" t="inlineStr">
        <is>
          <t>1</t>
        </is>
      </c>
      <c r="CQ428" s="233" t="inlineStr">
        <is>
          <t>0,00%</t>
        </is>
      </c>
      <c r="CR428" s="234" t="inlineStr">
        <is>
          <t>13</t>
        </is>
      </c>
      <c r="CS428" s="235" t="inlineStr">
        <is>
          <t>0,21%</t>
        </is>
      </c>
      <c r="CT428" s="236" t="inlineStr">
        <is>
          <t>71</t>
        </is>
      </c>
      <c r="CU428" s="237" t="inlineStr">
        <is>
          <t>0,66%</t>
        </is>
      </c>
      <c r="CV428" s="238" t="inlineStr">
        <is>
          <t>94</t>
        </is>
      </c>
      <c r="CW428" s="239" t="inlineStr">
        <is>
          <t>1,79x</t>
        </is>
      </c>
      <c r="CX428" s="240" t="inlineStr">
        <is>
          <t>62</t>
        </is>
      </c>
      <c r="CY428" s="241" t="inlineStr">
        <is>
          <t>0,04x</t>
        </is>
      </c>
      <c r="CZ428" s="242" t="inlineStr">
        <is>
          <t>2,08%</t>
        </is>
      </c>
      <c r="DA428" s="243" t="inlineStr">
        <is>
          <t>1,59x</t>
        </is>
      </c>
      <c r="DB428" s="244" t="inlineStr">
        <is>
          <t>62</t>
        </is>
      </c>
      <c r="DC428" s="245" t="inlineStr">
        <is>
          <t>2,00x</t>
        </is>
      </c>
      <c r="DD428" s="246" t="inlineStr">
        <is>
          <t>61</t>
        </is>
      </c>
      <c r="DE428" s="247" t="inlineStr">
        <is>
          <t>1,93x</t>
        </is>
      </c>
      <c r="DF428" s="248" t="inlineStr">
        <is>
          <t>63</t>
        </is>
      </c>
      <c r="DG428" s="249" t="inlineStr">
        <is>
          <t>1,25x</t>
        </is>
      </c>
      <c r="DH428" s="250" t="inlineStr">
        <is>
          <t>55</t>
        </is>
      </c>
      <c r="DI428" s="251" t="inlineStr">
        <is>
          <t>0,23x</t>
        </is>
      </c>
      <c r="DJ428" s="252" t="inlineStr">
        <is>
          <t>26</t>
        </is>
      </c>
      <c r="DK428" s="253" t="inlineStr">
        <is>
          <t>3,76x</t>
        </is>
      </c>
      <c r="DL428" s="254" t="inlineStr">
        <is>
          <t>74</t>
        </is>
      </c>
      <c r="DM428" s="255" t="inlineStr">
        <is>
          <t>1.304</t>
        </is>
      </c>
      <c r="DN428" s="256" t="inlineStr">
        <is>
          <t>-352</t>
        </is>
      </c>
      <c r="DO428" s="257" t="inlineStr">
        <is>
          <t>-21,26%</t>
        </is>
      </c>
      <c r="DP428" s="258" t="inlineStr">
        <is>
          <t>180</t>
        </is>
      </c>
      <c r="DQ428" s="259" t="inlineStr">
        <is>
          <t>1</t>
        </is>
      </c>
      <c r="DR428" s="260" t="inlineStr">
        <is>
          <t>0,56%</t>
        </is>
      </c>
      <c r="DS428" s="261" t="inlineStr">
        <is>
          <t>45</t>
        </is>
      </c>
      <c r="DT428" s="262" t="inlineStr">
        <is>
          <t>0</t>
        </is>
      </c>
      <c r="DU428" s="263" t="inlineStr">
        <is>
          <t>0,00%</t>
        </is>
      </c>
      <c r="DV428" s="264" t="inlineStr">
        <is>
          <t>1.285</t>
        </is>
      </c>
      <c r="DW428" s="265" t="inlineStr">
        <is>
          <t>10</t>
        </is>
      </c>
      <c r="DX428" s="266" t="inlineStr">
        <is>
          <t>0,78%</t>
        </is>
      </c>
      <c r="DY428" s="267" t="inlineStr">
        <is>
          <t>PitchBook Research</t>
        </is>
      </c>
      <c r="DZ428" s="786">
        <f>HYPERLINK("https://my.pitchbook.com?c=156126-88", "View company online")</f>
      </c>
    </row>
    <row r="429">
      <c r="A429" s="9" t="inlineStr">
        <is>
          <t>156143-62</t>
        </is>
      </c>
      <c r="B429" s="10" t="inlineStr">
        <is>
          <t>StreetTeam</t>
        </is>
      </c>
      <c r="C429" s="11" t="inlineStr">
        <is>
          <t>The Physical Network</t>
        </is>
      </c>
      <c r="D429" s="12" t="inlineStr">
        <is>
          <t/>
        </is>
      </c>
      <c r="E429" s="13" t="inlineStr">
        <is>
          <t>156143-62</t>
        </is>
      </c>
      <c r="F429" s="14" t="inlineStr">
        <is>
          <t>Provider of a peer-to-peer sales software platform for live entertainment. The company provides a peer-to-peer ticketing software that helps brands build, deploy and manage large decentralized ambassador programs who promote their events and sell tickets to their friends in return for rewards.</t>
        </is>
      </c>
      <c r="G429" s="15" t="inlineStr">
        <is>
          <t>Information Technology</t>
        </is>
      </c>
      <c r="H429" s="16" t="inlineStr">
        <is>
          <t>Software</t>
        </is>
      </c>
      <c r="I429" s="17" t="inlineStr">
        <is>
          <t>Social/Platform Software</t>
        </is>
      </c>
      <c r="J429" s="18" t="inlineStr">
        <is>
          <t>Social/Platform Software*; Internet Retail</t>
        </is>
      </c>
      <c r="K429" s="19" t="inlineStr">
        <is>
          <t>Mobile</t>
        </is>
      </c>
      <c r="L429" s="20" t="inlineStr">
        <is>
          <t>Venture Capital-Backed</t>
        </is>
      </c>
      <c r="M429" s="21" t="n">
        <v>12.02</v>
      </c>
      <c r="N429" s="22" t="inlineStr">
        <is>
          <t>Generating Revenue</t>
        </is>
      </c>
      <c r="O429" s="23" t="inlineStr">
        <is>
          <t>Privately Held (backing)</t>
        </is>
      </c>
      <c r="P429" s="24" t="inlineStr">
        <is>
          <t>Venture Capital</t>
        </is>
      </c>
      <c r="Q429" s="25" t="inlineStr">
        <is>
          <t>www.getstreetteam.com</t>
        </is>
      </c>
      <c r="R429" s="26" t="inlineStr">
        <is>
          <t/>
        </is>
      </c>
      <c r="S429" s="27" t="inlineStr">
        <is>
          <t/>
        </is>
      </c>
      <c r="T429" s="28" t="inlineStr">
        <is>
          <t/>
        </is>
      </c>
      <c r="U429" s="29" t="n">
        <v>2012.0</v>
      </c>
      <c r="V429" s="30" t="inlineStr">
        <is>
          <t/>
        </is>
      </c>
      <c r="W429" s="31" t="inlineStr">
        <is>
          <t/>
        </is>
      </c>
      <c r="X429" s="32" t="inlineStr">
        <is>
          <t/>
        </is>
      </c>
      <c r="Y429" s="33" t="n">
        <v>2.37148</v>
      </c>
      <c r="Z429" s="34" t="inlineStr">
        <is>
          <t/>
        </is>
      </c>
      <c r="AA429" s="35" t="inlineStr">
        <is>
          <t/>
        </is>
      </c>
      <c r="AB429" s="36" t="inlineStr">
        <is>
          <t/>
        </is>
      </c>
      <c r="AC429" s="37" t="inlineStr">
        <is>
          <t/>
        </is>
      </c>
      <c r="AD429" s="38" t="inlineStr">
        <is>
          <t>FY 2016</t>
        </is>
      </c>
      <c r="AE429" s="39" t="inlineStr">
        <is>
          <t>131630-50P</t>
        </is>
      </c>
      <c r="AF429" s="40" t="inlineStr">
        <is>
          <t>Callum Negus-Fancey</t>
        </is>
      </c>
      <c r="AG429" s="41" t="inlineStr">
        <is>
          <t>Co-Founder, Board Member &amp; Chief Executive Officer</t>
        </is>
      </c>
      <c r="AH429" s="42" t="inlineStr">
        <is>
          <t>callum@getstreetteam.com</t>
        </is>
      </c>
      <c r="AI429" s="43" t="inlineStr">
        <is>
          <t>+44 (0)20 3808 6532</t>
        </is>
      </c>
      <c r="AJ429" s="44" t="inlineStr">
        <is>
          <t>London, United Kingdom</t>
        </is>
      </c>
      <c r="AK429" s="45" t="inlineStr">
        <is>
          <t>3 Loughborough Street</t>
        </is>
      </c>
      <c r="AL429" s="46" t="inlineStr">
        <is>
          <t/>
        </is>
      </c>
      <c r="AM429" s="47" t="inlineStr">
        <is>
          <t>London</t>
        </is>
      </c>
      <c r="AN429" s="48" t="inlineStr">
        <is>
          <t>England</t>
        </is>
      </c>
      <c r="AO429" s="49" t="inlineStr">
        <is>
          <t>SE11 5RB</t>
        </is>
      </c>
      <c r="AP429" s="50" t="inlineStr">
        <is>
          <t>United Kingdom</t>
        </is>
      </c>
      <c r="AQ429" s="51" t="inlineStr">
        <is>
          <t>+44 (0)20 3808 6532</t>
        </is>
      </c>
      <c r="AR429" s="52" t="inlineStr">
        <is>
          <t/>
        </is>
      </c>
      <c r="AS429" s="53" t="inlineStr">
        <is>
          <t/>
        </is>
      </c>
      <c r="AT429" s="54" t="inlineStr">
        <is>
          <t>Europe</t>
        </is>
      </c>
      <c r="AU429" s="55" t="inlineStr">
        <is>
          <t>Western Europe</t>
        </is>
      </c>
      <c r="AV429" s="56" t="inlineStr">
        <is>
          <t>The company raised $10 million of venture funding in a deal led by Kindred Capital, Frontline Ventures, Spring Partners and Backed on October 10, 2016. Universal Music Group, SaatchInvest and Peter Davies also participated in the round.</t>
        </is>
      </c>
      <c r="AW429" s="57" t="inlineStr">
        <is>
          <t>Backed VC, Frontline Ventures, Kindred Capital, Peter Davies, SAATCHiNVEST, Spring Capital Partners, Universal Music Group</t>
        </is>
      </c>
      <c r="AX429" s="58" t="n">
        <v>7.0</v>
      </c>
      <c r="AY429" s="59" t="inlineStr">
        <is>
          <t/>
        </is>
      </c>
      <c r="AZ429" s="60" t="inlineStr">
        <is>
          <t/>
        </is>
      </c>
      <c r="BA429" s="61" t="inlineStr">
        <is>
          <t/>
        </is>
      </c>
      <c r="BB429" s="62" t="inlineStr">
        <is>
          <t>Backed VC (www.backed.vc), Frontline Ventures (www.frontline.vc), Kindred Capital (www.kindredcapital.vc), SAATCHiNVEST (www.saatchinvest.com), Spring Capital Partners (www.springcap.com), Universal Music Group (www.universalmusic.com)</t>
        </is>
      </c>
      <c r="BC429" s="63" t="inlineStr">
        <is>
          <t/>
        </is>
      </c>
      <c r="BD429" s="64" t="inlineStr">
        <is>
          <t/>
        </is>
      </c>
      <c r="BE429" s="65" t="inlineStr">
        <is>
          <t>Founders Keepers (Consulting)</t>
        </is>
      </c>
      <c r="BF429" s="66" t="inlineStr">
        <is>
          <t/>
        </is>
      </c>
      <c r="BG429" s="67" t="inlineStr">
        <is>
          <t/>
        </is>
      </c>
      <c r="BH429" s="68" t="n">
        <v>2.96</v>
      </c>
      <c r="BI429" s="69" t="inlineStr">
        <is>
          <t>Actual</t>
        </is>
      </c>
      <c r="BJ429" s="70" t="inlineStr">
        <is>
          <t/>
        </is>
      </c>
      <c r="BK429" s="71" t="inlineStr">
        <is>
          <t/>
        </is>
      </c>
      <c r="BL429" s="72" t="inlineStr">
        <is>
          <t>Seed Round</t>
        </is>
      </c>
      <c r="BM429" s="73" t="inlineStr">
        <is>
          <t>Seed</t>
        </is>
      </c>
      <c r="BN429" s="74" t="inlineStr">
        <is>
          <t/>
        </is>
      </c>
      <c r="BO429" s="75" t="inlineStr">
        <is>
          <t>Venture Capital</t>
        </is>
      </c>
      <c r="BP429" s="76" t="inlineStr">
        <is>
          <t/>
        </is>
      </c>
      <c r="BQ429" s="77" t="inlineStr">
        <is>
          <t/>
        </is>
      </c>
      <c r="BR429" s="78" t="inlineStr">
        <is>
          <t/>
        </is>
      </c>
      <c r="BS429" s="79" t="inlineStr">
        <is>
          <t>Completed</t>
        </is>
      </c>
      <c r="BT429" s="80" t="n">
        <v>42653.0</v>
      </c>
      <c r="BU429" s="81" t="n">
        <v>9.05</v>
      </c>
      <c r="BV429" s="82" t="inlineStr">
        <is>
          <t>Actual</t>
        </is>
      </c>
      <c r="BW429" s="83" t="inlineStr">
        <is>
          <t/>
        </is>
      </c>
      <c r="BX429" s="84" t="inlineStr">
        <is>
          <t/>
        </is>
      </c>
      <c r="BY429" s="85" t="inlineStr">
        <is>
          <t>Early Stage VC</t>
        </is>
      </c>
      <c r="BZ429" s="86" t="inlineStr">
        <is>
          <t/>
        </is>
      </c>
      <c r="CA429" s="87" t="inlineStr">
        <is>
          <t/>
        </is>
      </c>
      <c r="CB429" s="88" t="inlineStr">
        <is>
          <t>Venture Capital</t>
        </is>
      </c>
      <c r="CC429" s="89" t="inlineStr">
        <is>
          <t/>
        </is>
      </c>
      <c r="CD429" s="90" t="inlineStr">
        <is>
          <t/>
        </is>
      </c>
      <c r="CE429" s="91" t="inlineStr">
        <is>
          <t/>
        </is>
      </c>
      <c r="CF429" s="92" t="inlineStr">
        <is>
          <t>Completed</t>
        </is>
      </c>
      <c r="CG429" s="93" t="inlineStr">
        <is>
          <t>0,39%</t>
        </is>
      </c>
      <c r="CH429" s="94" t="inlineStr">
        <is>
          <t>82</t>
        </is>
      </c>
      <c r="CI429" s="95" t="inlineStr">
        <is>
          <t>-0,02%</t>
        </is>
      </c>
      <c r="CJ429" s="96" t="inlineStr">
        <is>
          <t>-3,98%</t>
        </is>
      </c>
      <c r="CK429" s="97" t="inlineStr">
        <is>
          <t>0,00%</t>
        </is>
      </c>
      <c r="CL429" s="98" t="inlineStr">
        <is>
          <t>18</t>
        </is>
      </c>
      <c r="CM429" s="99" t="inlineStr">
        <is>
          <t>0,77%</t>
        </is>
      </c>
      <c r="CN429" s="100" t="inlineStr">
        <is>
          <t>94</t>
        </is>
      </c>
      <c r="CO429" s="101" t="inlineStr">
        <is>
          <t/>
        </is>
      </c>
      <c r="CP429" s="102" t="inlineStr">
        <is>
          <t/>
        </is>
      </c>
      <c r="CQ429" s="103" t="inlineStr">
        <is>
          <t>0,00%</t>
        </is>
      </c>
      <c r="CR429" s="104" t="inlineStr">
        <is>
          <t>13</t>
        </is>
      </c>
      <c r="CS429" s="105" t="inlineStr">
        <is>
          <t>0,96%</t>
        </is>
      </c>
      <c r="CT429" s="106" t="inlineStr">
        <is>
          <t>94</t>
        </is>
      </c>
      <c r="CU429" s="107" t="inlineStr">
        <is>
          <t>0,59%</t>
        </is>
      </c>
      <c r="CV429" s="108" t="inlineStr">
        <is>
          <t>93</t>
        </is>
      </c>
      <c r="CW429" s="109" t="inlineStr">
        <is>
          <t>0,85x</t>
        </is>
      </c>
      <c r="CX429" s="110" t="inlineStr">
        <is>
          <t>45</t>
        </is>
      </c>
      <c r="CY429" s="111" t="inlineStr">
        <is>
          <t>0,02x</t>
        </is>
      </c>
      <c r="CZ429" s="112" t="inlineStr">
        <is>
          <t>2,69%</t>
        </is>
      </c>
      <c r="DA429" s="113" t="inlineStr">
        <is>
          <t>0,28x</t>
        </is>
      </c>
      <c r="DB429" s="114" t="inlineStr">
        <is>
          <t>25</t>
        </is>
      </c>
      <c r="DC429" s="115" t="inlineStr">
        <is>
          <t>1,43x</t>
        </is>
      </c>
      <c r="DD429" s="116" t="inlineStr">
        <is>
          <t>55</t>
        </is>
      </c>
      <c r="DE429" s="117" t="inlineStr">
        <is>
          <t/>
        </is>
      </c>
      <c r="DF429" s="118" t="inlineStr">
        <is>
          <t/>
        </is>
      </c>
      <c r="DG429" s="119" t="inlineStr">
        <is>
          <t>0,28x</t>
        </is>
      </c>
      <c r="DH429" s="120" t="inlineStr">
        <is>
          <t>25</t>
        </is>
      </c>
      <c r="DI429" s="121" t="inlineStr">
        <is>
          <t>0,76x</t>
        </is>
      </c>
      <c r="DJ429" s="122" t="inlineStr">
        <is>
          <t>46</t>
        </is>
      </c>
      <c r="DK429" s="123" t="inlineStr">
        <is>
          <t>2,10x</t>
        </is>
      </c>
      <c r="DL429" s="124" t="inlineStr">
        <is>
          <t>64</t>
        </is>
      </c>
      <c r="DM429" s="125" t="inlineStr">
        <is>
          <t>82</t>
        </is>
      </c>
      <c r="DN429" s="126" t="inlineStr">
        <is>
          <t>1</t>
        </is>
      </c>
      <c r="DO429" s="127" t="inlineStr">
        <is>
          <t>1,23%</t>
        </is>
      </c>
      <c r="DP429" s="128" t="inlineStr">
        <is>
          <t>601</t>
        </is>
      </c>
      <c r="DQ429" s="129" t="inlineStr">
        <is>
          <t>10</t>
        </is>
      </c>
      <c r="DR429" s="130" t="inlineStr">
        <is>
          <t>1,69%</t>
        </is>
      </c>
      <c r="DS429" s="131" t="inlineStr">
        <is>
          <t>10</t>
        </is>
      </c>
      <c r="DT429" s="132" t="inlineStr">
        <is>
          <t>0</t>
        </is>
      </c>
      <c r="DU429" s="133" t="inlineStr">
        <is>
          <t>0,00%</t>
        </is>
      </c>
      <c r="DV429" s="134" t="inlineStr">
        <is>
          <t>718</t>
        </is>
      </c>
      <c r="DW429" s="135" t="inlineStr">
        <is>
          <t>0</t>
        </is>
      </c>
      <c r="DX429" s="136" t="inlineStr">
        <is>
          <t>0,00%</t>
        </is>
      </c>
      <c r="DY429" s="137" t="inlineStr">
        <is>
          <t>PitchBook Research</t>
        </is>
      </c>
      <c r="DZ429" s="785">
        <f>HYPERLINK("https://my.pitchbook.com?c=156143-62", "View company online")</f>
      </c>
    </row>
    <row r="430">
      <c r="A430" s="139" t="inlineStr">
        <is>
          <t>55613-26</t>
        </is>
      </c>
      <c r="B430" s="140" t="inlineStr">
        <is>
          <t>SumUp</t>
        </is>
      </c>
      <c r="C430" s="141" t="inlineStr">
        <is>
          <t/>
        </is>
      </c>
      <c r="D430" s="142" t="inlineStr">
        <is>
          <t/>
        </is>
      </c>
      <c r="E430" s="143" t="inlineStr">
        <is>
          <t>55613-26</t>
        </is>
      </c>
      <c r="F430" s="144" t="inlineStr">
        <is>
          <t>Provider of a mobile point-of-sale application designed to help in card transaction. The company's end-to-end payments platform offers a card terminal to accept credit and debit cards, using smartphones or tablets, in a secure and cost-effective way, enabling small merchants to accept card payments.</t>
        </is>
      </c>
      <c r="G430" s="145" t="inlineStr">
        <is>
          <t>Financial Services</t>
        </is>
      </c>
      <c r="H430" s="146" t="inlineStr">
        <is>
          <t>Other Financial Services</t>
        </is>
      </c>
      <c r="I430" s="147" t="inlineStr">
        <is>
          <t>Other Financial Services</t>
        </is>
      </c>
      <c r="J430" s="148" t="inlineStr">
        <is>
          <t>Other Financial Services*; Application Software; Financial Software</t>
        </is>
      </c>
      <c r="K430" s="149" t="inlineStr">
        <is>
          <t>FinTech, Mobile</t>
        </is>
      </c>
      <c r="L430" s="150" t="inlineStr">
        <is>
          <t>Venture Capital-Backed</t>
        </is>
      </c>
      <c r="M430" s="151" t="n">
        <v>35.9</v>
      </c>
      <c r="N430" s="152" t="inlineStr">
        <is>
          <t>Generating Revenue</t>
        </is>
      </c>
      <c r="O430" s="153" t="inlineStr">
        <is>
          <t>Privately Held (backing)</t>
        </is>
      </c>
      <c r="P430" s="154" t="inlineStr">
        <is>
          <t>Venture Capital</t>
        </is>
      </c>
      <c r="Q430" s="155" t="inlineStr">
        <is>
          <t>www.sumup.co.uk</t>
        </is>
      </c>
      <c r="R430" s="156" t="n">
        <v>500.0</v>
      </c>
      <c r="S430" s="157" t="inlineStr">
        <is>
          <t/>
        </is>
      </c>
      <c r="T430" s="158" t="inlineStr">
        <is>
          <t/>
        </is>
      </c>
      <c r="U430" s="159" t="n">
        <v>2012.0</v>
      </c>
      <c r="V430" s="160" t="inlineStr">
        <is>
          <t/>
        </is>
      </c>
      <c r="W430" s="161" t="inlineStr">
        <is>
          <t/>
        </is>
      </c>
      <c r="X430" s="162" t="inlineStr">
        <is>
          <t/>
        </is>
      </c>
      <c r="Y430" s="163" t="n">
        <v>94.859</v>
      </c>
      <c r="Z430" s="164" t="inlineStr">
        <is>
          <t/>
        </is>
      </c>
      <c r="AA430" s="165" t="inlineStr">
        <is>
          <t/>
        </is>
      </c>
      <c r="AB430" s="166" t="inlineStr">
        <is>
          <t/>
        </is>
      </c>
      <c r="AC430" s="167" t="inlineStr">
        <is>
          <t/>
        </is>
      </c>
      <c r="AD430" s="168" t="inlineStr">
        <is>
          <t>FY 2016</t>
        </is>
      </c>
      <c r="AE430" s="169" t="inlineStr">
        <is>
          <t>49838-95P</t>
        </is>
      </c>
      <c r="AF430" s="170" t="inlineStr">
        <is>
          <t>Daniel Klein</t>
        </is>
      </c>
      <c r="AG430" s="171" t="inlineStr">
        <is>
          <t>Co-Founder, Board Member &amp; Chief Executive Officer</t>
        </is>
      </c>
      <c r="AH430" s="172" t="inlineStr">
        <is>
          <t>daniel.klein@sumup.com</t>
        </is>
      </c>
      <c r="AI430" s="173" t="inlineStr">
        <is>
          <t>+44 (0)20 3510 0160</t>
        </is>
      </c>
      <c r="AJ430" s="174" t="inlineStr">
        <is>
          <t>London, United Kingdom</t>
        </is>
      </c>
      <c r="AK430" s="175" t="inlineStr">
        <is>
          <t>32 - 34 Great Marlborough Street</t>
        </is>
      </c>
      <c r="AL430" s="176" t="inlineStr">
        <is>
          <t/>
        </is>
      </c>
      <c r="AM430" s="177" t="inlineStr">
        <is>
          <t>London</t>
        </is>
      </c>
      <c r="AN430" s="178" t="inlineStr">
        <is>
          <t>England</t>
        </is>
      </c>
      <c r="AO430" s="179" t="inlineStr">
        <is>
          <t>W1F 7JB</t>
        </is>
      </c>
      <c r="AP430" s="180" t="inlineStr">
        <is>
          <t>United Kingdom</t>
        </is>
      </c>
      <c r="AQ430" s="181" t="inlineStr">
        <is>
          <t>+44 (0)20 3510 0160</t>
        </is>
      </c>
      <c r="AR430" s="182" t="inlineStr">
        <is>
          <t/>
        </is>
      </c>
      <c r="AS430" s="183" t="inlineStr">
        <is>
          <t>info@sumup.com</t>
        </is>
      </c>
      <c r="AT430" s="184" t="inlineStr">
        <is>
          <t>Europe</t>
        </is>
      </c>
      <c r="AU430" s="185" t="inlineStr">
        <is>
          <t>Western Europe</t>
        </is>
      </c>
      <c r="AV430" s="186" t="inlineStr">
        <is>
          <t>The company raised EUR 10 million of venture funding from Propel Venture Partners, Groupon and American Express Ventures on August 27, 2015. Other undisclosed investors also participated. The company plans to use the new investment to expand into new markets by planning to launching in two more countries this year, increasing it's country footprint to 15 and covering three continents, to enhance company's technology leadership position by rolling out the new contactless generation of its end-to-end payment platform which encompasses a proprietary and certified payments gateway as well as in-house hardware and operations systems and to support the development of new services. Previously, the company raised an undisclosed amount of venture funding from VI Partners on June 10, 2015.</t>
        </is>
      </c>
      <c r="AW430" s="187" t="inlineStr">
        <is>
          <t>American Express Ventures, btov Partners, Daniel Gutenberg, Groupon, Holtzbrinck Ventures, Klaus Hommels, Life.SREDA VC, Propel Venture Partners, Raffay, Shortcut Ventures, TA Ventures, Tengelmann Ventures, VI Partners</t>
        </is>
      </c>
      <c r="AX430" s="188" t="n">
        <v>13.0</v>
      </c>
      <c r="AY430" s="189" t="inlineStr">
        <is>
          <t/>
        </is>
      </c>
      <c r="AZ430" s="190" t="inlineStr">
        <is>
          <t/>
        </is>
      </c>
      <c r="BA430" s="191" t="inlineStr">
        <is>
          <t/>
        </is>
      </c>
      <c r="BB430" s="192" t="inlineStr">
        <is>
          <t>btov Partners (www.btov.vc), Daniel Gutenberg (www.gutenberg.ch), Groupon (www.groupon.com), Holtzbrinck Ventures (www.holtzbrinck-ventures.com), Life.SREDA VC (www.sreda.vc), Propel Venture Partners (www.propel.vc), Raffay (www.raffay.com), Shortcut Ventures (www.shortcut.vc), TA Ventures (www.taventures.vc), Tengelmann Ventures (www.tev.de), VI Partners (www.vipartners.ch)</t>
        </is>
      </c>
      <c r="BC430" s="193" t="inlineStr">
        <is>
          <t/>
        </is>
      </c>
      <c r="BD430" s="194" t="inlineStr">
        <is>
          <t/>
        </is>
      </c>
      <c r="BE430" s="195" t="inlineStr">
        <is>
          <t>Financial Technology Partners (Advisor), Morgan, Lewis &amp; Bockius (Legal Advisor), Wilkins Kennedy (Auditor)</t>
        </is>
      </c>
      <c r="BF430" s="196" t="inlineStr">
        <is>
          <t>Financial Technology Partners (Advisor), Morgan, Lewis &amp; Bockius (Legal Advisor), Go4Venture (Advisor)</t>
        </is>
      </c>
      <c r="BG430" s="197" t="n">
        <v>41144.0</v>
      </c>
      <c r="BH430" s="198" t="n">
        <v>16.15</v>
      </c>
      <c r="BI430" s="199" t="inlineStr">
        <is>
          <t>Actual</t>
        </is>
      </c>
      <c r="BJ430" s="200" t="inlineStr">
        <is>
          <t/>
        </is>
      </c>
      <c r="BK430" s="201" t="inlineStr">
        <is>
          <t/>
        </is>
      </c>
      <c r="BL430" s="202" t="inlineStr">
        <is>
          <t>Early Stage VC</t>
        </is>
      </c>
      <c r="BM430" s="203" t="inlineStr">
        <is>
          <t>Series A</t>
        </is>
      </c>
      <c r="BN430" s="204" t="inlineStr">
        <is>
          <t/>
        </is>
      </c>
      <c r="BO430" s="205" t="inlineStr">
        <is>
          <t>Venture Capital</t>
        </is>
      </c>
      <c r="BP430" s="206" t="inlineStr">
        <is>
          <t/>
        </is>
      </c>
      <c r="BQ430" s="207" t="inlineStr">
        <is>
          <t/>
        </is>
      </c>
      <c r="BR430" s="208" t="inlineStr">
        <is>
          <t/>
        </is>
      </c>
      <c r="BS430" s="209" t="inlineStr">
        <is>
          <t>Completed</t>
        </is>
      </c>
      <c r="BT430" s="210" t="n">
        <v>42243.0</v>
      </c>
      <c r="BU430" s="211" t="n">
        <v>10.0</v>
      </c>
      <c r="BV430" s="212" t="inlineStr">
        <is>
          <t>Actual</t>
        </is>
      </c>
      <c r="BW430" s="213" t="inlineStr">
        <is>
          <t/>
        </is>
      </c>
      <c r="BX430" s="214" t="inlineStr">
        <is>
          <t/>
        </is>
      </c>
      <c r="BY430" s="215" t="inlineStr">
        <is>
          <t>Later Stage VC</t>
        </is>
      </c>
      <c r="BZ430" s="216" t="inlineStr">
        <is>
          <t/>
        </is>
      </c>
      <c r="CA430" s="217" t="inlineStr">
        <is>
          <t/>
        </is>
      </c>
      <c r="CB430" s="218" t="inlineStr">
        <is>
          <t>Venture Capital</t>
        </is>
      </c>
      <c r="CC430" s="219" t="inlineStr">
        <is>
          <t/>
        </is>
      </c>
      <c r="CD430" s="220" t="inlineStr">
        <is>
          <t/>
        </is>
      </c>
      <c r="CE430" s="221" t="inlineStr">
        <is>
          <t/>
        </is>
      </c>
      <c r="CF430" s="222" t="inlineStr">
        <is>
          <t>Completed</t>
        </is>
      </c>
      <c r="CG430" s="223" t="inlineStr">
        <is>
          <t>1,16%</t>
        </is>
      </c>
      <c r="CH430" s="224" t="inlineStr">
        <is>
          <t>90</t>
        </is>
      </c>
      <c r="CI430" s="225" t="inlineStr">
        <is>
          <t>0,06%</t>
        </is>
      </c>
      <c r="CJ430" s="226" t="inlineStr">
        <is>
          <t>5,27%</t>
        </is>
      </c>
      <c r="CK430" s="227" t="inlineStr">
        <is>
          <t>1,33%</t>
        </is>
      </c>
      <c r="CL430" s="228" t="inlineStr">
        <is>
          <t>88</t>
        </is>
      </c>
      <c r="CM430" s="229" t="inlineStr">
        <is>
          <t>0,99%</t>
        </is>
      </c>
      <c r="CN430" s="230" t="inlineStr">
        <is>
          <t>96</t>
        </is>
      </c>
      <c r="CO430" s="231" t="inlineStr">
        <is>
          <t>2,66%</t>
        </is>
      </c>
      <c r="CP430" s="232" t="inlineStr">
        <is>
          <t>91</t>
        </is>
      </c>
      <c r="CQ430" s="233" t="inlineStr">
        <is>
          <t>0,00%</t>
        </is>
      </c>
      <c r="CR430" s="234" t="inlineStr">
        <is>
          <t>13</t>
        </is>
      </c>
      <c r="CS430" s="235" t="inlineStr">
        <is>
          <t>0,90%</t>
        </is>
      </c>
      <c r="CT430" s="236" t="inlineStr">
        <is>
          <t>94</t>
        </is>
      </c>
      <c r="CU430" s="237" t="inlineStr">
        <is>
          <t>1,08%</t>
        </is>
      </c>
      <c r="CV430" s="238" t="inlineStr">
        <is>
          <t>97</t>
        </is>
      </c>
      <c r="CW430" s="239" t="inlineStr">
        <is>
          <t>156,79x</t>
        </is>
      </c>
      <c r="CX430" s="240" t="inlineStr">
        <is>
          <t>98</t>
        </is>
      </c>
      <c r="CY430" s="241" t="inlineStr">
        <is>
          <t>6,11x</t>
        </is>
      </c>
      <c r="CZ430" s="242" t="inlineStr">
        <is>
          <t>4,06%</t>
        </is>
      </c>
      <c r="DA430" s="243" t="inlineStr">
        <is>
          <t>11,14x</t>
        </is>
      </c>
      <c r="DB430" s="244" t="inlineStr">
        <is>
          <t>88</t>
        </is>
      </c>
      <c r="DC430" s="245" t="inlineStr">
        <is>
          <t>302,44x</t>
        </is>
      </c>
      <c r="DD430" s="246" t="inlineStr">
        <is>
          <t>99</t>
        </is>
      </c>
      <c r="DE430" s="247" t="inlineStr">
        <is>
          <t>20,58x</t>
        </is>
      </c>
      <c r="DF430" s="248" t="inlineStr">
        <is>
          <t>89</t>
        </is>
      </c>
      <c r="DG430" s="249" t="inlineStr">
        <is>
          <t>1,69x</t>
        </is>
      </c>
      <c r="DH430" s="250" t="inlineStr">
        <is>
          <t>61</t>
        </is>
      </c>
      <c r="DI430" s="251" t="inlineStr">
        <is>
          <t>599,82x</t>
        </is>
      </c>
      <c r="DJ430" s="252" t="inlineStr">
        <is>
          <t>99</t>
        </is>
      </c>
      <c r="DK430" s="253" t="inlineStr">
        <is>
          <t>5,05x</t>
        </is>
      </c>
      <c r="DL430" s="254" t="inlineStr">
        <is>
          <t>78</t>
        </is>
      </c>
      <c r="DM430" s="255" t="inlineStr">
        <is>
          <t>12.358</t>
        </is>
      </c>
      <c r="DN430" s="256" t="inlineStr">
        <is>
          <t>887</t>
        </is>
      </c>
      <c r="DO430" s="257" t="inlineStr">
        <is>
          <t>7,73%</t>
        </is>
      </c>
      <c r="DP430" s="258" t="inlineStr">
        <is>
          <t>476.362</t>
        </is>
      </c>
      <c r="DQ430" s="259" t="inlineStr">
        <is>
          <t>12.148</t>
        </is>
      </c>
      <c r="DR430" s="260" t="inlineStr">
        <is>
          <t>2,62%</t>
        </is>
      </c>
      <c r="DS430" s="261" t="inlineStr">
        <is>
          <t>61</t>
        </is>
      </c>
      <c r="DT430" s="262" t="inlineStr">
        <is>
          <t>-3</t>
        </is>
      </c>
      <c r="DU430" s="263" t="inlineStr">
        <is>
          <t>-4,69%</t>
        </is>
      </c>
      <c r="DV430" s="264" t="inlineStr">
        <is>
          <t>1.724</t>
        </is>
      </c>
      <c r="DW430" s="265" t="inlineStr">
        <is>
          <t>18</t>
        </is>
      </c>
      <c r="DX430" s="266" t="inlineStr">
        <is>
          <t>1,06%</t>
        </is>
      </c>
      <c r="DY430" s="267" t="inlineStr">
        <is>
          <t>PitchBook Research</t>
        </is>
      </c>
      <c r="DZ430" s="786">
        <f>HYPERLINK("https://my.pitchbook.com?c=55613-26", "View company online")</f>
      </c>
    </row>
    <row r="431">
      <c r="A431" s="9" t="inlineStr">
        <is>
          <t>56136-43</t>
        </is>
      </c>
      <c r="B431" s="10" t="inlineStr">
        <is>
          <t>SuperAwesome</t>
        </is>
      </c>
      <c r="C431" s="11" t="inlineStr">
        <is>
          <t/>
        </is>
      </c>
      <c r="D431" s="12" t="inlineStr">
        <is>
          <t/>
        </is>
      </c>
      <c r="E431" s="13" t="inlineStr">
        <is>
          <t>56136-43</t>
        </is>
      </c>
      <c r="F431" s="14" t="inlineStr">
        <is>
          <t>Developer of a digital marketing platform designed to meet data-privacy requirements of the global kids industry. The company's digital marketing platform provides a safe and COPPA-compliant environment, enabling advertisers to deliver high performing brand campaigns and reach under-13 kids safely and effectively.</t>
        </is>
      </c>
      <c r="G431" s="15" t="inlineStr">
        <is>
          <t>Information Technology</t>
        </is>
      </c>
      <c r="H431" s="16" t="inlineStr">
        <is>
          <t>Software</t>
        </is>
      </c>
      <c r="I431" s="17" t="inlineStr">
        <is>
          <t>Business/Productivity Software</t>
        </is>
      </c>
      <c r="J431" s="18" t="inlineStr">
        <is>
          <t>Business/Productivity Software*; Information Services (B2C)</t>
        </is>
      </c>
      <c r="K431" s="19" t="inlineStr">
        <is>
          <t>AdTech</t>
        </is>
      </c>
      <c r="L431" s="20" t="inlineStr">
        <is>
          <t>Venture Capital-Backed</t>
        </is>
      </c>
      <c r="M431" s="21" t="n">
        <v>26.01</v>
      </c>
      <c r="N431" s="22" t="inlineStr">
        <is>
          <t>Profitable</t>
        </is>
      </c>
      <c r="O431" s="23" t="inlineStr">
        <is>
          <t>Privately Held (backing)</t>
        </is>
      </c>
      <c r="P431" s="24" t="inlineStr">
        <is>
          <t>Venture Capital</t>
        </is>
      </c>
      <c r="Q431" s="25" t="inlineStr">
        <is>
          <t>www.superawesome.tv</t>
        </is>
      </c>
      <c r="R431" s="26" t="n">
        <v>80.0</v>
      </c>
      <c r="S431" s="27" t="inlineStr">
        <is>
          <t/>
        </is>
      </c>
      <c r="T431" s="28" t="inlineStr">
        <is>
          <t/>
        </is>
      </c>
      <c r="U431" s="29" t="n">
        <v>2013.0</v>
      </c>
      <c r="V431" s="30" t="inlineStr">
        <is>
          <t/>
        </is>
      </c>
      <c r="W431" s="31" t="inlineStr">
        <is>
          <t/>
        </is>
      </c>
      <c r="X431" s="32" t="inlineStr">
        <is>
          <t/>
        </is>
      </c>
      <c r="Y431" s="33" t="inlineStr">
        <is>
          <t/>
        </is>
      </c>
      <c r="Z431" s="34" t="inlineStr">
        <is>
          <t/>
        </is>
      </c>
      <c r="AA431" s="35" t="inlineStr">
        <is>
          <t/>
        </is>
      </c>
      <c r="AB431" s="36" t="inlineStr">
        <is>
          <t/>
        </is>
      </c>
      <c r="AC431" s="37" t="inlineStr">
        <is>
          <t/>
        </is>
      </c>
      <c r="AD431" s="38" t="inlineStr">
        <is>
          <t>FY 2014</t>
        </is>
      </c>
      <c r="AE431" s="39" t="inlineStr">
        <is>
          <t>55214-20P</t>
        </is>
      </c>
      <c r="AF431" s="40" t="inlineStr">
        <is>
          <t>Dylan Collins</t>
        </is>
      </c>
      <c r="AG431" s="41" t="inlineStr">
        <is>
          <t>Co-Founder, Board Member &amp; Chief Executive Officer</t>
        </is>
      </c>
      <c r="AH431" s="42" t="inlineStr">
        <is>
          <t>dylan@superawesome.tv</t>
        </is>
      </c>
      <c r="AI431" s="43" t="inlineStr">
        <is>
          <t>+44 (0)20 3668 6677</t>
        </is>
      </c>
      <c r="AJ431" s="44" t="inlineStr">
        <is>
          <t>London, United Kingdom</t>
        </is>
      </c>
      <c r="AK431" s="45" t="inlineStr">
        <is>
          <t>40 Long Acre</t>
        </is>
      </c>
      <c r="AL431" s="46" t="inlineStr">
        <is>
          <t/>
        </is>
      </c>
      <c r="AM431" s="47" t="inlineStr">
        <is>
          <t>London</t>
        </is>
      </c>
      <c r="AN431" s="48" t="inlineStr">
        <is>
          <t>England</t>
        </is>
      </c>
      <c r="AO431" s="49" t="inlineStr">
        <is>
          <t>WC2E 9LG</t>
        </is>
      </c>
      <c r="AP431" s="50" t="inlineStr">
        <is>
          <t>United Kingdom</t>
        </is>
      </c>
      <c r="AQ431" s="51" t="inlineStr">
        <is>
          <t>+44 (0)20 3668 6677</t>
        </is>
      </c>
      <c r="AR431" s="52" t="inlineStr">
        <is>
          <t/>
        </is>
      </c>
      <c r="AS431" s="53" t="inlineStr">
        <is>
          <t>enquiries@superawesome.tv</t>
        </is>
      </c>
      <c r="AT431" s="54" t="inlineStr">
        <is>
          <t>Europe</t>
        </is>
      </c>
      <c r="AU431" s="55" t="inlineStr">
        <is>
          <t>Western Europe</t>
        </is>
      </c>
      <c r="AV431" s="56" t="inlineStr">
        <is>
          <t>The company raised $21 million of Series B development capital from Mayfair Equity Partners on August 31, 2017. The company intends to use the funds to continue to develop its offering and expand operations. SuperAwesome is reportedly pursuing plans for an IPO, which will value the company up to GBP 200 million.</t>
        </is>
      </c>
      <c r="AW431" s="57" t="inlineStr">
        <is>
          <t>Blue Wire Capital, Henry Chamberlain, Hoxton Ventures, IBIS Capital, Inspire Ventures, Jamie Kirkwood, Mayfair Equity Partners, Nigel Wray, OMAC Investments, Sandbox &amp; Co., The International Conclave of Entrepreneurs, Twenty Ten Capital</t>
        </is>
      </c>
      <c r="AX431" s="58" t="n">
        <v>12.0</v>
      </c>
      <c r="AY431" s="59" t="inlineStr">
        <is>
          <t/>
        </is>
      </c>
      <c r="AZ431" s="60" t="inlineStr">
        <is>
          <t/>
        </is>
      </c>
      <c r="BA431" s="61" t="inlineStr">
        <is>
          <t/>
        </is>
      </c>
      <c r="BB431" s="62" t="inlineStr">
        <is>
          <t>Blue Wire Capital (bluewirecapital.com), Hoxton Ventures (www.hoxtonventures.com), IBIS Capital (www.ibiscap.com), Mayfair Equity Partners (www.mayfairequity.com), Sandbox &amp; Co. (www.sandboxandco.com), The International Conclave of Entrepreneurs (www.icelist.eu)</t>
        </is>
      </c>
      <c r="BC431" s="63" t="inlineStr">
        <is>
          <t/>
        </is>
      </c>
      <c r="BD431" s="64" t="inlineStr">
        <is>
          <t/>
        </is>
      </c>
      <c r="BE431" s="65" t="inlineStr">
        <is>
          <t>Future Fifty (Consulting), Orrick Herrington &amp; Sutcliffe (Legal Advisor)</t>
        </is>
      </c>
      <c r="BF431" s="66" t="inlineStr">
        <is>
          <t>Orrick Herrington &amp; Sutcliffe (Legal Advisor)</t>
        </is>
      </c>
      <c r="BG431" s="67" t="n">
        <v>41319.0</v>
      </c>
      <c r="BH431" s="68" t="inlineStr">
        <is>
          <t/>
        </is>
      </c>
      <c r="BI431" s="69" t="inlineStr">
        <is>
          <t/>
        </is>
      </c>
      <c r="BJ431" s="70" t="inlineStr">
        <is>
          <t/>
        </is>
      </c>
      <c r="BK431" s="71" t="inlineStr">
        <is>
          <t/>
        </is>
      </c>
      <c r="BL431" s="72" t="inlineStr">
        <is>
          <t>Early Stage VC</t>
        </is>
      </c>
      <c r="BM431" s="73" t="inlineStr">
        <is>
          <t/>
        </is>
      </c>
      <c r="BN431" s="74" t="inlineStr">
        <is>
          <t/>
        </is>
      </c>
      <c r="BO431" s="75" t="inlineStr">
        <is>
          <t>Venture Capital</t>
        </is>
      </c>
      <c r="BP431" s="76" t="inlineStr">
        <is>
          <t/>
        </is>
      </c>
      <c r="BQ431" s="77" t="inlineStr">
        <is>
          <t/>
        </is>
      </c>
      <c r="BR431" s="78" t="inlineStr">
        <is>
          <t/>
        </is>
      </c>
      <c r="BS431" s="79" t="inlineStr">
        <is>
          <t>Completed</t>
        </is>
      </c>
      <c r="BT431" s="80" t="n">
        <v>42978.0</v>
      </c>
      <c r="BU431" s="81" t="n">
        <v>17.78</v>
      </c>
      <c r="BV431" s="82" t="inlineStr">
        <is>
          <t>Actual</t>
        </is>
      </c>
      <c r="BW431" s="83" t="inlineStr">
        <is>
          <t/>
        </is>
      </c>
      <c r="BX431" s="84" t="inlineStr">
        <is>
          <t/>
        </is>
      </c>
      <c r="BY431" s="85" t="inlineStr">
        <is>
          <t>Early Stage VC</t>
        </is>
      </c>
      <c r="BZ431" s="86" t="inlineStr">
        <is>
          <t>Series B</t>
        </is>
      </c>
      <c r="CA431" s="87" t="inlineStr">
        <is>
          <t/>
        </is>
      </c>
      <c r="CB431" s="88" t="inlineStr">
        <is>
          <t>Venture Capital</t>
        </is>
      </c>
      <c r="CC431" s="89" t="inlineStr">
        <is>
          <t/>
        </is>
      </c>
      <c r="CD431" s="90" t="inlineStr">
        <is>
          <t/>
        </is>
      </c>
      <c r="CE431" s="91" t="inlineStr">
        <is>
          <t/>
        </is>
      </c>
      <c r="CF431" s="92" t="inlineStr">
        <is>
          <t>Completed</t>
        </is>
      </c>
      <c r="CG431" s="93" t="inlineStr">
        <is>
          <t>-0,67%</t>
        </is>
      </c>
      <c r="CH431" s="94" t="inlineStr">
        <is>
          <t>7</t>
        </is>
      </c>
      <c r="CI431" s="95" t="inlineStr">
        <is>
          <t>0,09%</t>
        </is>
      </c>
      <c r="CJ431" s="96" t="inlineStr">
        <is>
          <t>11,60%</t>
        </is>
      </c>
      <c r="CK431" s="97" t="inlineStr">
        <is>
          <t>-1,68%</t>
        </is>
      </c>
      <c r="CL431" s="98" t="inlineStr">
        <is>
          <t>6</t>
        </is>
      </c>
      <c r="CM431" s="99" t="inlineStr">
        <is>
          <t>0,34%</t>
        </is>
      </c>
      <c r="CN431" s="100" t="inlineStr">
        <is>
          <t>83</t>
        </is>
      </c>
      <c r="CO431" s="101" t="inlineStr">
        <is>
          <t>-3,46%</t>
        </is>
      </c>
      <c r="CP431" s="102" t="inlineStr">
        <is>
          <t>10</t>
        </is>
      </c>
      <c r="CQ431" s="103" t="inlineStr">
        <is>
          <t>0,10%</t>
        </is>
      </c>
      <c r="CR431" s="104" t="inlineStr">
        <is>
          <t>83</t>
        </is>
      </c>
      <c r="CS431" s="105" t="inlineStr">
        <is>
          <t/>
        </is>
      </c>
      <c r="CT431" s="106" t="inlineStr">
        <is>
          <t/>
        </is>
      </c>
      <c r="CU431" s="107" t="inlineStr">
        <is>
          <t>0,34%</t>
        </is>
      </c>
      <c r="CV431" s="108" t="inlineStr">
        <is>
          <t>86</t>
        </is>
      </c>
      <c r="CW431" s="109" t="inlineStr">
        <is>
          <t>5,77x</t>
        </is>
      </c>
      <c r="CX431" s="110" t="inlineStr">
        <is>
          <t>81</t>
        </is>
      </c>
      <c r="CY431" s="111" t="inlineStr">
        <is>
          <t>0,12x</t>
        </is>
      </c>
      <c r="CZ431" s="112" t="inlineStr">
        <is>
          <t>2,19%</t>
        </is>
      </c>
      <c r="DA431" s="113" t="inlineStr">
        <is>
          <t>6,49x</t>
        </is>
      </c>
      <c r="DB431" s="114" t="inlineStr">
        <is>
          <t>83</t>
        </is>
      </c>
      <c r="DC431" s="115" t="inlineStr">
        <is>
          <t>5,05x</t>
        </is>
      </c>
      <c r="DD431" s="116" t="inlineStr">
        <is>
          <t>76</t>
        </is>
      </c>
      <c r="DE431" s="117" t="inlineStr">
        <is>
          <t>5,86x</t>
        </is>
      </c>
      <c r="DF431" s="118" t="inlineStr">
        <is>
          <t>78</t>
        </is>
      </c>
      <c r="DG431" s="119" t="inlineStr">
        <is>
          <t>7,11x</t>
        </is>
      </c>
      <c r="DH431" s="120" t="inlineStr">
        <is>
          <t>82</t>
        </is>
      </c>
      <c r="DI431" s="121" t="inlineStr">
        <is>
          <t/>
        </is>
      </c>
      <c r="DJ431" s="122" t="inlineStr">
        <is>
          <t/>
        </is>
      </c>
      <c r="DK431" s="123" t="inlineStr">
        <is>
          <t>5,05x</t>
        </is>
      </c>
      <c r="DL431" s="124" t="inlineStr">
        <is>
          <t>78</t>
        </is>
      </c>
      <c r="DM431" s="125" t="inlineStr">
        <is>
          <t>3.575</t>
        </is>
      </c>
      <c r="DN431" s="126" t="inlineStr">
        <is>
          <t>86</t>
        </is>
      </c>
      <c r="DO431" s="127" t="inlineStr">
        <is>
          <t>2,46%</t>
        </is>
      </c>
      <c r="DP431" s="128" t="inlineStr">
        <is>
          <t/>
        </is>
      </c>
      <c r="DQ431" s="129" t="inlineStr">
        <is>
          <t/>
        </is>
      </c>
      <c r="DR431" s="130" t="inlineStr">
        <is>
          <t/>
        </is>
      </c>
      <c r="DS431" s="131" t="inlineStr">
        <is>
          <t>255</t>
        </is>
      </c>
      <c r="DT431" s="132" t="inlineStr">
        <is>
          <t>1</t>
        </is>
      </c>
      <c r="DU431" s="133" t="inlineStr">
        <is>
          <t>0,39%</t>
        </is>
      </c>
      <c r="DV431" s="134" t="inlineStr">
        <is>
          <t>1.729</t>
        </is>
      </c>
      <c r="DW431" s="135" t="inlineStr">
        <is>
          <t>11</t>
        </is>
      </c>
      <c r="DX431" s="136" t="inlineStr">
        <is>
          <t>0,64%</t>
        </is>
      </c>
      <c r="DY431" s="137" t="inlineStr">
        <is>
          <t>PitchBook Research</t>
        </is>
      </c>
      <c r="DZ431" s="785">
        <f>HYPERLINK("https://my.pitchbook.com?c=56136-43", "View company online")</f>
      </c>
    </row>
    <row r="432">
      <c r="A432" s="139" t="inlineStr">
        <is>
          <t>162255-25</t>
        </is>
      </c>
      <c r="B432" s="140" t="inlineStr">
        <is>
          <t>SuperVista</t>
        </is>
      </c>
      <c r="C432" s="141" t="inlineStr">
        <is>
          <t/>
        </is>
      </c>
      <c r="D432" s="142" t="inlineStr">
        <is>
          <t>Brillen.de</t>
        </is>
      </c>
      <c r="E432" s="143" t="inlineStr">
        <is>
          <t>162255-25</t>
        </is>
      </c>
      <c r="F432" s="144" t="inlineStr">
        <is>
          <t>Distributor and supplier of eye wear. The company provides prescription eyewear online and also offers advisory and sales services from affiliated traditional opticians across Germany, Austria, England and Spain.</t>
        </is>
      </c>
      <c r="G432" s="145" t="inlineStr">
        <is>
          <t>Consumer Products and Services (B2C)</t>
        </is>
      </c>
      <c r="H432" s="146" t="inlineStr">
        <is>
          <t>Consumer Non-Durables</t>
        </is>
      </c>
      <c r="I432" s="147" t="inlineStr">
        <is>
          <t>Personal Products</t>
        </is>
      </c>
      <c r="J432" s="148" t="inlineStr">
        <is>
          <t>Personal Products*</t>
        </is>
      </c>
      <c r="K432" s="149" t="inlineStr">
        <is>
          <t/>
        </is>
      </c>
      <c r="L432" s="150" t="inlineStr">
        <is>
          <t>Venture Capital-Backed</t>
        </is>
      </c>
      <c r="M432" s="151" t="n">
        <v>45.37</v>
      </c>
      <c r="N432" s="152" t="inlineStr">
        <is>
          <t>Startup</t>
        </is>
      </c>
      <c r="O432" s="153" t="inlineStr">
        <is>
          <t>Privately Held (backing)</t>
        </is>
      </c>
      <c r="P432" s="154" t="inlineStr">
        <is>
          <t>Venture Capital</t>
        </is>
      </c>
      <c r="Q432" s="155" t="inlineStr">
        <is>
          <t>www.brillen.de</t>
        </is>
      </c>
      <c r="R432" s="156" t="n">
        <v>100.0</v>
      </c>
      <c r="S432" s="157" t="inlineStr">
        <is>
          <t/>
        </is>
      </c>
      <c r="T432" s="158" t="inlineStr">
        <is>
          <t/>
        </is>
      </c>
      <c r="U432" s="159" t="n">
        <v>2012.0</v>
      </c>
      <c r="V432" s="160" t="inlineStr">
        <is>
          <t/>
        </is>
      </c>
      <c r="W432" s="161" t="inlineStr">
        <is>
          <t/>
        </is>
      </c>
      <c r="X432" s="162" t="inlineStr">
        <is>
          <t/>
        </is>
      </c>
      <c r="Y432" s="163" t="n">
        <v>29.99653</v>
      </c>
      <c r="Z432" s="164" t="inlineStr">
        <is>
          <t/>
        </is>
      </c>
      <c r="AA432" s="165" t="inlineStr">
        <is>
          <t/>
        </is>
      </c>
      <c r="AB432" s="166" t="inlineStr">
        <is>
          <t/>
        </is>
      </c>
      <c r="AC432" s="167" t="inlineStr">
        <is>
          <t/>
        </is>
      </c>
      <c r="AD432" s="168" t="inlineStr">
        <is>
          <t>FY 2015</t>
        </is>
      </c>
      <c r="AE432" s="169" t="inlineStr">
        <is>
          <t>139598-38P</t>
        </is>
      </c>
      <c r="AF432" s="170" t="inlineStr">
        <is>
          <t>Matthias Peter</t>
        </is>
      </c>
      <c r="AG432" s="171" t="inlineStr">
        <is>
          <t>Co-Founder, Chief Executive Officer and Board Member</t>
        </is>
      </c>
      <c r="AH432" s="172" t="inlineStr">
        <is>
          <t>m.kamppeter@brillen.de</t>
        </is>
      </c>
      <c r="AI432" s="173" t="inlineStr">
        <is>
          <t>+49 (0)92 1164 9898 0</t>
        </is>
      </c>
      <c r="AJ432" s="174" t="inlineStr">
        <is>
          <t>Berlin, Germany</t>
        </is>
      </c>
      <c r="AK432" s="175" t="inlineStr">
        <is>
          <t>Schmiedestraße 2</t>
        </is>
      </c>
      <c r="AL432" s="176" t="inlineStr">
        <is>
          <t/>
        </is>
      </c>
      <c r="AM432" s="177" t="inlineStr">
        <is>
          <t>Berlin</t>
        </is>
      </c>
      <c r="AN432" s="178" t="inlineStr">
        <is>
          <t/>
        </is>
      </c>
      <c r="AO432" s="179" t="inlineStr">
        <is>
          <t>15745</t>
        </is>
      </c>
      <c r="AP432" s="180" t="inlineStr">
        <is>
          <t>Germany</t>
        </is>
      </c>
      <c r="AQ432" s="181" t="inlineStr">
        <is>
          <t>+49 (0)92 1164 9898 0</t>
        </is>
      </c>
      <c r="AR432" s="182" t="inlineStr">
        <is>
          <t/>
        </is>
      </c>
      <c r="AS432" s="183" t="inlineStr">
        <is>
          <t>presse@brillen.de</t>
        </is>
      </c>
      <c r="AT432" s="184" t="inlineStr">
        <is>
          <t>Europe</t>
        </is>
      </c>
      <c r="AU432" s="185" t="inlineStr">
        <is>
          <t>Western Europe</t>
        </is>
      </c>
      <c r="AV432" s="186" t="inlineStr">
        <is>
          <t>The company raised $50.2 million of venture funding from Technology Crossover Ventures on July 7, 2016. The company will use funds to expand its executive team and enter new markets beyond Germany, Austria, Spain and the UK. The company intends to use the funding to expand its executive team and enter new markets beyond Germany, Austria, Spain and the UK.</t>
        </is>
      </c>
      <c r="AW432" s="187" t="inlineStr">
        <is>
          <t>Technology Crossover Ventures</t>
        </is>
      </c>
      <c r="AX432" s="188" t="n">
        <v>1.0</v>
      </c>
      <c r="AY432" s="189" t="inlineStr">
        <is>
          <t/>
        </is>
      </c>
      <c r="AZ432" s="190" t="inlineStr">
        <is>
          <t/>
        </is>
      </c>
      <c r="BA432" s="191" t="inlineStr">
        <is>
          <t/>
        </is>
      </c>
      <c r="BB432" s="192" t="inlineStr">
        <is>
          <t>Technology Crossover Ventures (www.tcv.com)</t>
        </is>
      </c>
      <c r="BC432" s="193" t="inlineStr">
        <is>
          <t/>
        </is>
      </c>
      <c r="BD432" s="194" t="inlineStr">
        <is>
          <t/>
        </is>
      </c>
      <c r="BE432" s="195" t="inlineStr">
        <is>
          <t/>
        </is>
      </c>
      <c r="BF432" s="196" t="inlineStr">
        <is>
          <t/>
        </is>
      </c>
      <c r="BG432" s="197" t="n">
        <v>42558.0</v>
      </c>
      <c r="BH432" s="198" t="n">
        <v>45.37</v>
      </c>
      <c r="BI432" s="199" t="inlineStr">
        <is>
          <t>Actual</t>
        </is>
      </c>
      <c r="BJ432" s="200" t="inlineStr">
        <is>
          <t/>
        </is>
      </c>
      <c r="BK432" s="201" t="inlineStr">
        <is>
          <t/>
        </is>
      </c>
      <c r="BL432" s="202" t="inlineStr">
        <is>
          <t>Early Stage VC</t>
        </is>
      </c>
      <c r="BM432" s="203" t="inlineStr">
        <is>
          <t/>
        </is>
      </c>
      <c r="BN432" s="204" t="inlineStr">
        <is>
          <t/>
        </is>
      </c>
      <c r="BO432" s="205" t="inlineStr">
        <is>
          <t>Venture Capital</t>
        </is>
      </c>
      <c r="BP432" s="206" t="inlineStr">
        <is>
          <t/>
        </is>
      </c>
      <c r="BQ432" s="207" t="inlineStr">
        <is>
          <t/>
        </is>
      </c>
      <c r="BR432" s="208" t="inlineStr">
        <is>
          <t/>
        </is>
      </c>
      <c r="BS432" s="209" t="inlineStr">
        <is>
          <t>Completed</t>
        </is>
      </c>
      <c r="BT432" s="210" t="n">
        <v>42558.0</v>
      </c>
      <c r="BU432" s="211" t="n">
        <v>45.37</v>
      </c>
      <c r="BV432" s="212" t="inlineStr">
        <is>
          <t>Actual</t>
        </is>
      </c>
      <c r="BW432" s="213" t="inlineStr">
        <is>
          <t/>
        </is>
      </c>
      <c r="BX432" s="214" t="inlineStr">
        <is>
          <t/>
        </is>
      </c>
      <c r="BY432" s="215" t="inlineStr">
        <is>
          <t>Early Stage VC</t>
        </is>
      </c>
      <c r="BZ432" s="216" t="inlineStr">
        <is>
          <t/>
        </is>
      </c>
      <c r="CA432" s="217" t="inlineStr">
        <is>
          <t/>
        </is>
      </c>
      <c r="CB432" s="218" t="inlineStr">
        <is>
          <t>Venture Capital</t>
        </is>
      </c>
      <c r="CC432" s="219" t="inlineStr">
        <is>
          <t/>
        </is>
      </c>
      <c r="CD432" s="220" t="inlineStr">
        <is>
          <t/>
        </is>
      </c>
      <c r="CE432" s="221" t="inlineStr">
        <is>
          <t/>
        </is>
      </c>
      <c r="CF432" s="222" t="inlineStr">
        <is>
          <t>Completed</t>
        </is>
      </c>
      <c r="CG432" s="223" t="inlineStr">
        <is>
          <t>1,89%</t>
        </is>
      </c>
      <c r="CH432" s="224" t="inlineStr">
        <is>
          <t>93</t>
        </is>
      </c>
      <c r="CI432" s="225" t="inlineStr">
        <is>
          <t>0,16%</t>
        </is>
      </c>
      <c r="CJ432" s="226" t="inlineStr">
        <is>
          <t>9,19%</t>
        </is>
      </c>
      <c r="CK432" s="227" t="inlineStr">
        <is>
          <t>3,18%</t>
        </is>
      </c>
      <c r="CL432" s="228" t="inlineStr">
        <is>
          <t>94</t>
        </is>
      </c>
      <c r="CM432" s="229" t="inlineStr">
        <is>
          <t>0,60%</t>
        </is>
      </c>
      <c r="CN432" s="230" t="inlineStr">
        <is>
          <t>92</t>
        </is>
      </c>
      <c r="CO432" s="231" t="inlineStr">
        <is>
          <t>1,66%</t>
        </is>
      </c>
      <c r="CP432" s="232" t="inlineStr">
        <is>
          <t>88</t>
        </is>
      </c>
      <c r="CQ432" s="233" t="inlineStr">
        <is>
          <t>4,71%</t>
        </is>
      </c>
      <c r="CR432" s="234" t="inlineStr">
        <is>
          <t>94</t>
        </is>
      </c>
      <c r="CS432" s="235" t="inlineStr">
        <is>
          <t>1,28%</t>
        </is>
      </c>
      <c r="CT432" s="236" t="inlineStr">
        <is>
          <t>96</t>
        </is>
      </c>
      <c r="CU432" s="237" t="inlineStr">
        <is>
          <t>-0,07%</t>
        </is>
      </c>
      <c r="CV432" s="238" t="inlineStr">
        <is>
          <t>9</t>
        </is>
      </c>
      <c r="CW432" s="239" t="inlineStr">
        <is>
          <t>104,05x</t>
        </is>
      </c>
      <c r="CX432" s="240" t="inlineStr">
        <is>
          <t>98</t>
        </is>
      </c>
      <c r="CY432" s="241" t="inlineStr">
        <is>
          <t>1,63x</t>
        </is>
      </c>
      <c r="CZ432" s="242" t="inlineStr">
        <is>
          <t>1,59%</t>
        </is>
      </c>
      <c r="DA432" s="243" t="inlineStr">
        <is>
          <t>107,27x</t>
        </is>
      </c>
      <c r="DB432" s="244" t="inlineStr">
        <is>
          <t>98</t>
        </is>
      </c>
      <c r="DC432" s="245" t="inlineStr">
        <is>
          <t>100,84x</t>
        </is>
      </c>
      <c r="DD432" s="246" t="inlineStr">
        <is>
          <t>97</t>
        </is>
      </c>
      <c r="DE432" s="247" t="inlineStr">
        <is>
          <t>190,73x</t>
        </is>
      </c>
      <c r="DF432" s="248" t="inlineStr">
        <is>
          <t>97</t>
        </is>
      </c>
      <c r="DG432" s="249" t="inlineStr">
        <is>
          <t>23,81x</t>
        </is>
      </c>
      <c r="DH432" s="250" t="inlineStr">
        <is>
          <t>94</t>
        </is>
      </c>
      <c r="DI432" s="251" t="inlineStr">
        <is>
          <t>182,23x</t>
        </is>
      </c>
      <c r="DJ432" s="252" t="inlineStr">
        <is>
          <t>97</t>
        </is>
      </c>
      <c r="DK432" s="253" t="inlineStr">
        <is>
          <t>19,45x</t>
        </is>
      </c>
      <c r="DL432" s="254" t="inlineStr">
        <is>
          <t>91</t>
        </is>
      </c>
      <c r="DM432" s="255" t="inlineStr">
        <is>
          <t>115.273</t>
        </is>
      </c>
      <c r="DN432" s="256" t="inlineStr">
        <is>
          <t>6.084</t>
        </is>
      </c>
      <c r="DO432" s="257" t="inlineStr">
        <is>
          <t>5,57%</t>
        </is>
      </c>
      <c r="DP432" s="258" t="inlineStr">
        <is>
          <t>145.001</t>
        </is>
      </c>
      <c r="DQ432" s="259" t="inlineStr">
        <is>
          <t>1.467</t>
        </is>
      </c>
      <c r="DR432" s="260" t="inlineStr">
        <is>
          <t>1,02%</t>
        </is>
      </c>
      <c r="DS432" s="261" t="inlineStr">
        <is>
          <t>858</t>
        </is>
      </c>
      <c r="DT432" s="262" t="inlineStr">
        <is>
          <t>24</t>
        </is>
      </c>
      <c r="DU432" s="263" t="inlineStr">
        <is>
          <t>2,88%</t>
        </is>
      </c>
      <c r="DV432" s="264" t="inlineStr">
        <is>
          <t>6.672</t>
        </is>
      </c>
      <c r="DW432" s="265" t="inlineStr">
        <is>
          <t>-1</t>
        </is>
      </c>
      <c r="DX432" s="266" t="inlineStr">
        <is>
          <t>-0,01%</t>
        </is>
      </c>
      <c r="DY432" s="267" t="inlineStr">
        <is>
          <t>PitchBook Research</t>
        </is>
      </c>
      <c r="DZ432" s="786">
        <f>HYPERLINK("https://my.pitchbook.com?c=162255-25", "View company online")</f>
      </c>
    </row>
    <row r="433">
      <c r="A433" s="9" t="inlineStr">
        <is>
          <t>180286-03</t>
        </is>
      </c>
      <c r="B433" s="10" t="inlineStr">
        <is>
          <t>SuperX</t>
        </is>
      </c>
      <c r="C433" s="11" t="inlineStr">
        <is>
          <t/>
        </is>
      </c>
      <c r="D433" s="12" t="inlineStr">
        <is>
          <t/>
        </is>
      </c>
      <c r="E433" s="13" t="inlineStr">
        <is>
          <t>180286-03</t>
        </is>
      </c>
      <c r="F433" s="14" t="inlineStr">
        <is>
          <t>Provider of biopharmaceutical research platform intended to be used for drug discovery and drug development. The company's biopharmaceutical research platform is enhancing drugs which can be used in the blood coagulation cascade so as to specifically block the thrombosis that causes heart attacks and strokes, enabling healthcare institutions and targeted patients with an ideal anticoagulant treatment for chronic use.</t>
        </is>
      </c>
      <c r="G433" s="15" t="inlineStr">
        <is>
          <t>Healthcare</t>
        </is>
      </c>
      <c r="H433" s="16" t="inlineStr">
        <is>
          <t>Pharmaceuticals and Biotechnology</t>
        </is>
      </c>
      <c r="I433" s="17" t="inlineStr">
        <is>
          <t>Drug Discovery</t>
        </is>
      </c>
      <c r="J433" s="18" t="inlineStr">
        <is>
          <t>Drug Discovery*; Biotechnology; Pharmaceuticals</t>
        </is>
      </c>
      <c r="K433" s="19" t="inlineStr">
        <is>
          <t/>
        </is>
      </c>
      <c r="L433" s="20" t="inlineStr">
        <is>
          <t>Venture Capital-Backed</t>
        </is>
      </c>
      <c r="M433" s="21" t="n">
        <v>10.33</v>
      </c>
      <c r="N433" s="22" t="inlineStr">
        <is>
          <t>Startup</t>
        </is>
      </c>
      <c r="O433" s="23" t="inlineStr">
        <is>
          <t>Privately Held (backing)</t>
        </is>
      </c>
      <c r="P433" s="24" t="inlineStr">
        <is>
          <t>Venture Capital</t>
        </is>
      </c>
      <c r="Q433" s="25" t="inlineStr">
        <is>
          <t>www.superxpharma.com</t>
        </is>
      </c>
      <c r="R433" s="26" t="inlineStr">
        <is>
          <t/>
        </is>
      </c>
      <c r="S433" s="27" t="inlineStr">
        <is>
          <t/>
        </is>
      </c>
      <c r="T433" s="28" t="inlineStr">
        <is>
          <t/>
        </is>
      </c>
      <c r="U433" s="29" t="n">
        <v>2016.0</v>
      </c>
      <c r="V433" s="30" t="inlineStr">
        <is>
          <t/>
        </is>
      </c>
      <c r="W433" s="31" t="inlineStr">
        <is>
          <t/>
        </is>
      </c>
      <c r="X433" s="32" t="inlineStr">
        <is>
          <t/>
        </is>
      </c>
      <c r="Y433" s="33" t="inlineStr">
        <is>
          <t/>
        </is>
      </c>
      <c r="Z433" s="34" t="inlineStr">
        <is>
          <t/>
        </is>
      </c>
      <c r="AA433" s="35" t="inlineStr">
        <is>
          <t/>
        </is>
      </c>
      <c r="AB433" s="36" t="inlineStr">
        <is>
          <t/>
        </is>
      </c>
      <c r="AC433" s="37" t="inlineStr">
        <is>
          <t/>
        </is>
      </c>
      <c r="AD433" s="38" t="inlineStr">
        <is>
          <t/>
        </is>
      </c>
      <c r="AE433" s="39" t="inlineStr">
        <is>
          <t>35286-31P</t>
        </is>
      </c>
      <c r="AF433" s="40" t="inlineStr">
        <is>
          <t>David Grainger</t>
        </is>
      </c>
      <c r="AG433" s="41" t="inlineStr">
        <is>
          <t>Chief Executive Officer</t>
        </is>
      </c>
      <c r="AH433" s="42" t="inlineStr">
        <is>
          <t/>
        </is>
      </c>
      <c r="AI433" s="43" t="inlineStr">
        <is>
          <t>+44 (0)12 2383 5968</t>
        </is>
      </c>
      <c r="AJ433" s="44" t="inlineStr">
        <is>
          <t>Cambridge, United Kingdom</t>
        </is>
      </c>
      <c r="AK433" s="45" t="inlineStr">
        <is>
          <t/>
        </is>
      </c>
      <c r="AL433" s="46" t="inlineStr">
        <is>
          <t/>
        </is>
      </c>
      <c r="AM433" s="47" t="inlineStr">
        <is>
          <t>Cambridge</t>
        </is>
      </c>
      <c r="AN433" s="48" t="inlineStr">
        <is>
          <t>England</t>
        </is>
      </c>
      <c r="AO433" s="49" t="inlineStr">
        <is>
          <t/>
        </is>
      </c>
      <c r="AP433" s="50" t="inlineStr">
        <is>
          <t>United Kingdom</t>
        </is>
      </c>
      <c r="AQ433" s="51" t="inlineStr">
        <is>
          <t/>
        </is>
      </c>
      <c r="AR433" s="52" t="inlineStr">
        <is>
          <t/>
        </is>
      </c>
      <c r="AS433" s="53" t="inlineStr">
        <is>
          <t/>
        </is>
      </c>
      <c r="AT433" s="54" t="inlineStr">
        <is>
          <t>Europe</t>
        </is>
      </c>
      <c r="AU433" s="55" t="inlineStr">
        <is>
          <t>Western Europe</t>
        </is>
      </c>
      <c r="AV433" s="56" t="inlineStr">
        <is>
          <t>The company raised $11 million of Series A venture funding in a deal led by Medicxi Ventures on February 9, 2017. Johnson &amp; Johnson Innovation - JJDC also participated in the round. The company will use the funding to develop antibodies with anticoagulant properties.</t>
        </is>
      </c>
      <c r="AW433" s="57" t="inlineStr">
        <is>
          <t>Johnson &amp; Johnson Innovation - JJDC, Medicxi Ventures</t>
        </is>
      </c>
      <c r="AX433" s="58" t="n">
        <v>2.0</v>
      </c>
      <c r="AY433" s="59" t="inlineStr">
        <is>
          <t/>
        </is>
      </c>
      <c r="AZ433" s="60" t="inlineStr">
        <is>
          <t/>
        </is>
      </c>
      <c r="BA433" s="61" t="inlineStr">
        <is>
          <t/>
        </is>
      </c>
      <c r="BB433" s="62" t="inlineStr">
        <is>
          <t>Johnson &amp; Johnson Innovation - JJDC (www.jnjinnovation.com/jjdc), Medicxi Ventures (www.medicxi.com)</t>
        </is>
      </c>
      <c r="BC433" s="63" t="inlineStr">
        <is>
          <t/>
        </is>
      </c>
      <c r="BD433" s="64" t="inlineStr">
        <is>
          <t/>
        </is>
      </c>
      <c r="BE433" s="65" t="inlineStr">
        <is>
          <t/>
        </is>
      </c>
      <c r="BF433" s="66" t="inlineStr">
        <is>
          <t/>
        </is>
      </c>
      <c r="BG433" s="67" t="n">
        <v>42775.0</v>
      </c>
      <c r="BH433" s="68" t="n">
        <v>10.33</v>
      </c>
      <c r="BI433" s="69" t="inlineStr">
        <is>
          <t>Actual</t>
        </is>
      </c>
      <c r="BJ433" s="70" t="inlineStr">
        <is>
          <t/>
        </is>
      </c>
      <c r="BK433" s="71" t="inlineStr">
        <is>
          <t/>
        </is>
      </c>
      <c r="BL433" s="72" t="inlineStr">
        <is>
          <t>Early Stage VC</t>
        </is>
      </c>
      <c r="BM433" s="73" t="inlineStr">
        <is>
          <t>Series A</t>
        </is>
      </c>
      <c r="BN433" s="74" t="inlineStr">
        <is>
          <t/>
        </is>
      </c>
      <c r="BO433" s="75" t="inlineStr">
        <is>
          <t>Venture Capital</t>
        </is>
      </c>
      <c r="BP433" s="76" t="inlineStr">
        <is>
          <t/>
        </is>
      </c>
      <c r="BQ433" s="77" t="inlineStr">
        <is>
          <t/>
        </is>
      </c>
      <c r="BR433" s="78" t="inlineStr">
        <is>
          <t/>
        </is>
      </c>
      <c r="BS433" s="79" t="inlineStr">
        <is>
          <t>Completed</t>
        </is>
      </c>
      <c r="BT433" s="80" t="n">
        <v>42775.0</v>
      </c>
      <c r="BU433" s="81" t="n">
        <v>10.33</v>
      </c>
      <c r="BV433" s="82" t="inlineStr">
        <is>
          <t>Actual</t>
        </is>
      </c>
      <c r="BW433" s="83" t="inlineStr">
        <is>
          <t/>
        </is>
      </c>
      <c r="BX433" s="84" t="inlineStr">
        <is>
          <t/>
        </is>
      </c>
      <c r="BY433" s="85" t="inlineStr">
        <is>
          <t>Early Stage VC</t>
        </is>
      </c>
      <c r="BZ433" s="86" t="inlineStr">
        <is>
          <t>Series A</t>
        </is>
      </c>
      <c r="CA433" s="87" t="inlineStr">
        <is>
          <t/>
        </is>
      </c>
      <c r="CB433" s="88" t="inlineStr">
        <is>
          <t>Venture Capital</t>
        </is>
      </c>
      <c r="CC433" s="89" t="inlineStr">
        <is>
          <t/>
        </is>
      </c>
      <c r="CD433" s="90" t="inlineStr">
        <is>
          <t/>
        </is>
      </c>
      <c r="CE433" s="91" t="inlineStr">
        <is>
          <t/>
        </is>
      </c>
      <c r="CF433" s="92" t="inlineStr">
        <is>
          <t>Completed</t>
        </is>
      </c>
      <c r="CG433" s="93" t="inlineStr">
        <is>
          <t>0,00%</t>
        </is>
      </c>
      <c r="CH433" s="94" t="inlineStr">
        <is>
          <t>23</t>
        </is>
      </c>
      <c r="CI433" s="95" t="inlineStr">
        <is>
          <t>0,00%</t>
        </is>
      </c>
      <c r="CJ433" s="96" t="inlineStr">
        <is>
          <t>0,00%</t>
        </is>
      </c>
      <c r="CK433" s="97" t="inlineStr">
        <is>
          <t>0,00%</t>
        </is>
      </c>
      <c r="CL433" s="98" t="inlineStr">
        <is>
          <t>18</t>
        </is>
      </c>
      <c r="CM433" s="99" t="inlineStr">
        <is>
          <t>0,00%</t>
        </is>
      </c>
      <c r="CN433" s="100" t="inlineStr">
        <is>
          <t>19</t>
        </is>
      </c>
      <c r="CO433" s="101" t="inlineStr">
        <is>
          <t>0,00%</t>
        </is>
      </c>
      <c r="CP433" s="102" t="inlineStr">
        <is>
          <t>26</t>
        </is>
      </c>
      <c r="CQ433" s="103" t="inlineStr">
        <is>
          <t>0,00%</t>
        </is>
      </c>
      <c r="CR433" s="104" t="inlineStr">
        <is>
          <t>13</t>
        </is>
      </c>
      <c r="CS433" s="105" t="inlineStr">
        <is>
          <t/>
        </is>
      </c>
      <c r="CT433" s="106" t="inlineStr">
        <is>
          <t/>
        </is>
      </c>
      <c r="CU433" s="107" t="inlineStr">
        <is>
          <t>0,00%</t>
        </is>
      </c>
      <c r="CV433" s="108" t="inlineStr">
        <is>
          <t>20</t>
        </is>
      </c>
      <c r="CW433" s="109" t="inlineStr">
        <is>
          <t>0,14x</t>
        </is>
      </c>
      <c r="CX433" s="110" t="inlineStr">
        <is>
          <t>12</t>
        </is>
      </c>
      <c r="CY433" s="111" t="inlineStr">
        <is>
          <t>0,00x</t>
        </is>
      </c>
      <c r="CZ433" s="112" t="inlineStr">
        <is>
          <t>-0,78%</t>
        </is>
      </c>
      <c r="DA433" s="113" t="inlineStr">
        <is>
          <t>0,03x</t>
        </is>
      </c>
      <c r="DB433" s="114" t="inlineStr">
        <is>
          <t>1</t>
        </is>
      </c>
      <c r="DC433" s="115" t="inlineStr">
        <is>
          <t>0,24x</t>
        </is>
      </c>
      <c r="DD433" s="116" t="inlineStr">
        <is>
          <t>24</t>
        </is>
      </c>
      <c r="DE433" s="117" t="inlineStr">
        <is>
          <t>0,00x</t>
        </is>
      </c>
      <c r="DF433" s="118" t="inlineStr">
        <is>
          <t>1</t>
        </is>
      </c>
      <c r="DG433" s="119" t="inlineStr">
        <is>
          <t>0,06x</t>
        </is>
      </c>
      <c r="DH433" s="120" t="inlineStr">
        <is>
          <t>5</t>
        </is>
      </c>
      <c r="DI433" s="121" t="inlineStr">
        <is>
          <t/>
        </is>
      </c>
      <c r="DJ433" s="122" t="inlineStr">
        <is>
          <t/>
        </is>
      </c>
      <c r="DK433" s="123" t="inlineStr">
        <is>
          <t>0,24x</t>
        </is>
      </c>
      <c r="DL433" s="124" t="inlineStr">
        <is>
          <t>28</t>
        </is>
      </c>
      <c r="DM433" s="125" t="inlineStr">
        <is>
          <t>2</t>
        </is>
      </c>
      <c r="DN433" s="126" t="inlineStr">
        <is>
          <t>-5</t>
        </is>
      </c>
      <c r="DO433" s="127" t="inlineStr">
        <is>
          <t>-71,43%</t>
        </is>
      </c>
      <c r="DP433" s="128" t="inlineStr">
        <is>
          <t/>
        </is>
      </c>
      <c r="DQ433" s="129" t="inlineStr">
        <is>
          <t/>
        </is>
      </c>
      <c r="DR433" s="130" t="inlineStr">
        <is>
          <t/>
        </is>
      </c>
      <c r="DS433" s="131" t="inlineStr">
        <is>
          <t>2</t>
        </is>
      </c>
      <c r="DT433" s="132" t="inlineStr">
        <is>
          <t>-1</t>
        </is>
      </c>
      <c r="DU433" s="133" t="inlineStr">
        <is>
          <t>-33,33%</t>
        </is>
      </c>
      <c r="DV433" s="134" t="inlineStr">
        <is>
          <t>83</t>
        </is>
      </c>
      <c r="DW433" s="135" t="inlineStr">
        <is>
          <t>1</t>
        </is>
      </c>
      <c r="DX433" s="136" t="inlineStr">
        <is>
          <t>1,22%</t>
        </is>
      </c>
      <c r="DY433" s="137" t="inlineStr">
        <is>
          <t>PitchBook Research</t>
        </is>
      </c>
      <c r="DZ433" s="785">
        <f>HYPERLINK("https://my.pitchbook.com?c=180286-03", "View company online")</f>
      </c>
    </row>
    <row r="434">
      <c r="A434" s="139" t="inlineStr">
        <is>
          <t>58574-89</t>
        </is>
      </c>
      <c r="B434" s="140" t="inlineStr">
        <is>
          <t>Swarm64</t>
        </is>
      </c>
      <c r="C434" s="141" t="inlineStr">
        <is>
          <t/>
        </is>
      </c>
      <c r="D434" s="142" t="inlineStr">
        <is>
          <t/>
        </is>
      </c>
      <c r="E434" s="143" t="inlineStr">
        <is>
          <t>58574-89</t>
        </is>
      </c>
      <c r="F434" s="144" t="inlineStr">
        <is>
          <t>Developer of micro-server architecture concepts and technology designed to accelerate database and cloud-based computing. The company's micro-server architecture concepts and technology uses SQL for big data analysis on native data in real time, execute OLAP and OLTP workloads side by side with enhanced transaction safety and removes the complexity that comes with ETL, enabling companies to extract value from big data and get in-memory database performance at ten times more memory at one tenth of the cost.</t>
        </is>
      </c>
      <c r="G434" s="145" t="inlineStr">
        <is>
          <t>Information Technology</t>
        </is>
      </c>
      <c r="H434" s="146" t="inlineStr">
        <is>
          <t>Computer Hardware</t>
        </is>
      </c>
      <c r="I434" s="147" t="inlineStr">
        <is>
          <t>Electronic Components</t>
        </is>
      </c>
      <c r="J434" s="148" t="inlineStr">
        <is>
          <t>Electronic Components*; Other Hardware; Systems and Information Management</t>
        </is>
      </c>
      <c r="K434" s="149" t="inlineStr">
        <is>
          <t>Big Data, SaaS</t>
        </is>
      </c>
      <c r="L434" s="150" t="inlineStr">
        <is>
          <t>Venture Capital-Backed</t>
        </is>
      </c>
      <c r="M434" s="151" t="n">
        <v>7.67</v>
      </c>
      <c r="N434" s="152" t="inlineStr">
        <is>
          <t>Startup</t>
        </is>
      </c>
      <c r="O434" s="153" t="inlineStr">
        <is>
          <t>Privately Held (backing)</t>
        </is>
      </c>
      <c r="P434" s="154" t="inlineStr">
        <is>
          <t>Venture Capital</t>
        </is>
      </c>
      <c r="Q434" s="155" t="inlineStr">
        <is>
          <t>www.swarm64.com</t>
        </is>
      </c>
      <c r="R434" s="156" t="n">
        <v>11.0</v>
      </c>
      <c r="S434" s="157" t="inlineStr">
        <is>
          <t/>
        </is>
      </c>
      <c r="T434" s="158" t="inlineStr">
        <is>
          <t/>
        </is>
      </c>
      <c r="U434" s="159" t="n">
        <v>2012.0</v>
      </c>
      <c r="V434" s="160" t="inlineStr">
        <is>
          <t/>
        </is>
      </c>
      <c r="W434" s="161" t="inlineStr">
        <is>
          <t/>
        </is>
      </c>
      <c r="X434" s="162" t="inlineStr">
        <is>
          <t/>
        </is>
      </c>
      <c r="Y434" s="163" t="inlineStr">
        <is>
          <t/>
        </is>
      </c>
      <c r="Z434" s="164" t="inlineStr">
        <is>
          <t/>
        </is>
      </c>
      <c r="AA434" s="165" t="inlineStr">
        <is>
          <t/>
        </is>
      </c>
      <c r="AB434" s="166" t="inlineStr">
        <is>
          <t/>
        </is>
      </c>
      <c r="AC434" s="167" t="inlineStr">
        <is>
          <t/>
        </is>
      </c>
      <c r="AD434" s="168" t="inlineStr">
        <is>
          <t/>
        </is>
      </c>
      <c r="AE434" s="169" t="inlineStr">
        <is>
          <t>53028-82P</t>
        </is>
      </c>
      <c r="AF434" s="170" t="inlineStr">
        <is>
          <t>Thomas Richter</t>
        </is>
      </c>
      <c r="AG434" s="171" t="inlineStr">
        <is>
          <t>Co-Founder &amp; Chief Financial Officer</t>
        </is>
      </c>
      <c r="AH434" s="172" t="inlineStr">
        <is>
          <t>thomas@swarm64.com</t>
        </is>
      </c>
      <c r="AI434" s="173" t="inlineStr">
        <is>
          <t/>
        </is>
      </c>
      <c r="AJ434" s="174" t="inlineStr">
        <is>
          <t>Berlin, Germany</t>
        </is>
      </c>
      <c r="AK434" s="175" t="inlineStr">
        <is>
          <t>Ullsteinstrasse 114</t>
        </is>
      </c>
      <c r="AL434" s="176" t="inlineStr">
        <is>
          <t>Neubau Turm C</t>
        </is>
      </c>
      <c r="AM434" s="177" t="inlineStr">
        <is>
          <t>Berlin</t>
        </is>
      </c>
      <c r="AN434" s="178" t="inlineStr">
        <is>
          <t/>
        </is>
      </c>
      <c r="AO434" s="179" t="inlineStr">
        <is>
          <t>12109</t>
        </is>
      </c>
      <c r="AP434" s="180" t="inlineStr">
        <is>
          <t>Germany</t>
        </is>
      </c>
      <c r="AQ434" s="181" t="inlineStr">
        <is>
          <t/>
        </is>
      </c>
      <c r="AR434" s="182" t="inlineStr">
        <is>
          <t/>
        </is>
      </c>
      <c r="AS434" s="183" t="inlineStr">
        <is>
          <t>info@swarm64.com</t>
        </is>
      </c>
      <c r="AT434" s="184" t="inlineStr">
        <is>
          <t>Europe</t>
        </is>
      </c>
      <c r="AU434" s="185" t="inlineStr">
        <is>
          <t>Western Europe</t>
        </is>
      </c>
      <c r="AV434" s="186" t="inlineStr">
        <is>
          <t>The company raised EUR 7.1 million of venture funding in a deal led by Alliance Venture, Target Partners and Investinor on September 29, 2015. Other undisclosed investors also participated in the round. The funds will be used for market entry, building out the team and to set up operations in the US market.</t>
        </is>
      </c>
      <c r="AW434" s="187" t="inlineStr">
        <is>
          <t>Alliance Venture, Arne Graee, Investinor, Springfondet Management, Target Partners</t>
        </is>
      </c>
      <c r="AX434" s="188" t="n">
        <v>5.0</v>
      </c>
      <c r="AY434" s="189" t="inlineStr">
        <is>
          <t/>
        </is>
      </c>
      <c r="AZ434" s="190" t="inlineStr">
        <is>
          <t/>
        </is>
      </c>
      <c r="BA434" s="191" t="inlineStr">
        <is>
          <t/>
        </is>
      </c>
      <c r="BB434" s="192" t="inlineStr">
        <is>
          <t>Alliance Venture (www.allianceventure.com), Investinor (www.investinor.no), Springfondet Management (www.springfondet.no), Target Partners (www.targetpartners.de)</t>
        </is>
      </c>
      <c r="BC434" s="193" t="inlineStr">
        <is>
          <t/>
        </is>
      </c>
      <c r="BD434" s="194" t="inlineStr">
        <is>
          <t/>
        </is>
      </c>
      <c r="BE434" s="195" t="inlineStr">
        <is>
          <t/>
        </is>
      </c>
      <c r="BF434" s="196" t="inlineStr">
        <is>
          <t/>
        </is>
      </c>
      <c r="BG434" s="197" t="n">
        <v>41508.0</v>
      </c>
      <c r="BH434" s="198" t="n">
        <v>0.57</v>
      </c>
      <c r="BI434" s="199" t="inlineStr">
        <is>
          <t>Actual</t>
        </is>
      </c>
      <c r="BJ434" s="200" t="inlineStr">
        <is>
          <t/>
        </is>
      </c>
      <c r="BK434" s="201" t="inlineStr">
        <is>
          <t/>
        </is>
      </c>
      <c r="BL434" s="202" t="inlineStr">
        <is>
          <t>Seed Round</t>
        </is>
      </c>
      <c r="BM434" s="203" t="inlineStr">
        <is>
          <t>Seed</t>
        </is>
      </c>
      <c r="BN434" s="204" t="inlineStr">
        <is>
          <t/>
        </is>
      </c>
      <c r="BO434" s="205" t="inlineStr">
        <is>
          <t>Venture Capital</t>
        </is>
      </c>
      <c r="BP434" s="206" t="inlineStr">
        <is>
          <t/>
        </is>
      </c>
      <c r="BQ434" s="207" t="inlineStr">
        <is>
          <t/>
        </is>
      </c>
      <c r="BR434" s="208" t="inlineStr">
        <is>
          <t/>
        </is>
      </c>
      <c r="BS434" s="209" t="inlineStr">
        <is>
          <t>Completed</t>
        </is>
      </c>
      <c r="BT434" s="210" t="n">
        <v>42276.0</v>
      </c>
      <c r="BU434" s="211" t="n">
        <v>7.1</v>
      </c>
      <c r="BV434" s="212" t="inlineStr">
        <is>
          <t>Estimated</t>
        </is>
      </c>
      <c r="BW434" s="213" t="inlineStr">
        <is>
          <t/>
        </is>
      </c>
      <c r="BX434" s="214" t="inlineStr">
        <is>
          <t/>
        </is>
      </c>
      <c r="BY434" s="215" t="inlineStr">
        <is>
          <t>Early Stage VC</t>
        </is>
      </c>
      <c r="BZ434" s="216" t="inlineStr">
        <is>
          <t/>
        </is>
      </c>
      <c r="CA434" s="217" t="inlineStr">
        <is>
          <t/>
        </is>
      </c>
      <c r="CB434" s="218" t="inlineStr">
        <is>
          <t>Venture Capital</t>
        </is>
      </c>
      <c r="CC434" s="219" t="inlineStr">
        <is>
          <t/>
        </is>
      </c>
      <c r="CD434" s="220" t="inlineStr">
        <is>
          <t/>
        </is>
      </c>
      <c r="CE434" s="221" t="inlineStr">
        <is>
          <t/>
        </is>
      </c>
      <c r="CF434" s="222" t="inlineStr">
        <is>
          <t>Completed</t>
        </is>
      </c>
      <c r="CG434" s="223" t="inlineStr">
        <is>
          <t>0,00%</t>
        </is>
      </c>
      <c r="CH434" s="224" t="inlineStr">
        <is>
          <t>23</t>
        </is>
      </c>
      <c r="CI434" s="225" t="inlineStr">
        <is>
          <t>0,00%</t>
        </is>
      </c>
      <c r="CJ434" s="226" t="inlineStr">
        <is>
          <t>0,00%</t>
        </is>
      </c>
      <c r="CK434" s="227" t="inlineStr">
        <is>
          <t>0,00%</t>
        </is>
      </c>
      <c r="CL434" s="228" t="inlineStr">
        <is>
          <t>18</t>
        </is>
      </c>
      <c r="CM434" s="229" t="inlineStr">
        <is>
          <t/>
        </is>
      </c>
      <c r="CN434" s="230" t="inlineStr">
        <is>
          <t/>
        </is>
      </c>
      <c r="CO434" s="231" t="inlineStr">
        <is>
          <t>0,00%</t>
        </is>
      </c>
      <c r="CP434" s="232" t="inlineStr">
        <is>
          <t>26</t>
        </is>
      </c>
      <c r="CQ434" s="233" t="inlineStr">
        <is>
          <t>0,00%</t>
        </is>
      </c>
      <c r="CR434" s="234" t="inlineStr">
        <is>
          <t>13</t>
        </is>
      </c>
      <c r="CS434" s="235" t="inlineStr">
        <is>
          <t/>
        </is>
      </c>
      <c r="CT434" s="236" t="inlineStr">
        <is>
          <t/>
        </is>
      </c>
      <c r="CU434" s="237" t="inlineStr">
        <is>
          <t/>
        </is>
      </c>
      <c r="CV434" s="238" t="inlineStr">
        <is>
          <t/>
        </is>
      </c>
      <c r="CW434" s="239" t="inlineStr">
        <is>
          <t>0,38x</t>
        </is>
      </c>
      <c r="CX434" s="240" t="inlineStr">
        <is>
          <t>28</t>
        </is>
      </c>
      <c r="CY434" s="241" t="inlineStr">
        <is>
          <t>-0,01x</t>
        </is>
      </c>
      <c r="CZ434" s="242" t="inlineStr">
        <is>
          <t>-1,56%</t>
        </is>
      </c>
      <c r="DA434" s="243" t="inlineStr">
        <is>
          <t>0,38x</t>
        </is>
      </c>
      <c r="DB434" s="244" t="inlineStr">
        <is>
          <t>31</t>
        </is>
      </c>
      <c r="DC434" s="245" t="inlineStr">
        <is>
          <t/>
        </is>
      </c>
      <c r="DD434" s="246" t="inlineStr">
        <is>
          <t/>
        </is>
      </c>
      <c r="DE434" s="247" t="inlineStr">
        <is>
          <t>0,20x</t>
        </is>
      </c>
      <c r="DF434" s="248" t="inlineStr">
        <is>
          <t>19</t>
        </is>
      </c>
      <c r="DG434" s="249" t="inlineStr">
        <is>
          <t>0,56x</t>
        </is>
      </c>
      <c r="DH434" s="250" t="inlineStr">
        <is>
          <t>38</t>
        </is>
      </c>
      <c r="DI434" s="251" t="inlineStr">
        <is>
          <t/>
        </is>
      </c>
      <c r="DJ434" s="252" t="inlineStr">
        <is>
          <t/>
        </is>
      </c>
      <c r="DK434" s="253" t="inlineStr">
        <is>
          <t/>
        </is>
      </c>
      <c r="DL434" s="254" t="inlineStr">
        <is>
          <t/>
        </is>
      </c>
      <c r="DM434" s="255" t="inlineStr">
        <is>
          <t>156</t>
        </is>
      </c>
      <c r="DN434" s="256" t="inlineStr">
        <is>
          <t>-90</t>
        </is>
      </c>
      <c r="DO434" s="257" t="inlineStr">
        <is>
          <t>-36,59%</t>
        </is>
      </c>
      <c r="DP434" s="258" t="inlineStr">
        <is>
          <t/>
        </is>
      </c>
      <c r="DQ434" s="259" t="inlineStr">
        <is>
          <t/>
        </is>
      </c>
      <c r="DR434" s="260" t="inlineStr">
        <is>
          <t/>
        </is>
      </c>
      <c r="DS434" s="261" t="inlineStr">
        <is>
          <t>20</t>
        </is>
      </c>
      <c r="DT434" s="262" t="inlineStr">
        <is>
          <t>-1</t>
        </is>
      </c>
      <c r="DU434" s="263" t="inlineStr">
        <is>
          <t>-4,76%</t>
        </is>
      </c>
      <c r="DV434" s="264" t="inlineStr">
        <is>
          <t/>
        </is>
      </c>
      <c r="DW434" s="265" t="inlineStr">
        <is>
          <t/>
        </is>
      </c>
      <c r="DX434" s="266" t="inlineStr">
        <is>
          <t/>
        </is>
      </c>
      <c r="DY434" s="267" t="inlineStr">
        <is>
          <t>PitchBook Research</t>
        </is>
      </c>
      <c r="DZ434" s="786">
        <f>HYPERLINK("https://my.pitchbook.com?c=58574-89", "View company online")</f>
      </c>
    </row>
    <row r="435">
      <c r="A435" s="9" t="inlineStr">
        <is>
          <t>180960-76</t>
        </is>
      </c>
      <c r="B435" s="10" t="inlineStr">
        <is>
          <t>Sweet Inn</t>
        </is>
      </c>
      <c r="C435" s="11" t="inlineStr">
        <is>
          <t/>
        </is>
      </c>
      <c r="D435" s="12" t="inlineStr">
        <is>
          <t/>
        </is>
      </c>
      <c r="E435" s="13" t="inlineStr">
        <is>
          <t>180960-76</t>
        </is>
      </c>
      <c r="F435" s="14" t="inlineStr">
        <is>
          <t>Operator of resort suite booking platform. The company's platform operates some 350 apartments under a distributed hotel model in tourist destinations such as Barcelona, Paris, Rome, Brussels, Lisbon, Tel Aviv and Jerusalem providing rents apartments under long term lease, renovates and designs them according to the local character, enabling tourists worldwide to order high quality suites online in Jerusalem, Tel Aviv and leading European cities.</t>
        </is>
      </c>
      <c r="G435" s="15" t="inlineStr">
        <is>
          <t>Consumer Products and Services (B2C)</t>
        </is>
      </c>
      <c r="H435" s="16" t="inlineStr">
        <is>
          <t>Restaurants, Hotels and Leisure</t>
        </is>
      </c>
      <c r="I435" s="17" t="inlineStr">
        <is>
          <t>Hotels and Resorts</t>
        </is>
      </c>
      <c r="J435" s="18" t="inlineStr">
        <is>
          <t>Hotels and Resorts*; Social/Platform Software</t>
        </is>
      </c>
      <c r="K435" s="19" t="inlineStr">
        <is>
          <t/>
        </is>
      </c>
      <c r="L435" s="20" t="inlineStr">
        <is>
          <t>Venture Capital-Backed</t>
        </is>
      </c>
      <c r="M435" s="21" t="n">
        <v>19.92</v>
      </c>
      <c r="N435" s="22" t="inlineStr">
        <is>
          <t>Generating Revenue</t>
        </is>
      </c>
      <c r="O435" s="23" t="inlineStr">
        <is>
          <t>Privately Held (backing)</t>
        </is>
      </c>
      <c r="P435" s="24" t="inlineStr">
        <is>
          <t>Venture Capital</t>
        </is>
      </c>
      <c r="Q435" s="25" t="inlineStr">
        <is>
          <t>www.sweetinn.com</t>
        </is>
      </c>
      <c r="R435" s="26" t="n">
        <v>150.0</v>
      </c>
      <c r="S435" s="27" t="inlineStr">
        <is>
          <t/>
        </is>
      </c>
      <c r="T435" s="28" t="inlineStr">
        <is>
          <t/>
        </is>
      </c>
      <c r="U435" s="29" t="n">
        <v>2014.0</v>
      </c>
      <c r="V435" s="30" t="inlineStr">
        <is>
          <t/>
        </is>
      </c>
      <c r="W435" s="31" t="inlineStr">
        <is>
          <t/>
        </is>
      </c>
      <c r="X435" s="32" t="inlineStr">
        <is>
          <t/>
        </is>
      </c>
      <c r="Y435" s="33" t="inlineStr">
        <is>
          <t/>
        </is>
      </c>
      <c r="Z435" s="34" t="inlineStr">
        <is>
          <t/>
        </is>
      </c>
      <c r="AA435" s="35" t="inlineStr">
        <is>
          <t/>
        </is>
      </c>
      <c r="AB435" s="36" t="inlineStr">
        <is>
          <t/>
        </is>
      </c>
      <c r="AC435" s="37" t="inlineStr">
        <is>
          <t/>
        </is>
      </c>
      <c r="AD435" s="38" t="inlineStr">
        <is>
          <t/>
        </is>
      </c>
      <c r="AE435" s="39" t="inlineStr">
        <is>
          <t>163225-36P</t>
        </is>
      </c>
      <c r="AF435" s="40" t="inlineStr">
        <is>
          <t>Paul Besnainou</t>
        </is>
      </c>
      <c r="AG435" s="41" t="inlineStr">
        <is>
          <t>Chief Executive Officer &amp; Founder</t>
        </is>
      </c>
      <c r="AH435" s="42" t="inlineStr">
        <is>
          <t/>
        </is>
      </c>
      <c r="AI435" s="43" t="inlineStr">
        <is>
          <t/>
        </is>
      </c>
      <c r="AJ435" s="44" t="inlineStr">
        <is>
          <t>Luxembourg</t>
        </is>
      </c>
      <c r="AK435" s="45" t="inlineStr">
        <is>
          <t>128 Boulevard de la Truss</t>
        </is>
      </c>
      <c r="AL435" s="46" t="inlineStr">
        <is>
          <t/>
        </is>
      </c>
      <c r="AM435" s="47" t="inlineStr">
        <is>
          <t/>
        </is>
      </c>
      <c r="AN435" s="48" t="inlineStr">
        <is>
          <t/>
        </is>
      </c>
      <c r="AO435" s="49" t="inlineStr">
        <is>
          <t/>
        </is>
      </c>
      <c r="AP435" s="50" t="inlineStr">
        <is>
          <t>Luxembourg</t>
        </is>
      </c>
      <c r="AQ435" s="51" t="inlineStr">
        <is>
          <t/>
        </is>
      </c>
      <c r="AR435" s="52" t="inlineStr">
        <is>
          <t/>
        </is>
      </c>
      <c r="AS435" s="53" t="inlineStr">
        <is>
          <t>contact@sweetinn.com</t>
        </is>
      </c>
      <c r="AT435" s="54" t="inlineStr">
        <is>
          <t>Europe</t>
        </is>
      </c>
      <c r="AU435" s="55" t="inlineStr">
        <is>
          <t>Western Europe</t>
        </is>
      </c>
      <c r="AV435" s="56" t="inlineStr">
        <is>
          <t>The company raised $22 million of venture funding led by Qumra Capital on May 15, 2017. BRM Group and other European investors LA MAISON and Matignon Investissement et Gestion also participated in this round. Funding will be used to expand its operations in Europe and increase the number of rooms offered in the cities in which it is present as well as to enter new cities such as London, Amsterdam and Milan.</t>
        </is>
      </c>
      <c r="AW435" s="57" t="inlineStr">
        <is>
          <t>BRM Capital, La Maison Investments, Matignon Investissement et Gestion, Qumra Capital</t>
        </is>
      </c>
      <c r="AX435" s="58" t="n">
        <v>4.0</v>
      </c>
      <c r="AY435" s="59" t="inlineStr">
        <is>
          <t/>
        </is>
      </c>
      <c r="AZ435" s="60" t="inlineStr">
        <is>
          <t/>
        </is>
      </c>
      <c r="BA435" s="61" t="inlineStr">
        <is>
          <t/>
        </is>
      </c>
      <c r="BB435" s="62" t="inlineStr">
        <is>
          <t>Matignon Investissement et Gestion (www.matinvest.com), Qumra Capital (www.qumracapital.com)</t>
        </is>
      </c>
      <c r="BC435" s="63" t="inlineStr">
        <is>
          <t/>
        </is>
      </c>
      <c r="BD435" s="64" t="inlineStr">
        <is>
          <t/>
        </is>
      </c>
      <c r="BE435" s="65" t="inlineStr">
        <is>
          <t/>
        </is>
      </c>
      <c r="BF435" s="66" t="inlineStr">
        <is>
          <t/>
        </is>
      </c>
      <c r="BG435" s="67" t="n">
        <v>42870.0</v>
      </c>
      <c r="BH435" s="68" t="n">
        <v>19.92</v>
      </c>
      <c r="BI435" s="69" t="inlineStr">
        <is>
          <t>Actual</t>
        </is>
      </c>
      <c r="BJ435" s="70" t="inlineStr">
        <is>
          <t/>
        </is>
      </c>
      <c r="BK435" s="71" t="inlineStr">
        <is>
          <t/>
        </is>
      </c>
      <c r="BL435" s="72" t="inlineStr">
        <is>
          <t>Early Stage VC</t>
        </is>
      </c>
      <c r="BM435" s="73" t="inlineStr">
        <is>
          <t/>
        </is>
      </c>
      <c r="BN435" s="74" t="inlineStr">
        <is>
          <t/>
        </is>
      </c>
      <c r="BO435" s="75" t="inlineStr">
        <is>
          <t>Venture Capital</t>
        </is>
      </c>
      <c r="BP435" s="76" t="inlineStr">
        <is>
          <t/>
        </is>
      </c>
      <c r="BQ435" s="77" t="inlineStr">
        <is>
          <t/>
        </is>
      </c>
      <c r="BR435" s="78" t="inlineStr">
        <is>
          <t/>
        </is>
      </c>
      <c r="BS435" s="79" t="inlineStr">
        <is>
          <t>Completed</t>
        </is>
      </c>
      <c r="BT435" s="80" t="n">
        <v>42870.0</v>
      </c>
      <c r="BU435" s="81" t="n">
        <v>19.92</v>
      </c>
      <c r="BV435" s="82" t="inlineStr">
        <is>
          <t>Actual</t>
        </is>
      </c>
      <c r="BW435" s="83" t="inlineStr">
        <is>
          <t/>
        </is>
      </c>
      <c r="BX435" s="84" t="inlineStr">
        <is>
          <t/>
        </is>
      </c>
      <c r="BY435" s="85" t="inlineStr">
        <is>
          <t>Early Stage VC</t>
        </is>
      </c>
      <c r="BZ435" s="86" t="inlineStr">
        <is>
          <t/>
        </is>
      </c>
      <c r="CA435" s="87" t="inlineStr">
        <is>
          <t/>
        </is>
      </c>
      <c r="CB435" s="88" t="inlineStr">
        <is>
          <t>Venture Capital</t>
        </is>
      </c>
      <c r="CC435" s="89" t="inlineStr">
        <is>
          <t/>
        </is>
      </c>
      <c r="CD435" s="90" t="inlineStr">
        <is>
          <t/>
        </is>
      </c>
      <c r="CE435" s="91" t="inlineStr">
        <is>
          <t/>
        </is>
      </c>
      <c r="CF435" s="92" t="inlineStr">
        <is>
          <t>Completed</t>
        </is>
      </c>
      <c r="CG435" s="93" t="inlineStr">
        <is>
          <t>-2,15%</t>
        </is>
      </c>
      <c r="CH435" s="94" t="inlineStr">
        <is>
          <t>2</t>
        </is>
      </c>
      <c r="CI435" s="95" t="inlineStr">
        <is>
          <t>-0,12%</t>
        </is>
      </c>
      <c r="CJ435" s="96" t="inlineStr">
        <is>
          <t>-5,78%</t>
        </is>
      </c>
      <c r="CK435" s="97" t="inlineStr">
        <is>
          <t>-4,62%</t>
        </is>
      </c>
      <c r="CL435" s="98" t="inlineStr">
        <is>
          <t>2</t>
        </is>
      </c>
      <c r="CM435" s="99" t="inlineStr">
        <is>
          <t>0,33%</t>
        </is>
      </c>
      <c r="CN435" s="100" t="inlineStr">
        <is>
          <t>83</t>
        </is>
      </c>
      <c r="CO435" s="101" t="inlineStr">
        <is>
          <t>-11,11%</t>
        </is>
      </c>
      <c r="CP435" s="102" t="inlineStr">
        <is>
          <t>1</t>
        </is>
      </c>
      <c r="CQ435" s="103" t="inlineStr">
        <is>
          <t>1,87%</t>
        </is>
      </c>
      <c r="CR435" s="104" t="inlineStr">
        <is>
          <t>91</t>
        </is>
      </c>
      <c r="CS435" s="105" t="inlineStr">
        <is>
          <t>0,20%</t>
        </is>
      </c>
      <c r="CT435" s="106" t="inlineStr">
        <is>
          <t>70</t>
        </is>
      </c>
      <c r="CU435" s="107" t="inlineStr">
        <is>
          <t>0,45%</t>
        </is>
      </c>
      <c r="CV435" s="108" t="inlineStr">
        <is>
          <t>90</t>
        </is>
      </c>
      <c r="CW435" s="109" t="inlineStr">
        <is>
          <t>8,24x</t>
        </is>
      </c>
      <c r="CX435" s="110" t="inlineStr">
        <is>
          <t>85</t>
        </is>
      </c>
      <c r="CY435" s="111" t="inlineStr">
        <is>
          <t>0,08x</t>
        </is>
      </c>
      <c r="CZ435" s="112" t="inlineStr">
        <is>
          <t>1,03%</t>
        </is>
      </c>
      <c r="DA435" s="113" t="inlineStr">
        <is>
          <t>8,17x</t>
        </is>
      </c>
      <c r="DB435" s="114" t="inlineStr">
        <is>
          <t>85</t>
        </is>
      </c>
      <c r="DC435" s="115" t="inlineStr">
        <is>
          <t>8,31x</t>
        </is>
      </c>
      <c r="DD435" s="116" t="inlineStr">
        <is>
          <t>82</t>
        </is>
      </c>
      <c r="DE435" s="117" t="inlineStr">
        <is>
          <t>7,65x</t>
        </is>
      </c>
      <c r="DF435" s="118" t="inlineStr">
        <is>
          <t>81</t>
        </is>
      </c>
      <c r="DG435" s="119" t="inlineStr">
        <is>
          <t>8,69x</t>
        </is>
      </c>
      <c r="DH435" s="120" t="inlineStr">
        <is>
          <t>84</t>
        </is>
      </c>
      <c r="DI435" s="121" t="inlineStr">
        <is>
          <t>15,44x</t>
        </is>
      </c>
      <c r="DJ435" s="122" t="inlineStr">
        <is>
          <t>86</t>
        </is>
      </c>
      <c r="DK435" s="123" t="inlineStr">
        <is>
          <t>1,17x</t>
        </is>
      </c>
      <c r="DL435" s="124" t="inlineStr">
        <is>
          <t>53</t>
        </is>
      </c>
      <c r="DM435" s="125" t="inlineStr">
        <is>
          <t>4.967</t>
        </is>
      </c>
      <c r="DN435" s="126" t="inlineStr">
        <is>
          <t>-780</t>
        </is>
      </c>
      <c r="DO435" s="127" t="inlineStr">
        <is>
          <t>-13,57%</t>
        </is>
      </c>
      <c r="DP435" s="128" t="inlineStr">
        <is>
          <t>12.328</t>
        </is>
      </c>
      <c r="DQ435" s="129" t="inlineStr">
        <is>
          <t>10</t>
        </is>
      </c>
      <c r="DR435" s="130" t="inlineStr">
        <is>
          <t>0,08%</t>
        </is>
      </c>
      <c r="DS435" s="131" t="inlineStr">
        <is>
          <t>317</t>
        </is>
      </c>
      <c r="DT435" s="132" t="inlineStr">
        <is>
          <t>-7</t>
        </is>
      </c>
      <c r="DU435" s="133" t="inlineStr">
        <is>
          <t>-2,16%</t>
        </is>
      </c>
      <c r="DV435" s="134" t="inlineStr">
        <is>
          <t>401</t>
        </is>
      </c>
      <c r="DW435" s="135" t="inlineStr">
        <is>
          <t>3</t>
        </is>
      </c>
      <c r="DX435" s="136" t="inlineStr">
        <is>
          <t>0,75%</t>
        </is>
      </c>
      <c r="DY435" s="137" t="inlineStr">
        <is>
          <t>PitchBook Research</t>
        </is>
      </c>
      <c r="DZ435" s="785">
        <f>HYPERLINK("https://my.pitchbook.com?c=180960-76", "View company online")</f>
      </c>
    </row>
    <row r="436">
      <c r="A436" s="139" t="inlineStr">
        <is>
          <t>64670-14</t>
        </is>
      </c>
      <c r="B436" s="140" t="inlineStr">
        <is>
          <t>SwipBox</t>
        </is>
      </c>
      <c r="C436" s="141" t="inlineStr">
        <is>
          <t/>
        </is>
      </c>
      <c r="D436" s="142" t="inlineStr">
        <is>
          <t/>
        </is>
      </c>
      <c r="E436" s="143" t="inlineStr">
        <is>
          <t>64670-14</t>
        </is>
      </c>
      <c r="F436" s="144" t="inlineStr">
        <is>
          <t>Provider of self-service package lockers designed to offer a comprehensive, turnkey first and last mile service on a pay per parcel basis. The company's self-service package lockers consist physically of a large number of self-service machines located in supermarkets in Denmark and abroad and each machine contains a number of boxes with electronically controlled doors, enabling customers to pick up their packages, usually ordered online, using a code sent by the companies.</t>
        </is>
      </c>
      <c r="G436" s="145" t="inlineStr">
        <is>
          <t>Business Products and Services (B2B)</t>
        </is>
      </c>
      <c r="H436" s="146" t="inlineStr">
        <is>
          <t>Commercial Services</t>
        </is>
      </c>
      <c r="I436" s="147" t="inlineStr">
        <is>
          <t>Logistics</t>
        </is>
      </c>
      <c r="J436" s="148" t="inlineStr">
        <is>
          <t>Logistics*; Electrical Equipment; Other Commercial Products</t>
        </is>
      </c>
      <c r="K436" s="149" t="inlineStr">
        <is>
          <t/>
        </is>
      </c>
      <c r="L436" s="150" t="inlineStr">
        <is>
          <t>Venture Capital-Backed</t>
        </is>
      </c>
      <c r="M436" s="151" t="n">
        <v>10.0</v>
      </c>
      <c r="N436" s="152" t="inlineStr">
        <is>
          <t>Generating Revenue</t>
        </is>
      </c>
      <c r="O436" s="153" t="inlineStr">
        <is>
          <t>Privately Held (backing)</t>
        </is>
      </c>
      <c r="P436" s="154" t="inlineStr">
        <is>
          <t>Venture Capital</t>
        </is>
      </c>
      <c r="Q436" s="155" t="inlineStr">
        <is>
          <t>www.swipbox.com</t>
        </is>
      </c>
      <c r="R436" s="156" t="n">
        <v>8.0</v>
      </c>
      <c r="S436" s="157" t="inlineStr">
        <is>
          <t/>
        </is>
      </c>
      <c r="T436" s="158" t="inlineStr">
        <is>
          <t/>
        </is>
      </c>
      <c r="U436" s="159" t="n">
        <v>2012.0</v>
      </c>
      <c r="V436" s="160" t="inlineStr">
        <is>
          <t/>
        </is>
      </c>
      <c r="W436" s="161" t="inlineStr">
        <is>
          <t/>
        </is>
      </c>
      <c r="X436" s="162" t="inlineStr">
        <is>
          <t/>
        </is>
      </c>
      <c r="Y436" s="163" t="inlineStr">
        <is>
          <t/>
        </is>
      </c>
      <c r="Z436" s="164" t="n">
        <v>0.35098</v>
      </c>
      <c r="AA436" s="165" t="n">
        <v>-0.52172</v>
      </c>
      <c r="AB436" s="166" t="inlineStr">
        <is>
          <t/>
        </is>
      </c>
      <c r="AC436" s="167" t="n">
        <v>-0.18023</v>
      </c>
      <c r="AD436" s="168" t="inlineStr">
        <is>
          <t>FY 2016</t>
        </is>
      </c>
      <c r="AE436" s="169" t="inlineStr">
        <is>
          <t>71965-90P</t>
        </is>
      </c>
      <c r="AF436" s="170" t="inlineStr">
        <is>
          <t>Henrik Gedde Moos</t>
        </is>
      </c>
      <c r="AG436" s="171" t="inlineStr">
        <is>
          <t>Co-Founder &amp; Chief Business Development Officer</t>
        </is>
      </c>
      <c r="AH436" s="172" t="inlineStr">
        <is>
          <t/>
        </is>
      </c>
      <c r="AI436" s="173" t="inlineStr">
        <is>
          <t>+45 7020 4064</t>
        </is>
      </c>
      <c r="AJ436" s="174" t="inlineStr">
        <is>
          <t>Sønderborg, Denmark</t>
        </is>
      </c>
      <c r="AK436" s="175" t="inlineStr">
        <is>
          <t>Ellegårdvej 7</t>
        </is>
      </c>
      <c r="AL436" s="176" t="inlineStr">
        <is>
          <t/>
        </is>
      </c>
      <c r="AM436" s="177" t="inlineStr">
        <is>
          <t>Sønderborg</t>
        </is>
      </c>
      <c r="AN436" s="178" t="inlineStr">
        <is>
          <t/>
        </is>
      </c>
      <c r="AO436" s="179" t="inlineStr">
        <is>
          <t>6400</t>
        </is>
      </c>
      <c r="AP436" s="180" t="inlineStr">
        <is>
          <t>Denmark</t>
        </is>
      </c>
      <c r="AQ436" s="181" t="inlineStr">
        <is>
          <t>+45 7365 4301</t>
        </is>
      </c>
      <c r="AR436" s="182" t="inlineStr">
        <is>
          <t/>
        </is>
      </c>
      <c r="AS436" s="183" t="inlineStr">
        <is>
          <t>international@swipbox.com</t>
        </is>
      </c>
      <c r="AT436" s="184" t="inlineStr">
        <is>
          <t>Europe</t>
        </is>
      </c>
      <c r="AU436" s="185" t="inlineStr">
        <is>
          <t>Northern Europe</t>
        </is>
      </c>
      <c r="AV436" s="186" t="inlineStr">
        <is>
          <t>The company raised EUR 10 million of venture funding from Vækstfonden, Nielsen &amp; Nielsen Holding and Peter M. Clausen on May 16, 2013.</t>
        </is>
      </c>
      <c r="AW436" s="187" t="inlineStr">
        <is>
          <t>Nielsen &amp; Nielsen Holding, Peter M. Clausen, Vækstfonden</t>
        </is>
      </c>
      <c r="AX436" s="188" t="n">
        <v>3.0</v>
      </c>
      <c r="AY436" s="189" t="inlineStr">
        <is>
          <t/>
        </is>
      </c>
      <c r="AZ436" s="190" t="inlineStr">
        <is>
          <t/>
        </is>
      </c>
      <c r="BA436" s="191" t="inlineStr">
        <is>
          <t/>
        </is>
      </c>
      <c r="BB436" s="192" t="inlineStr">
        <is>
          <t>Nielsen &amp; Nielsen Holding (www.nielsen-nielsen.dk), Vækstfonden (www.vf.dk)</t>
        </is>
      </c>
      <c r="BC436" s="193" t="inlineStr">
        <is>
          <t/>
        </is>
      </c>
      <c r="BD436" s="194" t="inlineStr">
        <is>
          <t/>
        </is>
      </c>
      <c r="BE436" s="195" t="inlineStr">
        <is>
          <t>PwC (Auditor)</t>
        </is>
      </c>
      <c r="BF436" s="196" t="inlineStr">
        <is>
          <t/>
        </is>
      </c>
      <c r="BG436" s="197" t="n">
        <v>41410.0</v>
      </c>
      <c r="BH436" s="198" t="n">
        <v>10.0</v>
      </c>
      <c r="BI436" s="199" t="inlineStr">
        <is>
          <t>Actual</t>
        </is>
      </c>
      <c r="BJ436" s="200" t="inlineStr">
        <is>
          <t/>
        </is>
      </c>
      <c r="BK436" s="201" t="inlineStr">
        <is>
          <t/>
        </is>
      </c>
      <c r="BL436" s="202" t="inlineStr">
        <is>
          <t>Early Stage VC</t>
        </is>
      </c>
      <c r="BM436" s="203" t="inlineStr">
        <is>
          <t/>
        </is>
      </c>
      <c r="BN436" s="204" t="inlineStr">
        <is>
          <t/>
        </is>
      </c>
      <c r="BO436" s="205" t="inlineStr">
        <is>
          <t>Venture Capital</t>
        </is>
      </c>
      <c r="BP436" s="206" t="inlineStr">
        <is>
          <t/>
        </is>
      </c>
      <c r="BQ436" s="207" t="inlineStr">
        <is>
          <t/>
        </is>
      </c>
      <c r="BR436" s="208" t="inlineStr">
        <is>
          <t/>
        </is>
      </c>
      <c r="BS436" s="209" t="inlineStr">
        <is>
          <t>Completed</t>
        </is>
      </c>
      <c r="BT436" s="210" t="n">
        <v>41410.0</v>
      </c>
      <c r="BU436" s="211" t="n">
        <v>10.0</v>
      </c>
      <c r="BV436" s="212" t="inlineStr">
        <is>
          <t>Actual</t>
        </is>
      </c>
      <c r="BW436" s="213" t="inlineStr">
        <is>
          <t/>
        </is>
      </c>
      <c r="BX436" s="214" t="inlineStr">
        <is>
          <t/>
        </is>
      </c>
      <c r="BY436" s="215" t="inlineStr">
        <is>
          <t>Early Stage VC</t>
        </is>
      </c>
      <c r="BZ436" s="216" t="inlineStr">
        <is>
          <t/>
        </is>
      </c>
      <c r="CA436" s="217" t="inlineStr">
        <is>
          <t/>
        </is>
      </c>
      <c r="CB436" s="218" t="inlineStr">
        <is>
          <t>Venture Capital</t>
        </is>
      </c>
      <c r="CC436" s="219" t="inlineStr">
        <is>
          <t/>
        </is>
      </c>
      <c r="CD436" s="220" t="inlineStr">
        <is>
          <t/>
        </is>
      </c>
      <c r="CE436" s="221" t="inlineStr">
        <is>
          <t/>
        </is>
      </c>
      <c r="CF436" s="222" t="inlineStr">
        <is>
          <t>Completed</t>
        </is>
      </c>
      <c r="CG436" s="223" t="inlineStr">
        <is>
          <t>0,27%</t>
        </is>
      </c>
      <c r="CH436" s="224" t="inlineStr">
        <is>
          <t>80</t>
        </is>
      </c>
      <c r="CI436" s="225" t="inlineStr">
        <is>
          <t>0,01%</t>
        </is>
      </c>
      <c r="CJ436" s="226" t="inlineStr">
        <is>
          <t>3,11%</t>
        </is>
      </c>
      <c r="CK436" s="227" t="inlineStr">
        <is>
          <t>0,58%</t>
        </is>
      </c>
      <c r="CL436" s="228" t="inlineStr">
        <is>
          <t>84</t>
        </is>
      </c>
      <c r="CM436" s="229" t="inlineStr">
        <is>
          <t>-0,03%</t>
        </is>
      </c>
      <c r="CN436" s="230" t="inlineStr">
        <is>
          <t>12</t>
        </is>
      </c>
      <c r="CO436" s="231" t="inlineStr">
        <is>
          <t>1,16%</t>
        </is>
      </c>
      <c r="CP436" s="232" t="inlineStr">
        <is>
          <t>85</t>
        </is>
      </c>
      <c r="CQ436" s="233" t="inlineStr">
        <is>
          <t>0,00%</t>
        </is>
      </c>
      <c r="CR436" s="234" t="inlineStr">
        <is>
          <t>13</t>
        </is>
      </c>
      <c r="CS436" s="235" t="inlineStr">
        <is>
          <t>-0,03%</t>
        </is>
      </c>
      <c r="CT436" s="236" t="inlineStr">
        <is>
          <t>10</t>
        </is>
      </c>
      <c r="CU436" s="237" t="inlineStr">
        <is>
          <t>-0,04%</t>
        </is>
      </c>
      <c r="CV436" s="238" t="inlineStr">
        <is>
          <t>14</t>
        </is>
      </c>
      <c r="CW436" s="239" t="inlineStr">
        <is>
          <t>8,92x</t>
        </is>
      </c>
      <c r="CX436" s="240" t="inlineStr">
        <is>
          <t>86</t>
        </is>
      </c>
      <c r="CY436" s="241" t="inlineStr">
        <is>
          <t>0,18x</t>
        </is>
      </c>
      <c r="CZ436" s="242" t="inlineStr">
        <is>
          <t>2,04%</t>
        </is>
      </c>
      <c r="DA436" s="243" t="inlineStr">
        <is>
          <t>1,86x</t>
        </is>
      </c>
      <c r="DB436" s="244" t="inlineStr">
        <is>
          <t>65</t>
        </is>
      </c>
      <c r="DC436" s="245" t="inlineStr">
        <is>
          <t>15,99x</t>
        </is>
      </c>
      <c r="DD436" s="246" t="inlineStr">
        <is>
          <t>88</t>
        </is>
      </c>
      <c r="DE436" s="247" t="inlineStr">
        <is>
          <t>1,85x</t>
        </is>
      </c>
      <c r="DF436" s="248" t="inlineStr">
        <is>
          <t>62</t>
        </is>
      </c>
      <c r="DG436" s="249" t="inlineStr">
        <is>
          <t>1,86x</t>
        </is>
      </c>
      <c r="DH436" s="250" t="inlineStr">
        <is>
          <t>63</t>
        </is>
      </c>
      <c r="DI436" s="251" t="inlineStr">
        <is>
          <t>30,94x</t>
        </is>
      </c>
      <c r="DJ436" s="252" t="inlineStr">
        <is>
          <t>90</t>
        </is>
      </c>
      <c r="DK436" s="253" t="inlineStr">
        <is>
          <t>1,03x</t>
        </is>
      </c>
      <c r="DL436" s="254" t="inlineStr">
        <is>
          <t>51</t>
        </is>
      </c>
      <c r="DM436" s="255" t="inlineStr">
        <is>
          <t>1.151</t>
        </is>
      </c>
      <c r="DN436" s="256" t="inlineStr">
        <is>
          <t>-40</t>
        </is>
      </c>
      <c r="DO436" s="257" t="inlineStr">
        <is>
          <t>-3,36%</t>
        </is>
      </c>
      <c r="DP436" s="258" t="inlineStr">
        <is>
          <t>24.721</t>
        </is>
      </c>
      <c r="DQ436" s="259" t="inlineStr">
        <is>
          <t>-9</t>
        </is>
      </c>
      <c r="DR436" s="260" t="inlineStr">
        <is>
          <t>-0,04%</t>
        </is>
      </c>
      <c r="DS436" s="261" t="inlineStr">
        <is>
          <t>67</t>
        </is>
      </c>
      <c r="DT436" s="262" t="inlineStr">
        <is>
          <t>0</t>
        </is>
      </c>
      <c r="DU436" s="263" t="inlineStr">
        <is>
          <t>0,00%</t>
        </is>
      </c>
      <c r="DV436" s="264" t="inlineStr">
        <is>
          <t>354</t>
        </is>
      </c>
      <c r="DW436" s="265" t="inlineStr">
        <is>
          <t>0</t>
        </is>
      </c>
      <c r="DX436" s="266" t="inlineStr">
        <is>
          <t>0,00%</t>
        </is>
      </c>
      <c r="DY436" s="267" t="inlineStr">
        <is>
          <t>PitchBook Research</t>
        </is>
      </c>
      <c r="DZ436" s="786">
        <f>HYPERLINK("https://my.pitchbook.com?c=64670-14", "View company online")</f>
      </c>
    </row>
    <row r="437">
      <c r="A437" s="9" t="inlineStr">
        <is>
          <t>163607-41</t>
        </is>
      </c>
      <c r="B437" s="10" t="inlineStr">
        <is>
          <t>Syft</t>
        </is>
      </c>
      <c r="C437" s="11" t="inlineStr">
        <is>
          <t>Recrootme</t>
        </is>
      </c>
      <c r="D437" s="12" t="inlineStr">
        <is>
          <t/>
        </is>
      </c>
      <c r="E437" s="13" t="inlineStr">
        <is>
          <t>163607-41</t>
        </is>
      </c>
      <c r="F437" s="14" t="inlineStr">
        <is>
          <t>Provider of an online recruitment platform designed to connect job-seekers with employers. The company's online recruitment application browses through profiles of candidates and handles payrolls, enabling employers to connect with trained and rated temporary staff in hospitality.</t>
        </is>
      </c>
      <c r="G437" s="15" t="inlineStr">
        <is>
          <t>Business Products and Services (B2B)</t>
        </is>
      </c>
      <c r="H437" s="16" t="inlineStr">
        <is>
          <t>Commercial Services</t>
        </is>
      </c>
      <c r="I437" s="17" t="inlineStr">
        <is>
          <t>Human Capital Services</t>
        </is>
      </c>
      <c r="J437" s="18" t="inlineStr">
        <is>
          <t>Human Capital Services*; Application Software</t>
        </is>
      </c>
      <c r="K437" s="19" t="inlineStr">
        <is>
          <t>Mobile, SaaS</t>
        </is>
      </c>
      <c r="L437" s="20" t="inlineStr">
        <is>
          <t>Venture Capital-Backed</t>
        </is>
      </c>
      <c r="M437" s="21" t="n">
        <v>9.79</v>
      </c>
      <c r="N437" s="22" t="inlineStr">
        <is>
          <t>Generating Revenue</t>
        </is>
      </c>
      <c r="O437" s="23" t="inlineStr">
        <is>
          <t>Privately Held (backing)</t>
        </is>
      </c>
      <c r="P437" s="24" t="inlineStr">
        <is>
          <t>Venture Capital</t>
        </is>
      </c>
      <c r="Q437" s="25" t="inlineStr">
        <is>
          <t>www.syftapp.com</t>
        </is>
      </c>
      <c r="R437" s="26" t="n">
        <v>14.0</v>
      </c>
      <c r="S437" s="27" t="inlineStr">
        <is>
          <t/>
        </is>
      </c>
      <c r="T437" s="28" t="inlineStr">
        <is>
          <t/>
        </is>
      </c>
      <c r="U437" s="29" t="n">
        <v>2015.0</v>
      </c>
      <c r="V437" s="30" t="inlineStr">
        <is>
          <t/>
        </is>
      </c>
      <c r="W437" s="31" t="inlineStr">
        <is>
          <t/>
        </is>
      </c>
      <c r="X437" s="32" t="inlineStr">
        <is>
          <r>
            <rPr>
              <b/>
              <color rgb="ff26854d"/>
              <rFont val="Arial"/>
              <sz val="8.0"/>
            </rPr>
            <t>Deal</t>
          </r>
          <r>
            <rPr>
              <color rgb="ff707070"/>
              <rFont val="Arial"/>
              <sz val="7.0"/>
            </rPr>
            <t xml:space="preserve"> NEW  </t>
          </r>
          <r>
            <rPr>
              <color rgb="ff000000"/>
              <rFont val="Arial"/>
              <sz val="8.0"/>
            </rPr>
            <t>Early Stage VC (Series A), 2017</t>
          </r>
          <r>
            <rPr>
              <color rgb="ff707070"/>
              <rFont val="Arial"/>
              <sz val="7.0"/>
            </rPr>
            <t xml:space="preserve"> Completed</t>
          </r>
        </is>
      </c>
      <c r="Y437" s="33" t="inlineStr">
        <is>
          <t/>
        </is>
      </c>
      <c r="Z437" s="34" t="inlineStr">
        <is>
          <t/>
        </is>
      </c>
      <c r="AA437" s="35" t="inlineStr">
        <is>
          <t/>
        </is>
      </c>
      <c r="AB437" s="36" t="inlineStr">
        <is>
          <t/>
        </is>
      </c>
      <c r="AC437" s="37" t="inlineStr">
        <is>
          <t/>
        </is>
      </c>
      <c r="AD437" s="38" t="inlineStr">
        <is>
          <t/>
        </is>
      </c>
      <c r="AE437" s="39" t="inlineStr">
        <is>
          <t>141886-36P</t>
        </is>
      </c>
      <c r="AF437" s="40" t="inlineStr">
        <is>
          <t>Novo Abakare</t>
        </is>
      </c>
      <c r="AG437" s="41" t="inlineStr">
        <is>
          <t>Co-Founder, Board Member &amp; Chief Operating Officer</t>
        </is>
      </c>
      <c r="AH437" s="42" t="inlineStr">
        <is>
          <t>novo@syft-app.com</t>
        </is>
      </c>
      <c r="AI437" s="43" t="inlineStr">
        <is>
          <t>+44 (0)20 3488 1383</t>
        </is>
      </c>
      <c r="AJ437" s="44" t="inlineStr">
        <is>
          <t>London, United Kingdom</t>
        </is>
      </c>
      <c r="AK437" s="45" t="inlineStr">
        <is>
          <t>53 Parker Street</t>
        </is>
      </c>
      <c r="AL437" s="46" t="inlineStr">
        <is>
          <t>Holborn</t>
        </is>
      </c>
      <c r="AM437" s="47" t="inlineStr">
        <is>
          <t>London</t>
        </is>
      </c>
      <c r="AN437" s="48" t="inlineStr">
        <is>
          <t>England</t>
        </is>
      </c>
      <c r="AO437" s="49" t="inlineStr">
        <is>
          <t>WC2B 5PT</t>
        </is>
      </c>
      <c r="AP437" s="50" t="inlineStr">
        <is>
          <t>United Kingdom</t>
        </is>
      </c>
      <c r="AQ437" s="51" t="inlineStr">
        <is>
          <t>+44 (0)20 3488 1383</t>
        </is>
      </c>
      <c r="AR437" s="52" t="inlineStr">
        <is>
          <t/>
        </is>
      </c>
      <c r="AS437" s="53" t="inlineStr">
        <is>
          <t/>
        </is>
      </c>
      <c r="AT437" s="54" t="inlineStr">
        <is>
          <t>Europe</t>
        </is>
      </c>
      <c r="AU437" s="55" t="inlineStr">
        <is>
          <t>Western Europe</t>
        </is>
      </c>
      <c r="AV437" s="56" t="inlineStr">
        <is>
          <t>The company raised GBP 6.1 million of Series A venture funding in a round led by Creandum on September 7, 2017. PROfounders Capital, Colle Capital Partners, David Haye and Lord Young also participated in this round. The funding will be used to expand into the warehousing and industrial sectors, as well as cities including Liverpool, Leeds and Birmingham.The company has raised GBP 8.7 million funding to date.</t>
        </is>
      </c>
      <c r="AW437" s="57" t="inlineStr">
        <is>
          <t>Alex Macdonald, Colle Capital Partners, Creandum, David Haye, Lord Young, Mike Kershaw, PROfounders Capital</t>
        </is>
      </c>
      <c r="AX437" s="58" t="n">
        <v>7.0</v>
      </c>
      <c r="AY437" s="59" t="inlineStr">
        <is>
          <t/>
        </is>
      </c>
      <c r="AZ437" s="60" t="inlineStr">
        <is>
          <t/>
        </is>
      </c>
      <c r="BA437" s="61" t="inlineStr">
        <is>
          <t/>
        </is>
      </c>
      <c r="BB437" s="62" t="inlineStr">
        <is>
          <t>Colle Capital Partners (www.collecapital.com), Creandum (www.creandum.com), PROfounders Capital (www.profounderscapital.com)</t>
        </is>
      </c>
      <c r="BC437" s="63" t="inlineStr">
        <is>
          <t/>
        </is>
      </c>
      <c r="BD437" s="64" t="inlineStr">
        <is>
          <t/>
        </is>
      </c>
      <c r="BE437" s="65" t="inlineStr">
        <is>
          <t/>
        </is>
      </c>
      <c r="BF437" s="66" t="inlineStr">
        <is>
          <t/>
        </is>
      </c>
      <c r="BG437" s="67" t="n">
        <v>42585.0</v>
      </c>
      <c r="BH437" s="68" t="n">
        <v>3.1</v>
      </c>
      <c r="BI437" s="69" t="inlineStr">
        <is>
          <t>Actual</t>
        </is>
      </c>
      <c r="BJ437" s="70" t="inlineStr">
        <is>
          <t/>
        </is>
      </c>
      <c r="BK437" s="71" t="inlineStr">
        <is>
          <t/>
        </is>
      </c>
      <c r="BL437" s="72" t="inlineStr">
        <is>
          <t>Seed Round</t>
        </is>
      </c>
      <c r="BM437" s="73" t="inlineStr">
        <is>
          <t>Seed</t>
        </is>
      </c>
      <c r="BN437" s="74" t="inlineStr">
        <is>
          <t/>
        </is>
      </c>
      <c r="BO437" s="75" t="inlineStr">
        <is>
          <t>Venture Capital</t>
        </is>
      </c>
      <c r="BP437" s="76" t="inlineStr">
        <is>
          <t/>
        </is>
      </c>
      <c r="BQ437" s="77" t="inlineStr">
        <is>
          <t/>
        </is>
      </c>
      <c r="BR437" s="78" t="inlineStr">
        <is>
          <t/>
        </is>
      </c>
      <c r="BS437" s="79" t="inlineStr">
        <is>
          <t>Completed</t>
        </is>
      </c>
      <c r="BT437" s="80" t="n">
        <v>42985.0</v>
      </c>
      <c r="BU437" s="81" t="n">
        <v>6.7</v>
      </c>
      <c r="BV437" s="82" t="inlineStr">
        <is>
          <t>Actual</t>
        </is>
      </c>
      <c r="BW437" s="83" t="inlineStr">
        <is>
          <t/>
        </is>
      </c>
      <c r="BX437" s="84" t="inlineStr">
        <is>
          <t/>
        </is>
      </c>
      <c r="BY437" s="85" t="inlineStr">
        <is>
          <t>Early Stage VC</t>
        </is>
      </c>
      <c r="BZ437" s="86" t="inlineStr">
        <is>
          <t>Series A</t>
        </is>
      </c>
      <c r="CA437" s="87" t="inlineStr">
        <is>
          <t/>
        </is>
      </c>
      <c r="CB437" s="88" t="inlineStr">
        <is>
          <t>Venture Capital</t>
        </is>
      </c>
      <c r="CC437" s="89" t="inlineStr">
        <is>
          <t/>
        </is>
      </c>
      <c r="CD437" s="90" t="inlineStr">
        <is>
          <t/>
        </is>
      </c>
      <c r="CE437" s="91" t="inlineStr">
        <is>
          <t/>
        </is>
      </c>
      <c r="CF437" s="92" t="inlineStr">
        <is>
          <t>Completed</t>
        </is>
      </c>
      <c r="CG437" s="93" t="inlineStr">
        <is>
          <t>0,54%</t>
        </is>
      </c>
      <c r="CH437" s="94" t="inlineStr">
        <is>
          <t>84</t>
        </is>
      </c>
      <c r="CI437" s="95" t="inlineStr">
        <is>
          <t>0,06%</t>
        </is>
      </c>
      <c r="CJ437" s="96" t="inlineStr">
        <is>
          <t>11,61%</t>
        </is>
      </c>
      <c r="CK437" s="97" t="inlineStr">
        <is>
          <t>0,05%</t>
        </is>
      </c>
      <c r="CL437" s="98" t="inlineStr">
        <is>
          <t>80</t>
        </is>
      </c>
      <c r="CM437" s="99" t="inlineStr">
        <is>
          <t>1,02%</t>
        </is>
      </c>
      <c r="CN437" s="100" t="inlineStr">
        <is>
          <t>96</t>
        </is>
      </c>
      <c r="CO437" s="101" t="inlineStr">
        <is>
          <t>0,05%</t>
        </is>
      </c>
      <c r="CP437" s="102" t="inlineStr">
        <is>
          <t>78</t>
        </is>
      </c>
      <c r="CQ437" s="103" t="inlineStr">
        <is>
          <t/>
        </is>
      </c>
      <c r="CR437" s="104" t="inlineStr">
        <is>
          <t/>
        </is>
      </c>
      <c r="CS437" s="105" t="inlineStr">
        <is>
          <t>0,36%</t>
        </is>
      </c>
      <c r="CT437" s="106" t="inlineStr">
        <is>
          <t>82</t>
        </is>
      </c>
      <c r="CU437" s="107" t="inlineStr">
        <is>
          <t>1,68%</t>
        </is>
      </c>
      <c r="CV437" s="108" t="inlineStr">
        <is>
          <t>99</t>
        </is>
      </c>
      <c r="CW437" s="109" t="inlineStr">
        <is>
          <t>3,69x</t>
        </is>
      </c>
      <c r="CX437" s="110" t="inlineStr">
        <is>
          <t>75</t>
        </is>
      </c>
      <c r="CY437" s="111" t="inlineStr">
        <is>
          <t>0,04x</t>
        </is>
      </c>
      <c r="CZ437" s="112" t="inlineStr">
        <is>
          <t>0,99%</t>
        </is>
      </c>
      <c r="DA437" s="113" t="inlineStr">
        <is>
          <t>5,75x</t>
        </is>
      </c>
      <c r="DB437" s="114" t="inlineStr">
        <is>
          <t>82</t>
        </is>
      </c>
      <c r="DC437" s="115" t="inlineStr">
        <is>
          <t>1,63x</t>
        </is>
      </c>
      <c r="DD437" s="116" t="inlineStr">
        <is>
          <t>57</t>
        </is>
      </c>
      <c r="DE437" s="117" t="inlineStr">
        <is>
          <t>5,75x</t>
        </is>
      </c>
      <c r="DF437" s="118" t="inlineStr">
        <is>
          <t>78</t>
        </is>
      </c>
      <c r="DG437" s="119" t="inlineStr">
        <is>
          <t/>
        </is>
      </c>
      <c r="DH437" s="120" t="inlineStr">
        <is>
          <t/>
        </is>
      </c>
      <c r="DI437" s="121" t="inlineStr">
        <is>
          <t>2,06x</t>
        </is>
      </c>
      <c r="DJ437" s="122" t="inlineStr">
        <is>
          <t>63</t>
        </is>
      </c>
      <c r="DK437" s="123" t="inlineStr">
        <is>
          <t>1,20x</t>
        </is>
      </c>
      <c r="DL437" s="124" t="inlineStr">
        <is>
          <t>54</t>
        </is>
      </c>
      <c r="DM437" s="125" t="inlineStr">
        <is>
          <t>3.509</t>
        </is>
      </c>
      <c r="DN437" s="126" t="inlineStr">
        <is>
          <t>91</t>
        </is>
      </c>
      <c r="DO437" s="127" t="inlineStr">
        <is>
          <t>2,66%</t>
        </is>
      </c>
      <c r="DP437" s="128" t="inlineStr">
        <is>
          <t>1.645</t>
        </is>
      </c>
      <c r="DQ437" s="129" t="inlineStr">
        <is>
          <t>5</t>
        </is>
      </c>
      <c r="DR437" s="130" t="inlineStr">
        <is>
          <t>0,30%</t>
        </is>
      </c>
      <c r="DS437" s="131" t="inlineStr">
        <is>
          <t/>
        </is>
      </c>
      <c r="DT437" s="132" t="inlineStr">
        <is>
          <t/>
        </is>
      </c>
      <c r="DU437" s="133" t="inlineStr">
        <is>
          <t/>
        </is>
      </c>
      <c r="DV437" s="134" t="inlineStr">
        <is>
          <t>393</t>
        </is>
      </c>
      <c r="DW437" s="135" t="inlineStr">
        <is>
          <t>8</t>
        </is>
      </c>
      <c r="DX437" s="136" t="inlineStr">
        <is>
          <t>2,08%</t>
        </is>
      </c>
      <c r="DY437" s="137" t="inlineStr">
        <is>
          <t>PitchBook Research</t>
        </is>
      </c>
      <c r="DZ437" s="785">
        <f>HYPERLINK("https://my.pitchbook.com?c=163607-41", "View company online")</f>
      </c>
    </row>
    <row r="438">
      <c r="A438" s="139" t="inlineStr">
        <is>
          <t>100647-10</t>
        </is>
      </c>
      <c r="B438" s="140" t="inlineStr">
        <is>
          <t>tails.com</t>
        </is>
      </c>
      <c r="C438" s="141" t="inlineStr">
        <is>
          <t/>
        </is>
      </c>
      <c r="D438" s="142" t="inlineStr">
        <is>
          <t/>
        </is>
      </c>
      <c r="E438" s="143" t="inlineStr">
        <is>
          <t>100647-10</t>
        </is>
      </c>
      <c r="F438" s="144" t="inlineStr">
        <is>
          <t>Operator of online pet nutrition services designed to deliver nutritional food products to dogs. The company's online pet nutrition services deliver tailormade food for an individual dog's unique diet and nutritional needs, enabling pet owners to purchase nutritional food products for their pets with health issues such as joint disease, skin or weight problems.</t>
        </is>
      </c>
      <c r="G438" s="145" t="inlineStr">
        <is>
          <t>Consumer Products and Services (B2C)</t>
        </is>
      </c>
      <c r="H438" s="146" t="inlineStr">
        <is>
          <t>Consumer Non-Durables</t>
        </is>
      </c>
      <c r="I438" s="147" t="inlineStr">
        <is>
          <t>Food Products</t>
        </is>
      </c>
      <c r="J438" s="148" t="inlineStr">
        <is>
          <t>Food Products*</t>
        </is>
      </c>
      <c r="K438" s="149" t="inlineStr">
        <is>
          <t>E-Commerce</t>
        </is>
      </c>
      <c r="L438" s="150" t="inlineStr">
        <is>
          <t>Venture Capital-Backed</t>
        </is>
      </c>
      <c r="M438" s="151" t="n">
        <v>13.76</v>
      </c>
      <c r="N438" s="152" t="inlineStr">
        <is>
          <t>Generating Revenue</t>
        </is>
      </c>
      <c r="O438" s="153" t="inlineStr">
        <is>
          <t>Privately Held (backing)</t>
        </is>
      </c>
      <c r="P438" s="154" t="inlineStr">
        <is>
          <t>Venture Capital</t>
        </is>
      </c>
      <c r="Q438" s="155" t="inlineStr">
        <is>
          <t>www.tails.com</t>
        </is>
      </c>
      <c r="R438" s="156" t="n">
        <v>50.0</v>
      </c>
      <c r="S438" s="157" t="inlineStr">
        <is>
          <t/>
        </is>
      </c>
      <c r="T438" s="158" t="inlineStr">
        <is>
          <t/>
        </is>
      </c>
      <c r="U438" s="159" t="n">
        <v>2013.0</v>
      </c>
      <c r="V438" s="160" t="inlineStr">
        <is>
          <t/>
        </is>
      </c>
      <c r="W438" s="161" t="inlineStr">
        <is>
          <t/>
        </is>
      </c>
      <c r="X438" s="162" t="inlineStr">
        <is>
          <t/>
        </is>
      </c>
      <c r="Y438" s="163" t="n">
        <v>9.99811</v>
      </c>
      <c r="Z438" s="164" t="inlineStr">
        <is>
          <t/>
        </is>
      </c>
      <c r="AA438" s="165" t="inlineStr">
        <is>
          <t/>
        </is>
      </c>
      <c r="AB438" s="166" t="inlineStr">
        <is>
          <t/>
        </is>
      </c>
      <c r="AC438" s="167" t="inlineStr">
        <is>
          <t/>
        </is>
      </c>
      <c r="AD438" s="168" t="inlineStr">
        <is>
          <t>FY 2017</t>
        </is>
      </c>
      <c r="AE438" s="169" t="inlineStr">
        <is>
          <t>54298-00P</t>
        </is>
      </c>
      <c r="AF438" s="170" t="inlineStr">
        <is>
          <t>Bob Winder</t>
        </is>
      </c>
      <c r="AG438" s="171" t="inlineStr">
        <is>
          <t>Finance Mentor</t>
        </is>
      </c>
      <c r="AH438" s="172" t="inlineStr">
        <is>
          <t>bob@tails.com</t>
        </is>
      </c>
      <c r="AI438" s="173" t="inlineStr">
        <is>
          <t>+44 (0)11 8902 6810</t>
        </is>
      </c>
      <c r="AJ438" s="174" t="inlineStr">
        <is>
          <t>London, United Kingdom</t>
        </is>
      </c>
      <c r="AK438" s="175" t="inlineStr">
        <is>
          <t>51a George Street</t>
        </is>
      </c>
      <c r="AL438" s="176" t="inlineStr">
        <is>
          <t>Richmond Upon Thames</t>
        </is>
      </c>
      <c r="AM438" s="177" t="inlineStr">
        <is>
          <t>London</t>
        </is>
      </c>
      <c r="AN438" s="178" t="inlineStr">
        <is>
          <t>England</t>
        </is>
      </c>
      <c r="AO438" s="179" t="inlineStr">
        <is>
          <t>TW9 1HJ</t>
        </is>
      </c>
      <c r="AP438" s="180" t="inlineStr">
        <is>
          <t>United Kingdom</t>
        </is>
      </c>
      <c r="AQ438" s="181" t="inlineStr">
        <is>
          <t>+44 (0)20 3322 4448</t>
        </is>
      </c>
      <c r="AR438" s="182" t="inlineStr">
        <is>
          <t/>
        </is>
      </c>
      <c r="AS438" s="183" t="inlineStr">
        <is>
          <t>hello@tails.com</t>
        </is>
      </c>
      <c r="AT438" s="184" t="inlineStr">
        <is>
          <t>Europe</t>
        </is>
      </c>
      <c r="AU438" s="185" t="inlineStr">
        <is>
          <t>Western Europe</t>
        </is>
      </c>
      <c r="AV438" s="186" t="inlineStr">
        <is>
          <t>The company raised GBP 5.5 million of Series A venture funding from Octopus Ventures and other undisclosed investors on November 6, 2015.</t>
        </is>
      </c>
      <c r="AW438" s="187" t="inlineStr">
        <is>
          <t>Draper Esprit, JamJar Investments, Octopus Ventures</t>
        </is>
      </c>
      <c r="AX438" s="188" t="n">
        <v>3.0</v>
      </c>
      <c r="AY438" s="189" t="inlineStr">
        <is>
          <t/>
        </is>
      </c>
      <c r="AZ438" s="190" t="inlineStr">
        <is>
          <t/>
        </is>
      </c>
      <c r="BA438" s="191" t="inlineStr">
        <is>
          <t/>
        </is>
      </c>
      <c r="BB438" s="192" t="inlineStr">
        <is>
          <t>Draper Esprit (www.draperesprit.com), JamJar Investments (www.jamjarinvestments.com), Octopus Ventures (www.octopusventures.com)</t>
        </is>
      </c>
      <c r="BC438" s="193" t="inlineStr">
        <is>
          <t/>
        </is>
      </c>
      <c r="BD438" s="194" t="inlineStr">
        <is>
          <t/>
        </is>
      </c>
      <c r="BE438" s="195" t="inlineStr">
        <is>
          <t>Future Fifty (Consulting)</t>
        </is>
      </c>
      <c r="BF438" s="196" t="inlineStr">
        <is>
          <t/>
        </is>
      </c>
      <c r="BG438" s="197" t="n">
        <v>41639.0</v>
      </c>
      <c r="BH438" s="198" t="n">
        <v>5.98</v>
      </c>
      <c r="BI438" s="199" t="inlineStr">
        <is>
          <t>Actual</t>
        </is>
      </c>
      <c r="BJ438" s="200" t="n">
        <v>16.87</v>
      </c>
      <c r="BK438" s="201" t="inlineStr">
        <is>
          <t>Actual</t>
        </is>
      </c>
      <c r="BL438" s="202" t="inlineStr">
        <is>
          <t>Seed Round</t>
        </is>
      </c>
      <c r="BM438" s="203" t="inlineStr">
        <is>
          <t>Seed</t>
        </is>
      </c>
      <c r="BN438" s="204" t="inlineStr">
        <is>
          <t/>
        </is>
      </c>
      <c r="BO438" s="205" t="inlineStr">
        <is>
          <t>Venture Capital</t>
        </is>
      </c>
      <c r="BP438" s="206" t="inlineStr">
        <is>
          <t/>
        </is>
      </c>
      <c r="BQ438" s="207" t="inlineStr">
        <is>
          <t/>
        </is>
      </c>
      <c r="BR438" s="208" t="inlineStr">
        <is>
          <t/>
        </is>
      </c>
      <c r="BS438" s="209" t="inlineStr">
        <is>
          <t>Completed</t>
        </is>
      </c>
      <c r="BT438" s="210" t="n">
        <v>42314.0</v>
      </c>
      <c r="BU438" s="211" t="n">
        <v>7.78</v>
      </c>
      <c r="BV438" s="212" t="inlineStr">
        <is>
          <t>Actual</t>
        </is>
      </c>
      <c r="BW438" s="213" t="inlineStr">
        <is>
          <t/>
        </is>
      </c>
      <c r="BX438" s="214" t="inlineStr">
        <is>
          <t/>
        </is>
      </c>
      <c r="BY438" s="215" t="inlineStr">
        <is>
          <t>Early Stage VC</t>
        </is>
      </c>
      <c r="BZ438" s="216" t="inlineStr">
        <is>
          <t>Series A</t>
        </is>
      </c>
      <c r="CA438" s="217" t="inlineStr">
        <is>
          <t/>
        </is>
      </c>
      <c r="CB438" s="218" t="inlineStr">
        <is>
          <t>Venture Capital</t>
        </is>
      </c>
      <c r="CC438" s="219" t="inlineStr">
        <is>
          <t/>
        </is>
      </c>
      <c r="CD438" s="220" t="inlineStr">
        <is>
          <t/>
        </is>
      </c>
      <c r="CE438" s="221" t="inlineStr">
        <is>
          <t/>
        </is>
      </c>
      <c r="CF438" s="222" t="inlineStr">
        <is>
          <t>Completed</t>
        </is>
      </c>
      <c r="CG438" s="223" t="inlineStr">
        <is>
          <t>-0,42%</t>
        </is>
      </c>
      <c r="CH438" s="224" t="inlineStr">
        <is>
          <t>9</t>
        </is>
      </c>
      <c r="CI438" s="225" t="inlineStr">
        <is>
          <t>-0,01%</t>
        </is>
      </c>
      <c r="CJ438" s="226" t="inlineStr">
        <is>
          <t>-1,86%</t>
        </is>
      </c>
      <c r="CK438" s="227" t="inlineStr">
        <is>
          <t>-1,48%</t>
        </is>
      </c>
      <c r="CL438" s="228" t="inlineStr">
        <is>
          <t>7</t>
        </is>
      </c>
      <c r="CM438" s="229" t="inlineStr">
        <is>
          <t>0,63%</t>
        </is>
      </c>
      <c r="CN438" s="230" t="inlineStr">
        <is>
          <t>92</t>
        </is>
      </c>
      <c r="CO438" s="231" t="inlineStr">
        <is>
          <t>-2,95%</t>
        </is>
      </c>
      <c r="CP438" s="232" t="inlineStr">
        <is>
          <t>12</t>
        </is>
      </c>
      <c r="CQ438" s="233" t="inlineStr">
        <is>
          <t>0,00%</t>
        </is>
      </c>
      <c r="CR438" s="234" t="inlineStr">
        <is>
          <t>13</t>
        </is>
      </c>
      <c r="CS438" s="235" t="inlineStr">
        <is>
          <t>0,60%</t>
        </is>
      </c>
      <c r="CT438" s="236" t="inlineStr">
        <is>
          <t>90</t>
        </is>
      </c>
      <c r="CU438" s="237" t="inlineStr">
        <is>
          <t>0,66%</t>
        </is>
      </c>
      <c r="CV438" s="238" t="inlineStr">
        <is>
          <t>94</t>
        </is>
      </c>
      <c r="CW438" s="239" t="inlineStr">
        <is>
          <t>41,76x</t>
        </is>
      </c>
      <c r="CX438" s="240" t="inlineStr">
        <is>
          <t>95</t>
        </is>
      </c>
      <c r="CY438" s="241" t="inlineStr">
        <is>
          <t>0,86x</t>
        </is>
      </c>
      <c r="CZ438" s="242" t="inlineStr">
        <is>
          <t>2,11%</t>
        </is>
      </c>
      <c r="DA438" s="243" t="inlineStr">
        <is>
          <t>21,69x</t>
        </is>
      </c>
      <c r="DB438" s="244" t="inlineStr">
        <is>
          <t>93</t>
        </is>
      </c>
      <c r="DC438" s="245" t="inlineStr">
        <is>
          <t>61,83x</t>
        </is>
      </c>
      <c r="DD438" s="246" t="inlineStr">
        <is>
          <t>95</t>
        </is>
      </c>
      <c r="DE438" s="247" t="inlineStr">
        <is>
          <t>41,55x</t>
        </is>
      </c>
      <c r="DF438" s="248" t="inlineStr">
        <is>
          <t>92</t>
        </is>
      </c>
      <c r="DG438" s="249" t="inlineStr">
        <is>
          <t>1,83x</t>
        </is>
      </c>
      <c r="DH438" s="250" t="inlineStr">
        <is>
          <t>62</t>
        </is>
      </c>
      <c r="DI438" s="251" t="inlineStr">
        <is>
          <t>104,91x</t>
        </is>
      </c>
      <c r="DJ438" s="252" t="inlineStr">
        <is>
          <t>95</t>
        </is>
      </c>
      <c r="DK438" s="253" t="inlineStr">
        <is>
          <t>18,75x</t>
        </is>
      </c>
      <c r="DL438" s="254" t="inlineStr">
        <is>
          <t>91</t>
        </is>
      </c>
      <c r="DM438" s="255" t="inlineStr">
        <is>
          <t>25.974</t>
        </is>
      </c>
      <c r="DN438" s="256" t="inlineStr">
        <is>
          <t>-1.269</t>
        </is>
      </c>
      <c r="DO438" s="257" t="inlineStr">
        <is>
          <t>-4,66%</t>
        </is>
      </c>
      <c r="DP438" s="258" t="inlineStr">
        <is>
          <t>83.603</t>
        </is>
      </c>
      <c r="DQ438" s="259" t="inlineStr">
        <is>
          <t>584</t>
        </is>
      </c>
      <c r="DR438" s="260" t="inlineStr">
        <is>
          <t>0,70%</t>
        </is>
      </c>
      <c r="DS438" s="261" t="inlineStr">
        <is>
          <t>65</t>
        </is>
      </c>
      <c r="DT438" s="262" t="inlineStr">
        <is>
          <t>1</t>
        </is>
      </c>
      <c r="DU438" s="263" t="inlineStr">
        <is>
          <t>1,56%</t>
        </is>
      </c>
      <c r="DV438" s="264" t="inlineStr">
        <is>
          <t>6.430</t>
        </is>
      </c>
      <c r="DW438" s="265" t="inlineStr">
        <is>
          <t>18</t>
        </is>
      </c>
      <c r="DX438" s="266" t="inlineStr">
        <is>
          <t>0,28%</t>
        </is>
      </c>
      <c r="DY438" s="267" t="inlineStr">
        <is>
          <t>PitchBook Research</t>
        </is>
      </c>
      <c r="DZ438" s="786">
        <f>HYPERLINK("https://my.pitchbook.com?c=100647-10", "View company online")</f>
      </c>
    </row>
    <row r="439">
      <c r="A439" s="9" t="inlineStr">
        <is>
          <t>167168-17</t>
        </is>
      </c>
      <c r="B439" s="10" t="inlineStr">
        <is>
          <t>Takumi International</t>
        </is>
      </c>
      <c r="C439" s="11" t="inlineStr">
        <is>
          <t/>
        </is>
      </c>
      <c r="D439" s="12" t="inlineStr">
        <is>
          <t>Takumi</t>
        </is>
      </c>
      <c r="E439" s="13" t="inlineStr">
        <is>
          <t>167168-17</t>
        </is>
      </c>
      <c r="F439" s="14" t="inlineStr">
        <is>
          <t>Developer of an influencer marketing platform designed to help advertisers, brands and agencies to work with micro-influencers on social media campaigns. The company's influencer marketing platform provides fully managed creator campaigns which deliver the whole campaign as a service, enabling users to increase their outreach and target their audiences effectively.</t>
        </is>
      </c>
      <c r="G439" s="15" t="inlineStr">
        <is>
          <t>Business Products and Services (B2B)</t>
        </is>
      </c>
      <c r="H439" s="16" t="inlineStr">
        <is>
          <t>Commercial Services</t>
        </is>
      </c>
      <c r="I439" s="17" t="inlineStr">
        <is>
          <t>Media and Information Services (B2B)</t>
        </is>
      </c>
      <c r="J439" s="18" t="inlineStr">
        <is>
          <t>Media and Information Services (B2B)*; Business/Productivity Software; Social/Platform Software</t>
        </is>
      </c>
      <c r="K439" s="19" t="inlineStr">
        <is>
          <t>AdTech, Marketing Tech</t>
        </is>
      </c>
      <c r="L439" s="20" t="inlineStr">
        <is>
          <t>Venture Capital-Backed</t>
        </is>
      </c>
      <c r="M439" s="21" t="n">
        <v>6.48</v>
      </c>
      <c r="N439" s="22" t="inlineStr">
        <is>
          <t>Startup</t>
        </is>
      </c>
      <c r="O439" s="23" t="inlineStr">
        <is>
          <t>Privately Held (backing)</t>
        </is>
      </c>
      <c r="P439" s="24" t="inlineStr">
        <is>
          <t>Venture Capital</t>
        </is>
      </c>
      <c r="Q439" s="25" t="inlineStr">
        <is>
          <t>www.takumi.com</t>
        </is>
      </c>
      <c r="R439" s="26" t="n">
        <v>3.0</v>
      </c>
      <c r="S439" s="27" t="inlineStr">
        <is>
          <t/>
        </is>
      </c>
      <c r="T439" s="28" t="inlineStr">
        <is>
          <t/>
        </is>
      </c>
      <c r="U439" s="29" t="n">
        <v>2015.0</v>
      </c>
      <c r="V439" s="30" t="inlineStr">
        <is>
          <t/>
        </is>
      </c>
      <c r="W439" s="31" t="inlineStr">
        <is>
          <r>
            <rPr>
              <b/>
              <color rgb="ff26854d"/>
              <rFont val="Arial"/>
              <sz val="8.0"/>
            </rPr>
            <t>Promotion</t>
          </r>
          <r>
            <rPr>
              <color rgb="ff707070"/>
              <rFont val="Arial"/>
              <sz val="7.0"/>
            </rPr>
            <t xml:space="preserve"> NEW  </t>
          </r>
          <r>
            <rPr>
              <color rgb="ff000000"/>
              <rFont val="Arial"/>
              <sz val="8.0"/>
            </rPr>
            <t>Jokull Audunsson, Co-Founder &amp; Head of Product</t>
          </r>
          <r>
            <rPr>
              <color rgb="ff000000"/>
              <rFont val="Arial"/>
              <sz val="8.0"/>
            </rPr>
            <t xml:space="preserve">
</t>
          </r>
          <r>
            <rPr>
              <b/>
              <color rgb="ff26854d"/>
              <rFont val="Arial"/>
              <sz val="8.0"/>
            </rPr>
            <t>Competitor</t>
          </r>
          <r>
            <rPr>
              <color rgb="ff707070"/>
              <rFont val="Arial"/>
              <sz val="7.0"/>
            </rPr>
            <t xml:space="preserve"> NEW  </t>
          </r>
          <r>
            <rPr>
              <color rgb="ff000000"/>
              <rFont val="Arial"/>
              <sz val="8.0"/>
            </rPr>
            <t>FameBit</t>
          </r>
          <r>
            <rPr>
              <color rgb="ff000000"/>
              <rFont val="Arial"/>
              <sz val="8.0"/>
            </rPr>
            <t xml:space="preserve">
</t>
          </r>
          <r>
            <rPr>
              <b/>
              <color rgb="ff26854d"/>
              <rFont val="Arial"/>
              <sz val="8.0"/>
            </rPr>
            <t>Competitor</t>
          </r>
          <r>
            <rPr>
              <color rgb="ff707070"/>
              <rFont val="Arial"/>
              <sz val="7.0"/>
            </rPr>
            <t xml:space="preserve"> NEW  </t>
          </r>
          <r>
            <rPr>
              <color rgb="ff000000"/>
              <rFont val="Arial"/>
              <sz val="8.0"/>
            </rPr>
            <t>Instabrand</t>
          </r>
          <r>
            <rPr>
              <color rgb="ff000000"/>
              <rFont val="Arial"/>
              <sz val="8.0"/>
            </rPr>
            <t xml:space="preserve">
</t>
          </r>
          <r>
            <rPr>
              <b/>
              <color rgb="ff26854d"/>
              <rFont val="Arial"/>
              <sz val="8.0"/>
            </rPr>
            <t>Competitor</t>
          </r>
          <r>
            <rPr>
              <color rgb="ff707070"/>
              <rFont val="Arial"/>
              <sz val="7.0"/>
            </rPr>
            <t xml:space="preserve"> NEW  </t>
          </r>
          <r>
            <rPr>
              <color rgb="ff000000"/>
              <rFont val="Arial"/>
              <sz val="8.0"/>
            </rPr>
            <t>Linqia</t>
          </r>
          <r>
            <rPr>
              <color rgb="ff000000"/>
              <rFont val="Arial"/>
              <sz val="8.0"/>
            </rPr>
            <t xml:space="preserve">
</t>
          </r>
          <r>
            <rPr>
              <b/>
              <color rgb="ff26854d"/>
              <rFont val="Arial"/>
              <sz val="8.0"/>
            </rPr>
            <t>Competitor</t>
          </r>
          <r>
            <rPr>
              <color rgb="ff707070"/>
              <rFont val="Arial"/>
              <sz val="7.0"/>
            </rPr>
            <t xml:space="preserve"> NEW  </t>
          </r>
          <r>
            <rPr>
              <color rgb="ff000000"/>
              <rFont val="Arial"/>
              <sz val="8.0"/>
            </rPr>
            <t>Popular Pays</t>
          </r>
          <r>
            <rPr>
              <color rgb="ff000000"/>
              <rFont val="Arial"/>
              <sz val="8.0"/>
            </rPr>
            <t xml:space="preserve">
</t>
          </r>
          <r>
            <rPr>
              <b/>
              <color rgb="ff26854d"/>
              <rFont val="Arial"/>
              <sz val="8.0"/>
            </rPr>
            <t>Competitor</t>
          </r>
          <r>
            <rPr>
              <color rgb="ff707070"/>
              <rFont val="Arial"/>
              <sz val="7.0"/>
            </rPr>
            <t xml:space="preserve"> NEW  </t>
          </r>
          <r>
            <rPr>
              <color rgb="ff000000"/>
              <rFont val="Arial"/>
              <sz val="8.0"/>
            </rPr>
            <t>TapInfluence</t>
          </r>
        </is>
      </c>
      <c r="X439" s="32" t="inlineStr">
        <is>
          <r>
            <rPr>
              <b/>
              <color rgb="ff26854d"/>
              <rFont val="Arial"/>
              <sz val="8.0"/>
            </rPr>
            <t>Promotion</t>
          </r>
          <r>
            <rPr>
              <color rgb="ff707070"/>
              <rFont val="Arial"/>
              <sz val="7.0"/>
            </rPr>
            <t xml:space="preserve"> NEW  </t>
          </r>
          <r>
            <rPr>
              <color rgb="ff000000"/>
              <rFont val="Arial"/>
              <sz val="8.0"/>
            </rPr>
            <t>Jokull Audunsson, Co-Founder &amp; Head of Product</t>
          </r>
          <r>
            <rPr>
              <color rgb="ff000000"/>
              <rFont val="Arial"/>
              <sz val="8.0"/>
            </rPr>
            <t xml:space="preserve">
</t>
          </r>
          <r>
            <rPr>
              <b/>
              <color rgb="ff26854d"/>
              <rFont val="Arial"/>
              <sz val="8.0"/>
            </rPr>
            <t>Competitor</t>
          </r>
          <r>
            <rPr>
              <color rgb="ff707070"/>
              <rFont val="Arial"/>
              <sz val="7.0"/>
            </rPr>
            <t xml:space="preserve"> NEW  </t>
          </r>
          <r>
            <rPr>
              <color rgb="ff000000"/>
              <rFont val="Arial"/>
              <sz val="8.0"/>
            </rPr>
            <t>FameBit</t>
          </r>
          <r>
            <rPr>
              <color rgb="ff000000"/>
              <rFont val="Arial"/>
              <sz val="8.0"/>
            </rPr>
            <t xml:space="preserve">
</t>
          </r>
          <r>
            <rPr>
              <b/>
              <color rgb="ff26854d"/>
              <rFont val="Arial"/>
              <sz val="8.0"/>
            </rPr>
            <t>Competitor</t>
          </r>
          <r>
            <rPr>
              <color rgb="ff707070"/>
              <rFont val="Arial"/>
              <sz val="7.0"/>
            </rPr>
            <t xml:space="preserve"> NEW  </t>
          </r>
          <r>
            <rPr>
              <color rgb="ff000000"/>
              <rFont val="Arial"/>
              <sz val="8.0"/>
            </rPr>
            <t>Instabrand</t>
          </r>
          <r>
            <rPr>
              <color rgb="ff000000"/>
              <rFont val="Arial"/>
              <sz val="8.0"/>
            </rPr>
            <t xml:space="preserve">
</t>
          </r>
          <r>
            <rPr>
              <b/>
              <color rgb="ff26854d"/>
              <rFont val="Arial"/>
              <sz val="8.0"/>
            </rPr>
            <t>Competitor</t>
          </r>
          <r>
            <rPr>
              <color rgb="ff707070"/>
              <rFont val="Arial"/>
              <sz val="7.0"/>
            </rPr>
            <t xml:space="preserve"> NEW  </t>
          </r>
          <r>
            <rPr>
              <color rgb="ff000000"/>
              <rFont val="Arial"/>
              <sz val="8.0"/>
            </rPr>
            <t>Linqia</t>
          </r>
          <r>
            <rPr>
              <color rgb="ff000000"/>
              <rFont val="Arial"/>
              <sz val="8.0"/>
            </rPr>
            <t xml:space="preserve">
</t>
          </r>
          <r>
            <rPr>
              <b/>
              <color rgb="ff26854d"/>
              <rFont val="Arial"/>
              <sz val="8.0"/>
            </rPr>
            <t>Competitor</t>
          </r>
          <r>
            <rPr>
              <color rgb="ff707070"/>
              <rFont val="Arial"/>
              <sz val="7.0"/>
            </rPr>
            <t xml:space="preserve"> NEW  </t>
          </r>
          <r>
            <rPr>
              <color rgb="ff000000"/>
              <rFont val="Arial"/>
              <sz val="8.0"/>
            </rPr>
            <t>Popular Pays</t>
          </r>
          <r>
            <rPr>
              <color rgb="ff000000"/>
              <rFont val="Arial"/>
              <sz val="8.0"/>
            </rPr>
            <t xml:space="preserve">
</t>
          </r>
          <r>
            <rPr>
              <b/>
              <color rgb="ff26854d"/>
              <rFont val="Arial"/>
              <sz val="8.0"/>
            </rPr>
            <t>Competitor</t>
          </r>
          <r>
            <rPr>
              <color rgb="ff707070"/>
              <rFont val="Arial"/>
              <sz val="7.0"/>
            </rPr>
            <t xml:space="preserve"> NEW  </t>
          </r>
          <r>
            <rPr>
              <color rgb="ff000000"/>
              <rFont val="Arial"/>
              <sz val="8.0"/>
            </rPr>
            <t>TapInfluence</t>
          </r>
        </is>
      </c>
      <c r="Y439" s="33" t="inlineStr">
        <is>
          <t/>
        </is>
      </c>
      <c r="Z439" s="34" t="inlineStr">
        <is>
          <t/>
        </is>
      </c>
      <c r="AA439" s="35" t="inlineStr">
        <is>
          <t/>
        </is>
      </c>
      <c r="AB439" s="36" t="inlineStr">
        <is>
          <t/>
        </is>
      </c>
      <c r="AC439" s="37" t="inlineStr">
        <is>
          <t/>
        </is>
      </c>
      <c r="AD439" s="38" t="inlineStr">
        <is>
          <t/>
        </is>
      </c>
      <c r="AE439" s="39" t="inlineStr">
        <is>
          <t>147751-48P</t>
        </is>
      </c>
      <c r="AF439" s="40" t="inlineStr">
        <is>
          <t>Mats Stigzelius</t>
        </is>
      </c>
      <c r="AG439" s="41" t="inlineStr">
        <is>
          <t>Co-Founder and Chief Executive Officer</t>
        </is>
      </c>
      <c r="AH439" s="42" t="inlineStr">
        <is>
          <t>mats@takumi.com</t>
        </is>
      </c>
      <c r="AI439" s="43" t="inlineStr">
        <is>
          <t/>
        </is>
      </c>
      <c r="AJ439" s="44" t="inlineStr">
        <is>
          <t>London, United Kingdom</t>
        </is>
      </c>
      <c r="AK439" s="45" t="inlineStr">
        <is>
          <t>Rainmaking Loft London, International House</t>
        </is>
      </c>
      <c r="AL439" s="46" t="inlineStr">
        <is>
          <t>1 St Katharine's Way, St Katharine's &amp; Wapping</t>
        </is>
      </c>
      <c r="AM439" s="47" t="inlineStr">
        <is>
          <t>London</t>
        </is>
      </c>
      <c r="AN439" s="48" t="inlineStr">
        <is>
          <t>England</t>
        </is>
      </c>
      <c r="AO439" s="49" t="inlineStr">
        <is>
          <t>E1W 1UN</t>
        </is>
      </c>
      <c r="AP439" s="50" t="inlineStr">
        <is>
          <t>United Kingdom</t>
        </is>
      </c>
      <c r="AQ439" s="51" t="inlineStr">
        <is>
          <t/>
        </is>
      </c>
      <c r="AR439" s="52" t="inlineStr">
        <is>
          <t/>
        </is>
      </c>
      <c r="AS439" s="53" t="inlineStr">
        <is>
          <t>hello@takumi.com</t>
        </is>
      </c>
      <c r="AT439" s="54" t="inlineStr">
        <is>
          <t>Europe</t>
        </is>
      </c>
      <c r="AU439" s="55" t="inlineStr">
        <is>
          <t>Western Europe</t>
        </is>
      </c>
      <c r="AV439" s="56" t="inlineStr">
        <is>
          <t>The company raised $4 million of Series A venture funding from undisclosed family offices and high net worth angel investors on May 11, 2017. The company, which previously raised $3.1 million in seed funding, intends to use the funds to expand in US and globally, to develop its product further, enabling a wider range of campaign options and in-depth campaign reporting. The company brings total investment to $7.1 million till date. Previously, the company raised $1.4 million of angel funding from undisclosed investors on September 19, 2016. The investment will be used to fuel the companies international expansion.</t>
        </is>
      </c>
      <c r="AW439" s="57" t="inlineStr">
        <is>
          <t>Hambro Perks, Rainmaking</t>
        </is>
      </c>
      <c r="AX439" s="58" t="n">
        <v>2.0</v>
      </c>
      <c r="AY439" s="59" t="inlineStr">
        <is>
          <t/>
        </is>
      </c>
      <c r="AZ439" s="60" t="inlineStr">
        <is>
          <t/>
        </is>
      </c>
      <c r="BA439" s="61" t="inlineStr">
        <is>
          <t/>
        </is>
      </c>
      <c r="BB439" s="62" t="inlineStr">
        <is>
          <t>Hambro Perks (www.hambroperks.com), Rainmaking (www.rainmaking.io)</t>
        </is>
      </c>
      <c r="BC439" s="63" t="inlineStr">
        <is>
          <t/>
        </is>
      </c>
      <c r="BD439" s="64" t="inlineStr">
        <is>
          <t/>
        </is>
      </c>
      <c r="BE439" s="65" t="inlineStr">
        <is>
          <t>KPMG Audit (Auditor)</t>
        </is>
      </c>
      <c r="BF439" s="66" t="inlineStr">
        <is>
          <t/>
        </is>
      </c>
      <c r="BG439" s="67" t="inlineStr">
        <is>
          <t/>
        </is>
      </c>
      <c r="BH439" s="68" t="inlineStr">
        <is>
          <t/>
        </is>
      </c>
      <c r="BI439" s="69" t="inlineStr">
        <is>
          <t/>
        </is>
      </c>
      <c r="BJ439" s="70" t="inlineStr">
        <is>
          <t/>
        </is>
      </c>
      <c r="BK439" s="71" t="inlineStr">
        <is>
          <t/>
        </is>
      </c>
      <c r="BL439" s="72" t="inlineStr">
        <is>
          <t>Accelerator/Incubator</t>
        </is>
      </c>
      <c r="BM439" s="73" t="inlineStr">
        <is>
          <t/>
        </is>
      </c>
      <c r="BN439" s="74" t="inlineStr">
        <is>
          <t/>
        </is>
      </c>
      <c r="BO439" s="75" t="inlineStr">
        <is>
          <t>Other</t>
        </is>
      </c>
      <c r="BP439" s="76" t="inlineStr">
        <is>
          <t/>
        </is>
      </c>
      <c r="BQ439" s="77" t="inlineStr">
        <is>
          <t/>
        </is>
      </c>
      <c r="BR439" s="78" t="inlineStr">
        <is>
          <t/>
        </is>
      </c>
      <c r="BS439" s="79" t="inlineStr">
        <is>
          <t>Completed</t>
        </is>
      </c>
      <c r="BT439" s="80" t="n">
        <v>42866.0</v>
      </c>
      <c r="BU439" s="81" t="n">
        <v>3.62</v>
      </c>
      <c r="BV439" s="82" t="inlineStr">
        <is>
          <t>Actual</t>
        </is>
      </c>
      <c r="BW439" s="83" t="inlineStr">
        <is>
          <t/>
        </is>
      </c>
      <c r="BX439" s="84" t="inlineStr">
        <is>
          <t/>
        </is>
      </c>
      <c r="BY439" s="85" t="inlineStr">
        <is>
          <t>Early Stage VC</t>
        </is>
      </c>
      <c r="BZ439" s="86" t="inlineStr">
        <is>
          <t>Series A</t>
        </is>
      </c>
      <c r="CA439" s="87" t="inlineStr">
        <is>
          <t/>
        </is>
      </c>
      <c r="CB439" s="88" t="inlineStr">
        <is>
          <t>Venture Capital</t>
        </is>
      </c>
      <c r="CC439" s="89" t="inlineStr">
        <is>
          <t/>
        </is>
      </c>
      <c r="CD439" s="90" t="inlineStr">
        <is>
          <t/>
        </is>
      </c>
      <c r="CE439" s="91" t="inlineStr">
        <is>
          <t/>
        </is>
      </c>
      <c r="CF439" s="92" t="inlineStr">
        <is>
          <t>Completed</t>
        </is>
      </c>
      <c r="CG439" s="93" t="inlineStr">
        <is>
          <t>-0,71%</t>
        </is>
      </c>
      <c r="CH439" s="94" t="inlineStr">
        <is>
          <t>7</t>
        </is>
      </c>
      <c r="CI439" s="95" t="inlineStr">
        <is>
          <t>0,15%</t>
        </is>
      </c>
      <c r="CJ439" s="96" t="inlineStr">
        <is>
          <t>17,64%</t>
        </is>
      </c>
      <c r="CK439" s="97" t="inlineStr">
        <is>
          <t>-2,70%</t>
        </is>
      </c>
      <c r="CL439" s="98" t="inlineStr">
        <is>
          <t>4</t>
        </is>
      </c>
      <c r="CM439" s="99" t="inlineStr">
        <is>
          <t>1,28%</t>
        </is>
      </c>
      <c r="CN439" s="100" t="inlineStr">
        <is>
          <t>97</t>
        </is>
      </c>
      <c r="CO439" s="101" t="inlineStr">
        <is>
          <t>-5,40%</t>
        </is>
      </c>
      <c r="CP439" s="102" t="inlineStr">
        <is>
          <t>6</t>
        </is>
      </c>
      <c r="CQ439" s="103" t="inlineStr">
        <is>
          <t>0,00%</t>
        </is>
      </c>
      <c r="CR439" s="104" t="inlineStr">
        <is>
          <t>13</t>
        </is>
      </c>
      <c r="CS439" s="105" t="inlineStr">
        <is>
          <t>1,61%</t>
        </is>
      </c>
      <c r="CT439" s="106" t="inlineStr">
        <is>
          <t>97</t>
        </is>
      </c>
      <c r="CU439" s="107" t="inlineStr">
        <is>
          <t>0,95%</t>
        </is>
      </c>
      <c r="CV439" s="108" t="inlineStr">
        <is>
          <t>97</t>
        </is>
      </c>
      <c r="CW439" s="109" t="inlineStr">
        <is>
          <t>2,55x</t>
        </is>
      </c>
      <c r="CX439" s="110" t="inlineStr">
        <is>
          <t>69</t>
        </is>
      </c>
      <c r="CY439" s="111" t="inlineStr">
        <is>
          <t>0,03x</t>
        </is>
      </c>
      <c r="CZ439" s="112" t="inlineStr">
        <is>
          <t>1,25%</t>
        </is>
      </c>
      <c r="DA439" s="113" t="inlineStr">
        <is>
          <t>3,04x</t>
        </is>
      </c>
      <c r="DB439" s="114" t="inlineStr">
        <is>
          <t>73</t>
        </is>
      </c>
      <c r="DC439" s="115" t="inlineStr">
        <is>
          <t>2,06x</t>
        </is>
      </c>
      <c r="DD439" s="116" t="inlineStr">
        <is>
          <t>62</t>
        </is>
      </c>
      <c r="DE439" s="117" t="inlineStr">
        <is>
          <t>5,34x</t>
        </is>
      </c>
      <c r="DF439" s="118" t="inlineStr">
        <is>
          <t>77</t>
        </is>
      </c>
      <c r="DG439" s="119" t="inlineStr">
        <is>
          <t>0,75x</t>
        </is>
      </c>
      <c r="DH439" s="120" t="inlineStr">
        <is>
          <t>44</t>
        </is>
      </c>
      <c r="DI439" s="121" t="inlineStr">
        <is>
          <t>1,17x</t>
        </is>
      </c>
      <c r="DJ439" s="122" t="inlineStr">
        <is>
          <t>53</t>
        </is>
      </c>
      <c r="DK439" s="123" t="inlineStr">
        <is>
          <t>2,96x</t>
        </is>
      </c>
      <c r="DL439" s="124" t="inlineStr">
        <is>
          <t>70</t>
        </is>
      </c>
      <c r="DM439" s="125" t="inlineStr">
        <is>
          <t>3.436</t>
        </is>
      </c>
      <c r="DN439" s="126" t="inlineStr">
        <is>
          <t>-457</t>
        </is>
      </c>
      <c r="DO439" s="127" t="inlineStr">
        <is>
          <t>-11,74%</t>
        </is>
      </c>
      <c r="DP439" s="128" t="inlineStr">
        <is>
          <t>929</t>
        </is>
      </c>
      <c r="DQ439" s="129" t="inlineStr">
        <is>
          <t>36</t>
        </is>
      </c>
      <c r="DR439" s="130" t="inlineStr">
        <is>
          <t>4,03%</t>
        </is>
      </c>
      <c r="DS439" s="131" t="inlineStr">
        <is>
          <t>27</t>
        </is>
      </c>
      <c r="DT439" s="132" t="inlineStr">
        <is>
          <t>-1</t>
        </is>
      </c>
      <c r="DU439" s="133" t="inlineStr">
        <is>
          <t>-3,57%</t>
        </is>
      </c>
      <c r="DV439" s="134" t="inlineStr">
        <is>
          <t>1.012</t>
        </is>
      </c>
      <c r="DW439" s="135" t="inlineStr">
        <is>
          <t>13</t>
        </is>
      </c>
      <c r="DX439" s="136" t="inlineStr">
        <is>
          <t>1,30%</t>
        </is>
      </c>
      <c r="DY439" s="137" t="inlineStr">
        <is>
          <t>PitchBook Research</t>
        </is>
      </c>
      <c r="DZ439" s="785">
        <f>HYPERLINK("https://my.pitchbook.com?c=167168-17", "View company online")</f>
      </c>
    </row>
    <row r="440">
      <c r="A440" s="139" t="inlineStr">
        <is>
          <t>119242-00</t>
        </is>
      </c>
      <c r="B440" s="140" t="inlineStr">
        <is>
          <t>Talent.io</t>
        </is>
      </c>
      <c r="C440" s="141" t="inlineStr">
        <is>
          <t/>
        </is>
      </c>
      <c r="D440" s="142" t="inlineStr">
        <is>
          <t/>
        </is>
      </c>
      <c r="E440" s="143" t="inlineStr">
        <is>
          <t>119242-00</t>
        </is>
      </c>
      <c r="F440" s="144" t="inlineStr">
        <is>
          <t>Provider of a digital recruitment platform designed to help in headhunt process. The company's recruitment platform offers tailored job offers, enabling consumers to create profiles and be visible to companies that are recruiting.</t>
        </is>
      </c>
      <c r="G440" s="145" t="inlineStr">
        <is>
          <t>Business Products and Services (B2B)</t>
        </is>
      </c>
      <c r="H440" s="146" t="inlineStr">
        <is>
          <t>Commercial Services</t>
        </is>
      </c>
      <c r="I440" s="147" t="inlineStr">
        <is>
          <t>Human Capital Services</t>
        </is>
      </c>
      <c r="J440" s="148" t="inlineStr">
        <is>
          <t>Human Capital Services*; Social/Platform Software</t>
        </is>
      </c>
      <c r="K440" s="149" t="inlineStr">
        <is>
          <t>SaaS</t>
        </is>
      </c>
      <c r="L440" s="150" t="inlineStr">
        <is>
          <t>Venture Capital-Backed</t>
        </is>
      </c>
      <c r="M440" s="151" t="n">
        <v>9.97</v>
      </c>
      <c r="N440" s="152" t="inlineStr">
        <is>
          <t>Startup</t>
        </is>
      </c>
      <c r="O440" s="153" t="inlineStr">
        <is>
          <t>Privately Held (backing)</t>
        </is>
      </c>
      <c r="P440" s="154" t="inlineStr">
        <is>
          <t>Venture Capital</t>
        </is>
      </c>
      <c r="Q440" s="155" t="inlineStr">
        <is>
          <t>www.talent.io</t>
        </is>
      </c>
      <c r="R440" s="156" t="n">
        <v>7.0</v>
      </c>
      <c r="S440" s="157" t="inlineStr">
        <is>
          <t/>
        </is>
      </c>
      <c r="T440" s="158" t="inlineStr">
        <is>
          <t/>
        </is>
      </c>
      <c r="U440" s="159" t="n">
        <v>2015.0</v>
      </c>
      <c r="V440" s="160" t="inlineStr">
        <is>
          <t/>
        </is>
      </c>
      <c r="W440" s="161" t="inlineStr">
        <is>
          <t/>
        </is>
      </c>
      <c r="X440" s="162" t="inlineStr">
        <is>
          <t/>
        </is>
      </c>
      <c r="Y440" s="163" t="n">
        <v>2.00152</v>
      </c>
      <c r="Z440" s="164" t="inlineStr">
        <is>
          <t/>
        </is>
      </c>
      <c r="AA440" s="165" t="inlineStr">
        <is>
          <t/>
        </is>
      </c>
      <c r="AB440" s="166" t="inlineStr">
        <is>
          <t/>
        </is>
      </c>
      <c r="AC440" s="167" t="inlineStr">
        <is>
          <t/>
        </is>
      </c>
      <c r="AD440" s="168" t="inlineStr">
        <is>
          <t>FY 2016</t>
        </is>
      </c>
      <c r="AE440" s="169" t="inlineStr">
        <is>
          <t>84038-86P</t>
        </is>
      </c>
      <c r="AF440" s="170" t="inlineStr">
        <is>
          <t>Jonathan Azoulay</t>
        </is>
      </c>
      <c r="AG440" s="171" t="inlineStr">
        <is>
          <t>Co-Founder &amp; Chief Executive Officer</t>
        </is>
      </c>
      <c r="AH440" s="172" t="inlineStr">
        <is>
          <t>jonathan@talent.io</t>
        </is>
      </c>
      <c r="AI440" s="173" t="inlineStr">
        <is>
          <t/>
        </is>
      </c>
      <c r="AJ440" s="174" t="inlineStr">
        <is>
          <t>Paris, France</t>
        </is>
      </c>
      <c r="AK440" s="175" t="inlineStr">
        <is>
          <t>13 rue d'uzès</t>
        </is>
      </c>
      <c r="AL440" s="176" t="inlineStr">
        <is>
          <t>2ème étage</t>
        </is>
      </c>
      <c r="AM440" s="177" t="inlineStr">
        <is>
          <t>Paris</t>
        </is>
      </c>
      <c r="AN440" s="178" t="inlineStr">
        <is>
          <t/>
        </is>
      </c>
      <c r="AO440" s="179" t="inlineStr">
        <is>
          <t>75002</t>
        </is>
      </c>
      <c r="AP440" s="180" t="inlineStr">
        <is>
          <t>France</t>
        </is>
      </c>
      <c r="AQ440" s="181" t="inlineStr">
        <is>
          <t/>
        </is>
      </c>
      <c r="AR440" s="182" t="inlineStr">
        <is>
          <t/>
        </is>
      </c>
      <c r="AS440" s="183" t="inlineStr">
        <is>
          <t>contact@talent.io</t>
        </is>
      </c>
      <c r="AT440" s="184" t="inlineStr">
        <is>
          <t>Europe</t>
        </is>
      </c>
      <c r="AU440" s="185" t="inlineStr">
        <is>
          <t>Western Europe</t>
        </is>
      </c>
      <c r="AV440" s="186" t="inlineStr">
        <is>
          <t>The company raised $8.8 million of venture funding from Alven Capital Partners and Ventech on May 16, 2017. The company intends to use the funds to continue to expand operations and its business reach.</t>
        </is>
      </c>
      <c r="AW440" s="187" t="inlineStr">
        <is>
          <t>Alven Capital Partners, Celine Lazorthes, Elaia Partners, Fotolia, Microsoft Accelerator, Showroomprive.com, Ventech</t>
        </is>
      </c>
      <c r="AX440" s="188" t="n">
        <v>7.0</v>
      </c>
      <c r="AY440" s="189" t="inlineStr">
        <is>
          <t/>
        </is>
      </c>
      <c r="AZ440" s="190" t="inlineStr">
        <is>
          <t/>
        </is>
      </c>
      <c r="BA440" s="191" t="inlineStr">
        <is>
          <t/>
        </is>
      </c>
      <c r="BB440" s="192" t="inlineStr">
        <is>
          <t>Alven Capital Partners (www.alven.co), Elaia Partners (www.elaia.com), Fotolia (us.fotolia.com), Microsoft Accelerator (www.microsoftaccelerator.com), Showroomprive.com (www.showroomprivegroup.com), Ventech (www.ventechvc.com)</t>
        </is>
      </c>
      <c r="BC440" s="193" t="inlineStr">
        <is>
          <t/>
        </is>
      </c>
      <c r="BD440" s="194" t="inlineStr">
        <is>
          <t/>
        </is>
      </c>
      <c r="BE440" s="195" t="inlineStr">
        <is>
          <t/>
        </is>
      </c>
      <c r="BF440" s="196" t="inlineStr">
        <is>
          <t/>
        </is>
      </c>
      <c r="BG440" s="197" t="n">
        <v>42191.0</v>
      </c>
      <c r="BH440" s="198" t="n">
        <v>2.0</v>
      </c>
      <c r="BI440" s="199" t="inlineStr">
        <is>
          <t>Actual</t>
        </is>
      </c>
      <c r="BJ440" s="200" t="inlineStr">
        <is>
          <t/>
        </is>
      </c>
      <c r="BK440" s="201" t="inlineStr">
        <is>
          <t/>
        </is>
      </c>
      <c r="BL440" s="202" t="inlineStr">
        <is>
          <t>Early Stage VC</t>
        </is>
      </c>
      <c r="BM440" s="203" t="inlineStr">
        <is>
          <t/>
        </is>
      </c>
      <c r="BN440" s="204" t="inlineStr">
        <is>
          <t/>
        </is>
      </c>
      <c r="BO440" s="205" t="inlineStr">
        <is>
          <t>Venture Capital</t>
        </is>
      </c>
      <c r="BP440" s="206" t="inlineStr">
        <is>
          <t/>
        </is>
      </c>
      <c r="BQ440" s="207" t="inlineStr">
        <is>
          <t/>
        </is>
      </c>
      <c r="BR440" s="208" t="inlineStr">
        <is>
          <t/>
        </is>
      </c>
      <c r="BS440" s="209" t="inlineStr">
        <is>
          <t>Completed</t>
        </is>
      </c>
      <c r="BT440" s="210" t="n">
        <v>42871.0</v>
      </c>
      <c r="BU440" s="211" t="n">
        <v>7.97</v>
      </c>
      <c r="BV440" s="212" t="inlineStr">
        <is>
          <t>Actual</t>
        </is>
      </c>
      <c r="BW440" s="213" t="inlineStr">
        <is>
          <t/>
        </is>
      </c>
      <c r="BX440" s="214" t="inlineStr">
        <is>
          <t/>
        </is>
      </c>
      <c r="BY440" s="215" t="inlineStr">
        <is>
          <t>Early Stage VC</t>
        </is>
      </c>
      <c r="BZ440" s="216" t="inlineStr">
        <is>
          <t/>
        </is>
      </c>
      <c r="CA440" s="217" t="inlineStr">
        <is>
          <t/>
        </is>
      </c>
      <c r="CB440" s="218" t="inlineStr">
        <is>
          <t>Venture Capital</t>
        </is>
      </c>
      <c r="CC440" s="219" t="inlineStr">
        <is>
          <t/>
        </is>
      </c>
      <c r="CD440" s="220" t="inlineStr">
        <is>
          <t/>
        </is>
      </c>
      <c r="CE440" s="221" t="inlineStr">
        <is>
          <t/>
        </is>
      </c>
      <c r="CF440" s="222" t="inlineStr">
        <is>
          <t>Completed</t>
        </is>
      </c>
      <c r="CG440" s="223" t="inlineStr">
        <is>
          <t>-0,34%</t>
        </is>
      </c>
      <c r="CH440" s="224" t="inlineStr">
        <is>
          <t>10</t>
        </is>
      </c>
      <c r="CI440" s="225" t="inlineStr">
        <is>
          <t>-0,07%</t>
        </is>
      </c>
      <c r="CJ440" s="226" t="inlineStr">
        <is>
          <t>-26,03%</t>
        </is>
      </c>
      <c r="CK440" s="227" t="inlineStr">
        <is>
          <t>-0,91%</t>
        </is>
      </c>
      <c r="CL440" s="228" t="inlineStr">
        <is>
          <t>9</t>
        </is>
      </c>
      <c r="CM440" s="229" t="inlineStr">
        <is>
          <t>0,22%</t>
        </is>
      </c>
      <c r="CN440" s="230" t="inlineStr">
        <is>
          <t>75</t>
        </is>
      </c>
      <c r="CO440" s="231" t="inlineStr">
        <is>
          <t>-1,60%</t>
        </is>
      </c>
      <c r="CP440" s="232" t="inlineStr">
        <is>
          <t>17</t>
        </is>
      </c>
      <c r="CQ440" s="233" t="inlineStr">
        <is>
          <t>-0,22%</t>
        </is>
      </c>
      <c r="CR440" s="234" t="inlineStr">
        <is>
          <t>10</t>
        </is>
      </c>
      <c r="CS440" s="235" t="inlineStr">
        <is>
          <t>0,26%</t>
        </is>
      </c>
      <c r="CT440" s="236" t="inlineStr">
        <is>
          <t>76</t>
        </is>
      </c>
      <c r="CU440" s="237" t="inlineStr">
        <is>
          <t>0,19%</t>
        </is>
      </c>
      <c r="CV440" s="238" t="inlineStr">
        <is>
          <t>77</t>
        </is>
      </c>
      <c r="CW440" s="239" t="inlineStr">
        <is>
          <t>20,40x</t>
        </is>
      </c>
      <c r="CX440" s="240" t="inlineStr">
        <is>
          <t>92</t>
        </is>
      </c>
      <c r="CY440" s="241" t="inlineStr">
        <is>
          <t>0,11x</t>
        </is>
      </c>
      <c r="CZ440" s="242" t="inlineStr">
        <is>
          <t>0,56%</t>
        </is>
      </c>
      <c r="DA440" s="243" t="inlineStr">
        <is>
          <t>34,13x</t>
        </is>
      </c>
      <c r="DB440" s="244" t="inlineStr">
        <is>
          <t>95</t>
        </is>
      </c>
      <c r="DC440" s="245" t="inlineStr">
        <is>
          <t>6,67x</t>
        </is>
      </c>
      <c r="DD440" s="246" t="inlineStr">
        <is>
          <t>80</t>
        </is>
      </c>
      <c r="DE440" s="247" t="inlineStr">
        <is>
          <t>60,68x</t>
        </is>
      </c>
      <c r="DF440" s="248" t="inlineStr">
        <is>
          <t>94</t>
        </is>
      </c>
      <c r="DG440" s="249" t="inlineStr">
        <is>
          <t>7,58x</t>
        </is>
      </c>
      <c r="DH440" s="250" t="inlineStr">
        <is>
          <t>83</t>
        </is>
      </c>
      <c r="DI440" s="251" t="inlineStr">
        <is>
          <t>5,43x</t>
        </is>
      </c>
      <c r="DJ440" s="252" t="inlineStr">
        <is>
          <t>76</t>
        </is>
      </c>
      <c r="DK440" s="253" t="inlineStr">
        <is>
          <t>7,91x</t>
        </is>
      </c>
      <c r="DL440" s="254" t="inlineStr">
        <is>
          <t>84</t>
        </is>
      </c>
      <c r="DM440" s="255" t="inlineStr">
        <is>
          <t>37.031</t>
        </is>
      </c>
      <c r="DN440" s="256" t="inlineStr">
        <is>
          <t>856</t>
        </is>
      </c>
      <c r="DO440" s="257" t="inlineStr">
        <is>
          <t>2,37%</t>
        </is>
      </c>
      <c r="DP440" s="258" t="inlineStr">
        <is>
          <t>4.317</t>
        </is>
      </c>
      <c r="DQ440" s="259" t="inlineStr">
        <is>
          <t>10</t>
        </is>
      </c>
      <c r="DR440" s="260" t="inlineStr">
        <is>
          <t>0,23%</t>
        </is>
      </c>
      <c r="DS440" s="261" t="inlineStr">
        <is>
          <t>274</t>
        </is>
      </c>
      <c r="DT440" s="262" t="inlineStr">
        <is>
          <t>-3</t>
        </is>
      </c>
      <c r="DU440" s="263" t="inlineStr">
        <is>
          <t>-1,08%</t>
        </is>
      </c>
      <c r="DV440" s="264" t="inlineStr">
        <is>
          <t>2.707</t>
        </is>
      </c>
      <c r="DW440" s="265" t="inlineStr">
        <is>
          <t>9</t>
        </is>
      </c>
      <c r="DX440" s="266" t="inlineStr">
        <is>
          <t>0,33%</t>
        </is>
      </c>
      <c r="DY440" s="267" t="inlineStr">
        <is>
          <t>PitchBook Research</t>
        </is>
      </c>
      <c r="DZ440" s="786">
        <f>HYPERLINK("https://my.pitchbook.com?c=119242-00", "View company online")</f>
      </c>
    </row>
    <row r="441">
      <c r="A441" s="9" t="inlineStr">
        <is>
          <t>88740-55</t>
        </is>
      </c>
      <c r="B441" s="10" t="inlineStr">
        <is>
          <t>Tandem (Financial Software)</t>
        </is>
      </c>
      <c r="C441" s="11" t="inlineStr">
        <is>
          <t>RNM Financial</t>
        </is>
      </c>
      <c r="D441" s="12" t="inlineStr">
        <is>
          <t/>
        </is>
      </c>
      <c r="E441" s="13" t="inlineStr">
        <is>
          <t>88740-55</t>
        </is>
      </c>
      <c r="F441" s="14" t="inlineStr">
        <is>
          <t>Provider of mobile retail banking services designed to re-define customers' relationship with their banks. The company's mobile retail banking services offer a full range of traditional and innovative banking products including current accounts, loans, savings and credit cards, all within an intuitive and engaging banking application, enabling customers to see all their financial information in one place as well as offers intelligent notification and guidance to help them get the most out of their money.</t>
        </is>
      </c>
      <c r="G441" s="15" t="inlineStr">
        <is>
          <t>Information Technology</t>
        </is>
      </c>
      <c r="H441" s="16" t="inlineStr">
        <is>
          <t>Software</t>
        </is>
      </c>
      <c r="I441" s="17" t="inlineStr">
        <is>
          <t>Financial Software</t>
        </is>
      </c>
      <c r="J441" s="18" t="inlineStr">
        <is>
          <t>Financial Software*; Other Commercial Banks; Other Financial Services</t>
        </is>
      </c>
      <c r="K441" s="19" t="inlineStr">
        <is>
          <t>E-Commerce, FinTech, Mobile, SaaS</t>
        </is>
      </c>
      <c r="L441" s="20" t="inlineStr">
        <is>
          <t>Venture Capital-Backed</t>
        </is>
      </c>
      <c r="M441" s="21" t="n">
        <v>87.15</v>
      </c>
      <c r="N441" s="22" t="inlineStr">
        <is>
          <t>Startup</t>
        </is>
      </c>
      <c r="O441" s="23" t="inlineStr">
        <is>
          <t>Privately Held (backing)</t>
        </is>
      </c>
      <c r="P441" s="24" t="inlineStr">
        <is>
          <t>Venture Capital</t>
        </is>
      </c>
      <c r="Q441" s="25" t="inlineStr">
        <is>
          <t>www.tandem.co.uk</t>
        </is>
      </c>
      <c r="R441" s="26" t="n">
        <v>80.0</v>
      </c>
      <c r="S441" s="27" t="inlineStr">
        <is>
          <t/>
        </is>
      </c>
      <c r="T441" s="28" t="inlineStr">
        <is>
          <t/>
        </is>
      </c>
      <c r="U441" s="29" t="n">
        <v>2013.0</v>
      </c>
      <c r="V441" s="30" t="inlineStr">
        <is>
          <t/>
        </is>
      </c>
      <c r="W441" s="31" t="inlineStr">
        <is>
          <t/>
        </is>
      </c>
      <c r="X441" s="32" t="inlineStr">
        <is>
          <t/>
        </is>
      </c>
      <c r="Y441" s="33" t="inlineStr">
        <is>
          <t/>
        </is>
      </c>
      <c r="Z441" s="34" t="inlineStr">
        <is>
          <t/>
        </is>
      </c>
      <c r="AA441" s="35" t="inlineStr">
        <is>
          <t/>
        </is>
      </c>
      <c r="AB441" s="36" t="inlineStr">
        <is>
          <t/>
        </is>
      </c>
      <c r="AC441" s="37" t="inlineStr">
        <is>
          <t/>
        </is>
      </c>
      <c r="AD441" s="38" t="inlineStr">
        <is>
          <t/>
        </is>
      </c>
      <c r="AE441" s="39" t="inlineStr">
        <is>
          <t>134384-50P</t>
        </is>
      </c>
      <c r="AF441" s="40" t="inlineStr">
        <is>
          <t>Stephen Hulme</t>
        </is>
      </c>
      <c r="AG441" s="41" t="inlineStr">
        <is>
          <t>Chief Financial Officer &amp; Board Member</t>
        </is>
      </c>
      <c r="AH441" s="42" t="inlineStr">
        <is>
          <t>steve.hulme@tandem.co.uk</t>
        </is>
      </c>
      <c r="AI441" s="43" t="inlineStr">
        <is>
          <t>+44 (0)20 3370 0970</t>
        </is>
      </c>
      <c r="AJ441" s="44" t="inlineStr">
        <is>
          <t>London, United Kingdom</t>
        </is>
      </c>
      <c r="AK441" s="45" t="inlineStr">
        <is>
          <t>123 Pentonville Road</t>
        </is>
      </c>
      <c r="AL441" s="46" t="inlineStr">
        <is>
          <t/>
        </is>
      </c>
      <c r="AM441" s="47" t="inlineStr">
        <is>
          <t>London</t>
        </is>
      </c>
      <c r="AN441" s="48" t="inlineStr">
        <is>
          <t>England</t>
        </is>
      </c>
      <c r="AO441" s="49" t="inlineStr">
        <is>
          <t>N1 9LG</t>
        </is>
      </c>
      <c r="AP441" s="50" t="inlineStr">
        <is>
          <t>United Kingdom</t>
        </is>
      </c>
      <c r="AQ441" s="51" t="inlineStr">
        <is>
          <t>+44 (0)20 3370 0970</t>
        </is>
      </c>
      <c r="AR441" s="52" t="inlineStr">
        <is>
          <t/>
        </is>
      </c>
      <c r="AS441" s="53" t="inlineStr">
        <is>
          <t>hello@tandem.co.uk</t>
        </is>
      </c>
      <c r="AT441" s="54" t="inlineStr">
        <is>
          <t>Europe</t>
        </is>
      </c>
      <c r="AU441" s="55" t="inlineStr">
        <is>
          <t>Western Europe</t>
        </is>
      </c>
      <c r="AV441" s="56" t="inlineStr">
        <is>
          <t>The company received GBP 35 million of financing from House of Fraser on December 29, 2016. The investment will be part of a tie-up between the startup and House of Fraser. Prior to that, the company raised GBP 2.34 million of angel funding via crowdfunding platform Seedrs on May 19, 2016, putting the company's pre-money valuation at GBP 65.7 million. Before that, the company raised GBP 22 million of Series B venture funding in a deal led by Omidyar Network on May 12, 2016, putting the pre-money valuation at EUR 43 million. Route 66 Ventures, e.ventures, TA Ventures and Nigel Morris also participated in this round.</t>
        </is>
      </c>
      <c r="AW441" s="57" t="inlineStr">
        <is>
          <t>e.ventures, House of Fraser, Nigel Morris, Omidyar Network, Route 66 Ventures, TA Ventures</t>
        </is>
      </c>
      <c r="AX441" s="58" t="n">
        <v>6.0</v>
      </c>
      <c r="AY441" s="59" t="inlineStr">
        <is>
          <t/>
        </is>
      </c>
      <c r="AZ441" s="60" t="inlineStr">
        <is>
          <t/>
        </is>
      </c>
      <c r="BA441" s="61" t="inlineStr">
        <is>
          <t/>
        </is>
      </c>
      <c r="BB441" s="62" t="inlineStr">
        <is>
          <t>e.ventures (www.eventures.vc), House of Fraser (www.houseoffraser.co.uk), Omidyar Network (www.omidyar.com), Route 66 Ventures (www.route66ventures.com), TA Ventures (www.taventures.vc)</t>
        </is>
      </c>
      <c r="BC441" s="63" t="inlineStr">
        <is>
          <t/>
        </is>
      </c>
      <c r="BD441" s="64" t="inlineStr">
        <is>
          <t/>
        </is>
      </c>
      <c r="BE441" s="65" t="inlineStr">
        <is>
          <t/>
        </is>
      </c>
      <c r="BF441" s="66" t="inlineStr">
        <is>
          <t>Seedrs (Lead Manager or Arranger)</t>
        </is>
      </c>
      <c r="BG441" s="67" t="n">
        <v>41702.0</v>
      </c>
      <c r="BH441" s="68" t="n">
        <v>0.18</v>
      </c>
      <c r="BI441" s="69" t="inlineStr">
        <is>
          <t>Actual</t>
        </is>
      </c>
      <c r="BJ441" s="70" t="n">
        <v>0.56</v>
      </c>
      <c r="BK441" s="71" t="inlineStr">
        <is>
          <t>Actual</t>
        </is>
      </c>
      <c r="BL441" s="72" t="inlineStr">
        <is>
          <t>Angel (individual)</t>
        </is>
      </c>
      <c r="BM441" s="73" t="inlineStr">
        <is>
          <t>Angel</t>
        </is>
      </c>
      <c r="BN441" s="74" t="inlineStr">
        <is>
          <t/>
        </is>
      </c>
      <c r="BO441" s="75" t="inlineStr">
        <is>
          <t>Individual</t>
        </is>
      </c>
      <c r="BP441" s="76" t="inlineStr">
        <is>
          <t/>
        </is>
      </c>
      <c r="BQ441" s="77" t="inlineStr">
        <is>
          <t/>
        </is>
      </c>
      <c r="BR441" s="78" t="inlineStr">
        <is>
          <t/>
        </is>
      </c>
      <c r="BS441" s="79" t="inlineStr">
        <is>
          <t>Completed</t>
        </is>
      </c>
      <c r="BT441" s="80" t="n">
        <v>42733.0</v>
      </c>
      <c r="BU441" s="81" t="n">
        <v>41.46</v>
      </c>
      <c r="BV441" s="82" t="inlineStr">
        <is>
          <t>Actual</t>
        </is>
      </c>
      <c r="BW441" s="83" t="inlineStr">
        <is>
          <t/>
        </is>
      </c>
      <c r="BX441" s="84" t="inlineStr">
        <is>
          <t/>
        </is>
      </c>
      <c r="BY441" s="85" t="inlineStr">
        <is>
          <t>Corporate</t>
        </is>
      </c>
      <c r="BZ441" s="86" t="inlineStr">
        <is>
          <t>Corporate</t>
        </is>
      </c>
      <c r="CA441" s="87" t="inlineStr">
        <is>
          <t/>
        </is>
      </c>
      <c r="CB441" s="88" t="inlineStr">
        <is>
          <t>Corporate</t>
        </is>
      </c>
      <c r="CC441" s="89" t="inlineStr">
        <is>
          <t/>
        </is>
      </c>
      <c r="CD441" s="90" t="inlineStr">
        <is>
          <t/>
        </is>
      </c>
      <c r="CE441" s="91" t="inlineStr">
        <is>
          <t/>
        </is>
      </c>
      <c r="CF441" s="92" t="inlineStr">
        <is>
          <t>Completed</t>
        </is>
      </c>
      <c r="CG441" s="93" t="inlineStr">
        <is>
          <t>3,35%</t>
        </is>
      </c>
      <c r="CH441" s="94" t="inlineStr">
        <is>
          <t>96</t>
        </is>
      </c>
      <c r="CI441" s="95" t="inlineStr">
        <is>
          <t>-2,76%</t>
        </is>
      </c>
      <c r="CJ441" s="96" t="inlineStr">
        <is>
          <t>-45,21%</t>
        </is>
      </c>
      <c r="CK441" s="97" t="inlineStr">
        <is>
          <t>6,05%</t>
        </is>
      </c>
      <c r="CL441" s="98" t="inlineStr">
        <is>
          <t>97</t>
        </is>
      </c>
      <c r="CM441" s="99" t="inlineStr">
        <is>
          <t>0,65%</t>
        </is>
      </c>
      <c r="CN441" s="100" t="inlineStr">
        <is>
          <t>93</t>
        </is>
      </c>
      <c r="CO441" s="101" t="inlineStr">
        <is>
          <t>5,95%</t>
        </is>
      </c>
      <c r="CP441" s="102" t="inlineStr">
        <is>
          <t>97</t>
        </is>
      </c>
      <c r="CQ441" s="103" t="inlineStr">
        <is>
          <t>6,15%</t>
        </is>
      </c>
      <c r="CR441" s="104" t="inlineStr">
        <is>
          <t>95</t>
        </is>
      </c>
      <c r="CS441" s="105" t="inlineStr">
        <is>
          <t/>
        </is>
      </c>
      <c r="CT441" s="106" t="inlineStr">
        <is>
          <t/>
        </is>
      </c>
      <c r="CU441" s="107" t="inlineStr">
        <is>
          <t>0,65%</t>
        </is>
      </c>
      <c r="CV441" s="108" t="inlineStr">
        <is>
          <t>94</t>
        </is>
      </c>
      <c r="CW441" s="109" t="inlineStr">
        <is>
          <t>14,85x</t>
        </is>
      </c>
      <c r="CX441" s="110" t="inlineStr">
        <is>
          <t>90</t>
        </is>
      </c>
      <c r="CY441" s="111" t="inlineStr">
        <is>
          <t>0,44x</t>
        </is>
      </c>
      <c r="CZ441" s="112" t="inlineStr">
        <is>
          <t>3,02%</t>
        </is>
      </c>
      <c r="DA441" s="113" t="inlineStr">
        <is>
          <t>14,50x</t>
        </is>
      </c>
      <c r="DB441" s="114" t="inlineStr">
        <is>
          <t>90</t>
        </is>
      </c>
      <c r="DC441" s="115" t="inlineStr">
        <is>
          <t>15,20x</t>
        </is>
      </c>
      <c r="DD441" s="116" t="inlineStr">
        <is>
          <t>88</t>
        </is>
      </c>
      <c r="DE441" s="117" t="inlineStr">
        <is>
          <t>22,64x</t>
        </is>
      </c>
      <c r="DF441" s="118" t="inlineStr">
        <is>
          <t>89</t>
        </is>
      </c>
      <c r="DG441" s="119" t="inlineStr">
        <is>
          <t>6,36x</t>
        </is>
      </c>
      <c r="DH441" s="120" t="inlineStr">
        <is>
          <t>81</t>
        </is>
      </c>
      <c r="DI441" s="121" t="inlineStr">
        <is>
          <t/>
        </is>
      </c>
      <c r="DJ441" s="122" t="inlineStr">
        <is>
          <t/>
        </is>
      </c>
      <c r="DK441" s="123" t="inlineStr">
        <is>
          <t>15,20x</t>
        </is>
      </c>
      <c r="DL441" s="124" t="inlineStr">
        <is>
          <t>90</t>
        </is>
      </c>
      <c r="DM441" s="125" t="inlineStr">
        <is>
          <t>13.648</t>
        </is>
      </c>
      <c r="DN441" s="126" t="inlineStr">
        <is>
          <t>831</t>
        </is>
      </c>
      <c r="DO441" s="127" t="inlineStr">
        <is>
          <t>6,48%</t>
        </is>
      </c>
      <c r="DP441" s="128" t="inlineStr">
        <is>
          <t/>
        </is>
      </c>
      <c r="DQ441" s="129" t="inlineStr">
        <is>
          <t/>
        </is>
      </c>
      <c r="DR441" s="130" t="inlineStr">
        <is>
          <t/>
        </is>
      </c>
      <c r="DS441" s="131" t="inlineStr">
        <is>
          <t>229</t>
        </is>
      </c>
      <c r="DT441" s="132" t="inlineStr">
        <is>
          <t>1</t>
        </is>
      </c>
      <c r="DU441" s="133" t="inlineStr">
        <is>
          <t>0,44%</t>
        </is>
      </c>
      <c r="DV441" s="134" t="inlineStr">
        <is>
          <t>5.205</t>
        </is>
      </c>
      <c r="DW441" s="135" t="inlineStr">
        <is>
          <t>15</t>
        </is>
      </c>
      <c r="DX441" s="136" t="inlineStr">
        <is>
          <t>0,29%</t>
        </is>
      </c>
      <c r="DY441" s="137" t="inlineStr">
        <is>
          <t>PitchBook Research</t>
        </is>
      </c>
      <c r="DZ441" s="785">
        <f>HYPERLINK("https://my.pitchbook.com?c=88740-55", "View company online")</f>
      </c>
    </row>
    <row r="442">
      <c r="A442" s="139" t="inlineStr">
        <is>
          <t>152506-09</t>
        </is>
      </c>
      <c r="B442" s="140" t="inlineStr">
        <is>
          <t>Tapp Commerce</t>
        </is>
      </c>
      <c r="C442" s="141" t="inlineStr">
        <is>
          <t/>
        </is>
      </c>
      <c r="D442" s="142" t="inlineStr">
        <is>
          <t>tapp</t>
        </is>
      </c>
      <c r="E442" s="143" t="inlineStr">
        <is>
          <t>152506-09</t>
        </is>
      </c>
      <c r="F442" s="144" t="inlineStr">
        <is>
          <t>Provider of payment-processing software. The company provides a platform for people without bank accounts to buy goods and services online via mobile point-of-sales agents (micro entrepreneur) network in emerging markets.</t>
        </is>
      </c>
      <c r="G442" s="145" t="inlineStr">
        <is>
          <t>Information Technology</t>
        </is>
      </c>
      <c r="H442" s="146" t="inlineStr">
        <is>
          <t>Software</t>
        </is>
      </c>
      <c r="I442" s="147" t="inlineStr">
        <is>
          <t>Financial Software</t>
        </is>
      </c>
      <c r="J442" s="148" t="inlineStr">
        <is>
          <t>Financial Software*</t>
        </is>
      </c>
      <c r="K442" s="149" t="inlineStr">
        <is>
          <t>E-Commerce, Mobile, SaaS</t>
        </is>
      </c>
      <c r="L442" s="150" t="inlineStr">
        <is>
          <t>Venture Capital-Backed</t>
        </is>
      </c>
      <c r="M442" s="151" t="n">
        <v>11.31</v>
      </c>
      <c r="N442" s="152" t="inlineStr">
        <is>
          <t>Profitable</t>
        </is>
      </c>
      <c r="O442" s="153" t="inlineStr">
        <is>
          <t>Privately Held (backing)</t>
        </is>
      </c>
      <c r="P442" s="154" t="inlineStr">
        <is>
          <t>Venture Capital</t>
        </is>
      </c>
      <c r="Q442" s="155" t="inlineStr">
        <is>
          <t>www.tappcommerce.com</t>
        </is>
      </c>
      <c r="R442" s="156" t="n">
        <v>77.0</v>
      </c>
      <c r="S442" s="157" t="inlineStr">
        <is>
          <t/>
        </is>
      </c>
      <c r="T442" s="158" t="inlineStr">
        <is>
          <t/>
        </is>
      </c>
      <c r="U442" s="159" t="n">
        <v>2013.0</v>
      </c>
      <c r="V442" s="160" t="inlineStr">
        <is>
          <t/>
        </is>
      </c>
      <c r="W442" s="161" t="inlineStr">
        <is>
          <t/>
        </is>
      </c>
      <c r="X442" s="162" t="inlineStr">
        <is>
          <t/>
        </is>
      </c>
      <c r="Y442" s="163" t="n">
        <v>0.24351</v>
      </c>
      <c r="Z442" s="164" t="inlineStr">
        <is>
          <t/>
        </is>
      </c>
      <c r="AA442" s="165" t="inlineStr">
        <is>
          <t/>
        </is>
      </c>
      <c r="AB442" s="166" t="inlineStr">
        <is>
          <t/>
        </is>
      </c>
      <c r="AC442" s="167" t="n">
        <v>-0.60878</v>
      </c>
      <c r="AD442" s="168" t="inlineStr">
        <is>
          <t>FY 2014</t>
        </is>
      </c>
      <c r="AE442" s="169" t="inlineStr">
        <is>
          <t>128360-35P</t>
        </is>
      </c>
      <c r="AF442" s="170" t="inlineStr">
        <is>
          <t>Warren Sample</t>
        </is>
      </c>
      <c r="AG442" s="171" t="inlineStr">
        <is>
          <t>Co-Founder, Chief Executive Officer and Chairman</t>
        </is>
      </c>
      <c r="AH442" s="172" t="inlineStr">
        <is>
          <t>warren.sample@tappcommerce.com</t>
        </is>
      </c>
      <c r="AI442" s="173" t="inlineStr">
        <is>
          <t>+358 (0)50 487 6856</t>
        </is>
      </c>
      <c r="AJ442" s="174" t="inlineStr">
        <is>
          <t>Turku, Finland</t>
        </is>
      </c>
      <c r="AK442" s="175" t="inlineStr">
        <is>
          <t>Lantinen Rantakatu 53</t>
        </is>
      </c>
      <c r="AL442" s="176" t="inlineStr">
        <is>
          <t/>
        </is>
      </c>
      <c r="AM442" s="177" t="inlineStr">
        <is>
          <t>Turku</t>
        </is>
      </c>
      <c r="AN442" s="178" t="inlineStr">
        <is>
          <t/>
        </is>
      </c>
      <c r="AO442" s="179" t="inlineStr">
        <is>
          <t>20100</t>
        </is>
      </c>
      <c r="AP442" s="180" t="inlineStr">
        <is>
          <t>Finland</t>
        </is>
      </c>
      <c r="AQ442" s="181" t="inlineStr">
        <is>
          <t>+358 (0)50 486 9192</t>
        </is>
      </c>
      <c r="AR442" s="182" t="inlineStr">
        <is>
          <t/>
        </is>
      </c>
      <c r="AS442" s="183" t="inlineStr">
        <is>
          <t>info@tappcommerce.com</t>
        </is>
      </c>
      <c r="AT442" s="184" t="inlineStr">
        <is>
          <t>Europe</t>
        </is>
      </c>
      <c r="AU442" s="185" t="inlineStr">
        <is>
          <t>Northern Europe</t>
        </is>
      </c>
      <c r="AV442" s="186" t="inlineStr">
        <is>
          <t>The company rasied $9 million of Series A venture funding from AMMA Private Equity. The company will use the funding for the further growth of the company as well as for consumer acquisition efforts and continuing to build platform services. With the round Amma Private Equity has now invested a total of $12.9 million in the comapny to date. Previously, the company raised $3.9 million of Seed funding from AMMA Private Equity</t>
        </is>
      </c>
      <c r="AW442" s="187" t="inlineStr">
        <is>
          <t>AMMA Private Equity, Tekes</t>
        </is>
      </c>
      <c r="AX442" s="188" t="n">
        <v>2.0</v>
      </c>
      <c r="AY442" s="189" t="inlineStr">
        <is>
          <t/>
        </is>
      </c>
      <c r="AZ442" s="190" t="inlineStr">
        <is>
          <t/>
        </is>
      </c>
      <c r="BA442" s="191" t="inlineStr">
        <is>
          <t/>
        </is>
      </c>
      <c r="BB442" s="192" t="inlineStr">
        <is>
          <t>AMMA Private Equity (www.ammaequity.com), Tekes (www.tekes.fi)</t>
        </is>
      </c>
      <c r="BC442" s="193" t="inlineStr">
        <is>
          <t/>
        </is>
      </c>
      <c r="BD442" s="194" t="inlineStr">
        <is>
          <t/>
        </is>
      </c>
      <c r="BE442" s="195" t="inlineStr">
        <is>
          <t/>
        </is>
      </c>
      <c r="BF442" s="196" t="inlineStr">
        <is>
          <t/>
        </is>
      </c>
      <c r="BG442" s="197" t="inlineStr">
        <is>
          <t/>
        </is>
      </c>
      <c r="BH442" s="198" t="n">
        <v>3.3</v>
      </c>
      <c r="BI442" s="199" t="inlineStr">
        <is>
          <t>Actual</t>
        </is>
      </c>
      <c r="BJ442" s="200" t="inlineStr">
        <is>
          <t/>
        </is>
      </c>
      <c r="BK442" s="201" t="inlineStr">
        <is>
          <t/>
        </is>
      </c>
      <c r="BL442" s="202" t="inlineStr">
        <is>
          <t>Seed Round</t>
        </is>
      </c>
      <c r="BM442" s="203" t="inlineStr">
        <is>
          <t>Seed</t>
        </is>
      </c>
      <c r="BN442" s="204" t="inlineStr">
        <is>
          <t/>
        </is>
      </c>
      <c r="BO442" s="205" t="inlineStr">
        <is>
          <t>Venture Capital</t>
        </is>
      </c>
      <c r="BP442" s="206" t="inlineStr">
        <is>
          <t/>
        </is>
      </c>
      <c r="BQ442" s="207" t="inlineStr">
        <is>
          <t/>
        </is>
      </c>
      <c r="BR442" s="208" t="inlineStr">
        <is>
          <t/>
        </is>
      </c>
      <c r="BS442" s="209" t="inlineStr">
        <is>
          <t>Completed</t>
        </is>
      </c>
      <c r="BT442" s="210" t="n">
        <v>42533.0</v>
      </c>
      <c r="BU442" s="211" t="n">
        <v>8.01</v>
      </c>
      <c r="BV442" s="212" t="inlineStr">
        <is>
          <t>Actual</t>
        </is>
      </c>
      <c r="BW442" s="213" t="inlineStr">
        <is>
          <t/>
        </is>
      </c>
      <c r="BX442" s="214" t="inlineStr">
        <is>
          <t/>
        </is>
      </c>
      <c r="BY442" s="215" t="inlineStr">
        <is>
          <t>Early Stage VC</t>
        </is>
      </c>
      <c r="BZ442" s="216" t="inlineStr">
        <is>
          <t>Series A</t>
        </is>
      </c>
      <c r="CA442" s="217" t="inlineStr">
        <is>
          <t/>
        </is>
      </c>
      <c r="CB442" s="218" t="inlineStr">
        <is>
          <t>Venture Capital</t>
        </is>
      </c>
      <c r="CC442" s="219" t="inlineStr">
        <is>
          <t/>
        </is>
      </c>
      <c r="CD442" s="220" t="inlineStr">
        <is>
          <t/>
        </is>
      </c>
      <c r="CE442" s="221" t="inlineStr">
        <is>
          <t/>
        </is>
      </c>
      <c r="CF442" s="222" t="inlineStr">
        <is>
          <t>Completed</t>
        </is>
      </c>
      <c r="CG442" s="223" t="inlineStr">
        <is>
          <t>0,10%</t>
        </is>
      </c>
      <c r="CH442" s="224" t="inlineStr">
        <is>
          <t>73</t>
        </is>
      </c>
      <c r="CI442" s="225" t="inlineStr">
        <is>
          <t>-0,03%</t>
        </is>
      </c>
      <c r="CJ442" s="226" t="inlineStr">
        <is>
          <t>-22,53%</t>
        </is>
      </c>
      <c r="CK442" s="227" t="inlineStr">
        <is>
          <t>0,00%</t>
        </is>
      </c>
      <c r="CL442" s="228" t="inlineStr">
        <is>
          <t>18</t>
        </is>
      </c>
      <c r="CM442" s="229" t="inlineStr">
        <is>
          <t>0,21%</t>
        </is>
      </c>
      <c r="CN442" s="230" t="inlineStr">
        <is>
          <t>74</t>
        </is>
      </c>
      <c r="CO442" s="231" t="inlineStr">
        <is>
          <t>0,00%</t>
        </is>
      </c>
      <c r="CP442" s="232" t="inlineStr">
        <is>
          <t>26</t>
        </is>
      </c>
      <c r="CQ442" s="233" t="inlineStr">
        <is>
          <t>0,00%</t>
        </is>
      </c>
      <c r="CR442" s="234" t="inlineStr">
        <is>
          <t>13</t>
        </is>
      </c>
      <c r="CS442" s="235" t="inlineStr">
        <is>
          <t>0,21%</t>
        </is>
      </c>
      <c r="CT442" s="236" t="inlineStr">
        <is>
          <t>71</t>
        </is>
      </c>
      <c r="CU442" s="237" t="inlineStr">
        <is>
          <t/>
        </is>
      </c>
      <c r="CV442" s="238" t="inlineStr">
        <is>
          <t/>
        </is>
      </c>
      <c r="CW442" s="239" t="inlineStr">
        <is>
          <t>0,82x</t>
        </is>
      </c>
      <c r="CX442" s="240" t="inlineStr">
        <is>
          <t>45</t>
        </is>
      </c>
      <c r="CY442" s="241" t="inlineStr">
        <is>
          <t>0,02x</t>
        </is>
      </c>
      <c r="CZ442" s="242" t="inlineStr">
        <is>
          <t>1,93%</t>
        </is>
      </c>
      <c r="DA442" s="243" t="inlineStr">
        <is>
          <t>0,57x</t>
        </is>
      </c>
      <c r="DB442" s="244" t="inlineStr">
        <is>
          <t>39</t>
        </is>
      </c>
      <c r="DC442" s="245" t="inlineStr">
        <is>
          <t>1,08x</t>
        </is>
      </c>
      <c r="DD442" s="246" t="inlineStr">
        <is>
          <t>50</t>
        </is>
      </c>
      <c r="DE442" s="247" t="inlineStr">
        <is>
          <t>0,58x</t>
        </is>
      </c>
      <c r="DF442" s="248" t="inlineStr">
        <is>
          <t>39</t>
        </is>
      </c>
      <c r="DG442" s="249" t="inlineStr">
        <is>
          <t>0,56x</t>
        </is>
      </c>
      <c r="DH442" s="250" t="inlineStr">
        <is>
          <t>38</t>
        </is>
      </c>
      <c r="DI442" s="251" t="inlineStr">
        <is>
          <t>1,08x</t>
        </is>
      </c>
      <c r="DJ442" s="252" t="inlineStr">
        <is>
          <t>52</t>
        </is>
      </c>
      <c r="DK442" s="253" t="inlineStr">
        <is>
          <t/>
        </is>
      </c>
      <c r="DL442" s="254" t="inlineStr">
        <is>
          <t/>
        </is>
      </c>
      <c r="DM442" s="255" t="inlineStr">
        <is>
          <t>359</t>
        </is>
      </c>
      <c r="DN442" s="256" t="inlineStr">
        <is>
          <t>-10</t>
        </is>
      </c>
      <c r="DO442" s="257" t="inlineStr">
        <is>
          <t>-2,71%</t>
        </is>
      </c>
      <c r="DP442" s="258" t="inlineStr">
        <is>
          <t>862</t>
        </is>
      </c>
      <c r="DQ442" s="259" t="inlineStr">
        <is>
          <t>1</t>
        </is>
      </c>
      <c r="DR442" s="260" t="inlineStr">
        <is>
          <t>0,12%</t>
        </is>
      </c>
      <c r="DS442" s="261" t="inlineStr">
        <is>
          <t>20</t>
        </is>
      </c>
      <c r="DT442" s="262" t="inlineStr">
        <is>
          <t>0</t>
        </is>
      </c>
      <c r="DU442" s="263" t="inlineStr">
        <is>
          <t>0,00%</t>
        </is>
      </c>
      <c r="DV442" s="264" t="inlineStr">
        <is>
          <t>568</t>
        </is>
      </c>
      <c r="DW442" s="265" t="inlineStr">
        <is>
          <t>3</t>
        </is>
      </c>
      <c r="DX442" s="266" t="inlineStr">
        <is>
          <t>0,53%</t>
        </is>
      </c>
      <c r="DY442" s="267" t="inlineStr">
        <is>
          <t>PitchBook Research</t>
        </is>
      </c>
      <c r="DZ442" s="786">
        <f>HYPERLINK("https://my.pitchbook.com?c=152506-09", "View company online")</f>
      </c>
    </row>
    <row r="443">
      <c r="A443" s="9" t="inlineStr">
        <is>
          <t>93962-53</t>
        </is>
      </c>
      <c r="B443" s="10" t="inlineStr">
        <is>
          <t>Tattoodo</t>
        </is>
      </c>
      <c r="C443" s="11" t="inlineStr">
        <is>
          <t/>
        </is>
      </c>
      <c r="D443" s="12" t="inlineStr">
        <is>
          <t/>
        </is>
      </c>
      <c r="E443" s="13" t="inlineStr">
        <is>
          <t>93962-53</t>
        </is>
      </c>
      <c r="F443" s="14" t="inlineStr">
        <is>
          <t>Provider of a social platform created to be a digital lifestyle hub for all things tattoo-related. The company's social platform allows a global community of artists, vendors and collectors to interact, read guides, find studios and stay up to date on tattoo culture, enabling tattoo enthusiasts to work with artists and other enthusiasts in order to find the perfect design.</t>
        </is>
      </c>
      <c r="G443" s="15" t="inlineStr">
        <is>
          <t>Information Technology</t>
        </is>
      </c>
      <c r="H443" s="16" t="inlineStr">
        <is>
          <t>Software</t>
        </is>
      </c>
      <c r="I443" s="17" t="inlineStr">
        <is>
          <t>Social/Platform Software</t>
        </is>
      </c>
      <c r="J443" s="18" t="inlineStr">
        <is>
          <t>Social/Platform Software*</t>
        </is>
      </c>
      <c r="K443" s="19" t="inlineStr">
        <is>
          <t/>
        </is>
      </c>
      <c r="L443" s="20" t="inlineStr">
        <is>
          <t>Venture Capital-Backed</t>
        </is>
      </c>
      <c r="M443" s="21" t="n">
        <v>12.45</v>
      </c>
      <c r="N443" s="22" t="inlineStr">
        <is>
          <t>Generating Revenue</t>
        </is>
      </c>
      <c r="O443" s="23" t="inlineStr">
        <is>
          <t>Privately Held (backing)</t>
        </is>
      </c>
      <c r="P443" s="24" t="inlineStr">
        <is>
          <t>Venture Capital</t>
        </is>
      </c>
      <c r="Q443" s="25" t="inlineStr">
        <is>
          <t>www.tattoodo.com</t>
        </is>
      </c>
      <c r="R443" s="26" t="n">
        <v>40.0</v>
      </c>
      <c r="S443" s="27" t="inlineStr">
        <is>
          <t/>
        </is>
      </c>
      <c r="T443" s="28" t="inlineStr">
        <is>
          <t/>
        </is>
      </c>
      <c r="U443" s="29" t="n">
        <v>2013.0</v>
      </c>
      <c r="V443" s="30" t="inlineStr">
        <is>
          <t/>
        </is>
      </c>
      <c r="W443" s="31" t="inlineStr">
        <is>
          <t/>
        </is>
      </c>
      <c r="X443" s="32" t="inlineStr">
        <is>
          <t/>
        </is>
      </c>
      <c r="Y443" s="33" t="inlineStr">
        <is>
          <t/>
        </is>
      </c>
      <c r="Z443" s="34" t="n">
        <v>-0.77173</v>
      </c>
      <c r="AA443" s="35" t="n">
        <v>-1.46078</v>
      </c>
      <c r="AB443" s="36" t="inlineStr">
        <is>
          <t/>
        </is>
      </c>
      <c r="AC443" s="37" t="n">
        <v>-1.42403</v>
      </c>
      <c r="AD443" s="38" t="inlineStr">
        <is>
          <t>FY 2015</t>
        </is>
      </c>
      <c r="AE443" s="39" t="inlineStr">
        <is>
          <t>94421-35P</t>
        </is>
      </c>
      <c r="AF443" s="40" t="inlineStr">
        <is>
          <t>Johan Plenge</t>
        </is>
      </c>
      <c r="AG443" s="41" t="inlineStr">
        <is>
          <t>Co-Founder, Chief Executive Officer &amp; Board Member</t>
        </is>
      </c>
      <c r="AH443" s="42" t="inlineStr">
        <is>
          <t>johan@tattoodo.com</t>
        </is>
      </c>
      <c r="AI443" s="43" t="inlineStr">
        <is>
          <t>+45 3131 8910</t>
        </is>
      </c>
      <c r="AJ443" s="44" t="inlineStr">
        <is>
          <t>Copenhagen, Denmark</t>
        </is>
      </c>
      <c r="AK443" s="45" t="inlineStr">
        <is>
          <t>Artillerivej 86</t>
        </is>
      </c>
      <c r="AL443" s="46" t="inlineStr">
        <is>
          <t>2nd floor</t>
        </is>
      </c>
      <c r="AM443" s="47" t="inlineStr">
        <is>
          <t>Copenhagen</t>
        </is>
      </c>
      <c r="AN443" s="48" t="inlineStr">
        <is>
          <t/>
        </is>
      </c>
      <c r="AO443" s="49" t="inlineStr">
        <is>
          <t>2300</t>
        </is>
      </c>
      <c r="AP443" s="50" t="inlineStr">
        <is>
          <t>Denmark</t>
        </is>
      </c>
      <c r="AQ443" s="51" t="inlineStr">
        <is>
          <t>+45 3131 8910</t>
        </is>
      </c>
      <c r="AR443" s="52" t="inlineStr">
        <is>
          <t/>
        </is>
      </c>
      <c r="AS443" s="53" t="inlineStr">
        <is>
          <t>hello@tattoodo.com</t>
        </is>
      </c>
      <c r="AT443" s="54" t="inlineStr">
        <is>
          <t>Europe</t>
        </is>
      </c>
      <c r="AU443" s="55" t="inlineStr">
        <is>
          <t>Northern Europe</t>
        </is>
      </c>
      <c r="AV443" s="56" t="inlineStr">
        <is>
          <t>The company raised $8.5 million of angel funding from Andy Chen, Daniel Agger and Jimmy Maymann on December 28, 2016. Christan Stadil and Amie James also participated in the round. The funds will be used to expand their presence in the USA.</t>
        </is>
      </c>
      <c r="AW443" s="57" t="inlineStr">
        <is>
          <t>Amie James, Andy Chen, Christan Stadil, Daniel Agger, Jake Nickell, Jason Macatangay, Jimmy Maymann, Niels Ranum, Nordic Eye, Rene Rechtman, Rocketship.vc, Thomas Ryan, Threadless</t>
        </is>
      </c>
      <c r="AX443" s="58" t="n">
        <v>13.0</v>
      </c>
      <c r="AY443" s="59" t="inlineStr">
        <is>
          <t/>
        </is>
      </c>
      <c r="AZ443" s="60" t="inlineStr">
        <is>
          <t/>
        </is>
      </c>
      <c r="BA443" s="61" t="inlineStr">
        <is>
          <t/>
        </is>
      </c>
      <c r="BB443" s="62" t="inlineStr">
        <is>
          <t>Jake Nickell (www.jakenickell.com), Jimmy Maymann (en.wikipedia.org/wiki/Jimmy_Maymann), Nordic Eye (www.nordiceye.com), Rocketship.vc (www.rocketship.vc), Thomas Ryan (thomasryan.org), Threadless (www.threadless.com)</t>
        </is>
      </c>
      <c r="BC443" s="63" t="inlineStr">
        <is>
          <t/>
        </is>
      </c>
      <c r="BD443" s="64" t="inlineStr">
        <is>
          <t/>
        </is>
      </c>
      <c r="BE443" s="65" t="inlineStr">
        <is>
          <t>Deloitte (Auditor)</t>
        </is>
      </c>
      <c r="BF443" s="66" t="inlineStr">
        <is>
          <t/>
        </is>
      </c>
      <c r="BG443" s="67" t="n">
        <v>41294.0</v>
      </c>
      <c r="BH443" s="68" t="n">
        <v>0.34</v>
      </c>
      <c r="BI443" s="69" t="inlineStr">
        <is>
          <t>Actual</t>
        </is>
      </c>
      <c r="BJ443" s="70" t="inlineStr">
        <is>
          <t/>
        </is>
      </c>
      <c r="BK443" s="71" t="inlineStr">
        <is>
          <t/>
        </is>
      </c>
      <c r="BL443" s="72" t="inlineStr">
        <is>
          <t>Angel (individual)</t>
        </is>
      </c>
      <c r="BM443" s="73" t="inlineStr">
        <is>
          <t>Angel</t>
        </is>
      </c>
      <c r="BN443" s="74" t="inlineStr">
        <is>
          <t/>
        </is>
      </c>
      <c r="BO443" s="75" t="inlineStr">
        <is>
          <t>Individual</t>
        </is>
      </c>
      <c r="BP443" s="76" t="inlineStr">
        <is>
          <t/>
        </is>
      </c>
      <c r="BQ443" s="77" t="inlineStr">
        <is>
          <t/>
        </is>
      </c>
      <c r="BR443" s="78" t="inlineStr">
        <is>
          <t/>
        </is>
      </c>
      <c r="BS443" s="79" t="inlineStr">
        <is>
          <t>Completed</t>
        </is>
      </c>
      <c r="BT443" s="80" t="n">
        <v>42732.0</v>
      </c>
      <c r="BU443" s="81" t="n">
        <v>8.06</v>
      </c>
      <c r="BV443" s="82" t="inlineStr">
        <is>
          <t>Actual</t>
        </is>
      </c>
      <c r="BW443" s="83" t="inlineStr">
        <is>
          <t/>
        </is>
      </c>
      <c r="BX443" s="84" t="inlineStr">
        <is>
          <t/>
        </is>
      </c>
      <c r="BY443" s="85" t="inlineStr">
        <is>
          <t>Angel (individual)</t>
        </is>
      </c>
      <c r="BZ443" s="86" t="inlineStr">
        <is>
          <t>Angel</t>
        </is>
      </c>
      <c r="CA443" s="87" t="inlineStr">
        <is>
          <t/>
        </is>
      </c>
      <c r="CB443" s="88" t="inlineStr">
        <is>
          <t>Individual</t>
        </is>
      </c>
      <c r="CC443" s="89" t="inlineStr">
        <is>
          <t/>
        </is>
      </c>
      <c r="CD443" s="90" t="inlineStr">
        <is>
          <t/>
        </is>
      </c>
      <c r="CE443" s="91" t="inlineStr">
        <is>
          <t/>
        </is>
      </c>
      <c r="CF443" s="92" t="inlineStr">
        <is>
          <t>Completed</t>
        </is>
      </c>
      <c r="CG443" s="93" t="inlineStr">
        <is>
          <t>-0,24%</t>
        </is>
      </c>
      <c r="CH443" s="94" t="inlineStr">
        <is>
          <t>12</t>
        </is>
      </c>
      <c r="CI443" s="95" t="inlineStr">
        <is>
          <t>-0,05%</t>
        </is>
      </c>
      <c r="CJ443" s="96" t="inlineStr">
        <is>
          <t>-26,11%</t>
        </is>
      </c>
      <c r="CK443" s="97" t="inlineStr">
        <is>
          <t>-0,57%</t>
        </is>
      </c>
      <c r="CL443" s="98" t="inlineStr">
        <is>
          <t>12</t>
        </is>
      </c>
      <c r="CM443" s="99" t="inlineStr">
        <is>
          <t>0,08%</t>
        </is>
      </c>
      <c r="CN443" s="100" t="inlineStr">
        <is>
          <t>57</t>
        </is>
      </c>
      <c r="CO443" s="101" t="inlineStr">
        <is>
          <t>-2,40%</t>
        </is>
      </c>
      <c r="CP443" s="102" t="inlineStr">
        <is>
          <t>14</t>
        </is>
      </c>
      <c r="CQ443" s="103" t="inlineStr">
        <is>
          <t>1,26%</t>
        </is>
      </c>
      <c r="CR443" s="104" t="inlineStr">
        <is>
          <t>89</t>
        </is>
      </c>
      <c r="CS443" s="105" t="inlineStr">
        <is>
          <t>0,14%</t>
        </is>
      </c>
      <c r="CT443" s="106" t="inlineStr">
        <is>
          <t>64</t>
        </is>
      </c>
      <c r="CU443" s="107" t="inlineStr">
        <is>
          <t>0,02%</t>
        </is>
      </c>
      <c r="CV443" s="108" t="inlineStr">
        <is>
          <t>57</t>
        </is>
      </c>
      <c r="CW443" s="109" t="inlineStr">
        <is>
          <t>5.783,98x</t>
        </is>
      </c>
      <c r="CX443" s="110" t="inlineStr">
        <is>
          <t>100</t>
        </is>
      </c>
      <c r="CY443" s="111" t="inlineStr">
        <is>
          <t>117,13x</t>
        </is>
      </c>
      <c r="CZ443" s="112" t="inlineStr">
        <is>
          <t>2,07%</t>
        </is>
      </c>
      <c r="DA443" s="113" t="inlineStr">
        <is>
          <t>247,27x</t>
        </is>
      </c>
      <c r="DB443" s="114" t="inlineStr">
        <is>
          <t>99</t>
        </is>
      </c>
      <c r="DC443" s="115" t="inlineStr">
        <is>
          <t>11.320,69x</t>
        </is>
      </c>
      <c r="DD443" s="116" t="inlineStr">
        <is>
          <t>100</t>
        </is>
      </c>
      <c r="DE443" s="117" t="inlineStr">
        <is>
          <t>445,99x</t>
        </is>
      </c>
      <c r="DF443" s="118" t="inlineStr">
        <is>
          <t>99</t>
        </is>
      </c>
      <c r="DG443" s="119" t="inlineStr">
        <is>
          <t>48,56x</t>
        </is>
      </c>
      <c r="DH443" s="120" t="inlineStr">
        <is>
          <t>97</t>
        </is>
      </c>
      <c r="DI443" s="121" t="inlineStr">
        <is>
          <t>22.600,03x</t>
        </is>
      </c>
      <c r="DJ443" s="122" t="inlineStr">
        <is>
          <t>100</t>
        </is>
      </c>
      <c r="DK443" s="123" t="inlineStr">
        <is>
          <t>41,35x</t>
        </is>
      </c>
      <c r="DL443" s="124" t="inlineStr">
        <is>
          <t>95</t>
        </is>
      </c>
      <c r="DM443" s="125" t="inlineStr">
        <is>
          <t>281.384</t>
        </is>
      </c>
      <c r="DN443" s="126" t="inlineStr">
        <is>
          <t>-21.310</t>
        </is>
      </c>
      <c r="DO443" s="127" t="inlineStr">
        <is>
          <t>-7,04%</t>
        </is>
      </c>
      <c r="DP443" s="128" t="inlineStr">
        <is>
          <t>18.059.474</t>
        </is>
      </c>
      <c r="DQ443" s="129" t="inlineStr">
        <is>
          <t>8.254</t>
        </is>
      </c>
      <c r="DR443" s="130" t="inlineStr">
        <is>
          <t>0,05%</t>
        </is>
      </c>
      <c r="DS443" s="131" t="inlineStr">
        <is>
          <t>1.746</t>
        </is>
      </c>
      <c r="DT443" s="132" t="inlineStr">
        <is>
          <t>7</t>
        </is>
      </c>
      <c r="DU443" s="133" t="inlineStr">
        <is>
          <t>0,40%</t>
        </is>
      </c>
      <c r="DV443" s="134" t="inlineStr">
        <is>
          <t>14.174</t>
        </is>
      </c>
      <c r="DW443" s="135" t="inlineStr">
        <is>
          <t>5</t>
        </is>
      </c>
      <c r="DX443" s="136" t="inlineStr">
        <is>
          <t>0,04%</t>
        </is>
      </c>
      <c r="DY443" s="137" t="inlineStr">
        <is>
          <t>PitchBook Research</t>
        </is>
      </c>
      <c r="DZ443" s="785">
        <f>HYPERLINK("https://my.pitchbook.com?c=93962-53", "View company online")</f>
      </c>
    </row>
    <row r="444">
      <c r="A444" s="139" t="inlineStr">
        <is>
          <t>97282-00</t>
        </is>
      </c>
      <c r="B444" s="140" t="inlineStr">
        <is>
          <t>TC Biopharm</t>
        </is>
      </c>
      <c r="C444" s="141" t="inlineStr">
        <is>
          <t/>
        </is>
      </c>
      <c r="D444" s="142" t="inlineStr">
        <is>
          <t/>
        </is>
      </c>
      <c r="E444" s="143" t="inlineStr">
        <is>
          <t>97282-00</t>
        </is>
      </c>
      <c r="F444" s="144" t="inlineStr">
        <is>
          <t>Developer of cell-based products created to treat disease, improve patient health and quality of life. The company's cell-based products provide an autologous anti-cancer immuno-therapy which involves expansion of naturally occurring, cancer-killing T-cells over several weeks, formulating a treatment for a wide-variety of different tumor types.</t>
        </is>
      </c>
      <c r="G444" s="145" t="inlineStr">
        <is>
          <t>Healthcare</t>
        </is>
      </c>
      <c r="H444" s="146" t="inlineStr">
        <is>
          <t>Pharmaceuticals and Biotechnology</t>
        </is>
      </c>
      <c r="I444" s="147" t="inlineStr">
        <is>
          <t>Biotechnology</t>
        </is>
      </c>
      <c r="J444" s="148" t="inlineStr">
        <is>
          <t>Biotechnology*; Drug Discovery</t>
        </is>
      </c>
      <c r="K444" s="149" t="inlineStr">
        <is>
          <t>Life Sciences, Oncology</t>
        </is>
      </c>
      <c r="L444" s="150" t="inlineStr">
        <is>
          <t>Venture Capital-Backed</t>
        </is>
      </c>
      <c r="M444" s="151" t="n">
        <v>12.34</v>
      </c>
      <c r="N444" s="152" t="inlineStr">
        <is>
          <t>Clinical Trials - Phase 2</t>
        </is>
      </c>
      <c r="O444" s="153" t="inlineStr">
        <is>
          <t>Privately Held (backing)</t>
        </is>
      </c>
      <c r="P444" s="154" t="inlineStr">
        <is>
          <t>Venture Capital</t>
        </is>
      </c>
      <c r="Q444" s="155" t="inlineStr">
        <is>
          <t>www.tcbiopharm.com</t>
        </is>
      </c>
      <c r="R444" s="156" t="n">
        <v>50.0</v>
      </c>
      <c r="S444" s="157" t="inlineStr">
        <is>
          <t/>
        </is>
      </c>
      <c r="T444" s="158" t="inlineStr">
        <is>
          <t/>
        </is>
      </c>
      <c r="U444" s="159" t="n">
        <v>2013.0</v>
      </c>
      <c r="V444" s="160" t="inlineStr">
        <is>
          <t/>
        </is>
      </c>
      <c r="W444" s="161" t="inlineStr">
        <is>
          <t/>
        </is>
      </c>
      <c r="X444" s="162" t="inlineStr">
        <is>
          <t/>
        </is>
      </c>
      <c r="Y444" s="163" t="inlineStr">
        <is>
          <t/>
        </is>
      </c>
      <c r="Z444" s="164" t="inlineStr">
        <is>
          <t/>
        </is>
      </c>
      <c r="AA444" s="165" t="inlineStr">
        <is>
          <t/>
        </is>
      </c>
      <c r="AB444" s="166" t="inlineStr">
        <is>
          <t/>
        </is>
      </c>
      <c r="AC444" s="167" t="inlineStr">
        <is>
          <t/>
        </is>
      </c>
      <c r="AD444" s="168" t="inlineStr">
        <is>
          <t>FY 2015</t>
        </is>
      </c>
      <c r="AE444" s="169" t="inlineStr">
        <is>
          <t>78505-12P</t>
        </is>
      </c>
      <c r="AF444" s="170" t="inlineStr">
        <is>
          <t>Michael Leek</t>
        </is>
      </c>
      <c r="AG444" s="171" t="inlineStr">
        <is>
          <t>Co-Founder, Board Member and Chief Executive Officer</t>
        </is>
      </c>
      <c r="AH444" s="172" t="inlineStr">
        <is>
          <t>michael@tcbiopharm.com</t>
        </is>
      </c>
      <c r="AI444" s="173" t="inlineStr">
        <is>
          <t>+44 (0)13 1445 6197</t>
        </is>
      </c>
      <c r="AJ444" s="174" t="inlineStr">
        <is>
          <t>Edinburgh, United Kingdom</t>
        </is>
      </c>
      <c r="AK444" s="175" t="inlineStr">
        <is>
          <t>Pentlands Science Park</t>
        </is>
      </c>
      <c r="AL444" s="176" t="inlineStr">
        <is>
          <t>Bush Loan</t>
        </is>
      </c>
      <c r="AM444" s="177" t="inlineStr">
        <is>
          <t>Edinburgh</t>
        </is>
      </c>
      <c r="AN444" s="178" t="inlineStr">
        <is>
          <t>Scotland</t>
        </is>
      </c>
      <c r="AO444" s="179" t="inlineStr">
        <is>
          <t>EH26 0PZ</t>
        </is>
      </c>
      <c r="AP444" s="180" t="inlineStr">
        <is>
          <t>United Kingdom</t>
        </is>
      </c>
      <c r="AQ444" s="181" t="inlineStr">
        <is>
          <t>+44 (0)13 1445 6197</t>
        </is>
      </c>
      <c r="AR444" s="182" t="inlineStr">
        <is>
          <t/>
        </is>
      </c>
      <c r="AS444" s="183" t="inlineStr">
        <is>
          <t>info@tcbiopharm.com</t>
        </is>
      </c>
      <c r="AT444" s="184" t="inlineStr">
        <is>
          <t>Europe</t>
        </is>
      </c>
      <c r="AU444" s="185" t="inlineStr">
        <is>
          <t>Western Europe</t>
        </is>
      </c>
      <c r="AV444" s="186" t="inlineStr">
        <is>
          <t>The company received EUR 4 million of grant funding from European Union on August 2, 2017. The funds will be used to progress its innovative GDT (gamma-delta T) cell therapy for treatment of cancer. Previously, the company raised GBP 6.5 million of Series A venture funding from Scottish Enterprise and Nipro on January 31, 2017.</t>
        </is>
      </c>
      <c r="AW444" s="187" t="inlineStr">
        <is>
          <t>European Union, Investing Women, Medinet Company, Narec Capital, Nipro, Scottish Enterprise, WH Partnership</t>
        </is>
      </c>
      <c r="AX444" s="188" t="n">
        <v>7.0</v>
      </c>
      <c r="AY444" s="189" t="inlineStr">
        <is>
          <t/>
        </is>
      </c>
      <c r="AZ444" s="190" t="inlineStr">
        <is>
          <t/>
        </is>
      </c>
      <c r="BA444" s="191" t="inlineStr">
        <is>
          <t/>
        </is>
      </c>
      <c r="BB444" s="192" t="inlineStr">
        <is>
          <t>European Union (www.europa.eu/index_en.htm), Investing Women (investingwomen.uk.com), Medinet Company (www.medinet-inc.co.jp), Nipro (www.nipro.co.jp), Scottish Enterprise (www.scottish-enterprise.com)</t>
        </is>
      </c>
      <c r="BC444" s="193" t="inlineStr">
        <is>
          <t/>
        </is>
      </c>
      <c r="BD444" s="194" t="inlineStr">
        <is>
          <t/>
        </is>
      </c>
      <c r="BE444" s="195" t="inlineStr">
        <is>
          <t/>
        </is>
      </c>
      <c r="BF444" s="196" t="inlineStr">
        <is>
          <t>SyndicateRoom (Lead Manager or Arranger)</t>
        </is>
      </c>
      <c r="BG444" s="197" t="n">
        <v>41709.0</v>
      </c>
      <c r="BH444" s="198" t="n">
        <v>1.56</v>
      </c>
      <c r="BI444" s="199" t="inlineStr">
        <is>
          <t>Actual</t>
        </is>
      </c>
      <c r="BJ444" s="200" t="inlineStr">
        <is>
          <t/>
        </is>
      </c>
      <c r="BK444" s="201" t="inlineStr">
        <is>
          <t/>
        </is>
      </c>
      <c r="BL444" s="202" t="inlineStr">
        <is>
          <t>Early Stage VC</t>
        </is>
      </c>
      <c r="BM444" s="203" t="inlineStr">
        <is>
          <t/>
        </is>
      </c>
      <c r="BN444" s="204" t="inlineStr">
        <is>
          <t/>
        </is>
      </c>
      <c r="BO444" s="205" t="inlineStr">
        <is>
          <t>Venture Capital</t>
        </is>
      </c>
      <c r="BP444" s="206" t="inlineStr">
        <is>
          <t/>
        </is>
      </c>
      <c r="BQ444" s="207" t="inlineStr">
        <is>
          <t/>
        </is>
      </c>
      <c r="BR444" s="208" t="inlineStr">
        <is>
          <t/>
        </is>
      </c>
      <c r="BS444" s="209" t="inlineStr">
        <is>
          <t>Completed</t>
        </is>
      </c>
      <c r="BT444" s="210" t="n">
        <v>42949.0</v>
      </c>
      <c r="BU444" s="211" t="n">
        <v>4.0</v>
      </c>
      <c r="BV444" s="212" t="inlineStr">
        <is>
          <t>Actual</t>
        </is>
      </c>
      <c r="BW444" s="213" t="inlineStr">
        <is>
          <t/>
        </is>
      </c>
      <c r="BX444" s="214" t="inlineStr">
        <is>
          <t/>
        </is>
      </c>
      <c r="BY444" s="215" t="inlineStr">
        <is>
          <t>Grant</t>
        </is>
      </c>
      <c r="BZ444" s="216" t="inlineStr">
        <is>
          <t/>
        </is>
      </c>
      <c r="CA444" s="217" t="inlineStr">
        <is>
          <t/>
        </is>
      </c>
      <c r="CB444" s="218" t="inlineStr">
        <is>
          <t>Other</t>
        </is>
      </c>
      <c r="CC444" s="219" t="inlineStr">
        <is>
          <t/>
        </is>
      </c>
      <c r="CD444" s="220" t="inlineStr">
        <is>
          <t/>
        </is>
      </c>
      <c r="CE444" s="221" t="inlineStr">
        <is>
          <t/>
        </is>
      </c>
      <c r="CF444" s="222" t="inlineStr">
        <is>
          <t>Completed</t>
        </is>
      </c>
      <c r="CG444" s="223" t="inlineStr">
        <is>
          <t>0,60%</t>
        </is>
      </c>
      <c r="CH444" s="224" t="inlineStr">
        <is>
          <t>85</t>
        </is>
      </c>
      <c r="CI444" s="225" t="inlineStr">
        <is>
          <t>0,07%</t>
        </is>
      </c>
      <c r="CJ444" s="226" t="inlineStr">
        <is>
          <t>12,41%</t>
        </is>
      </c>
      <c r="CK444" s="227" t="inlineStr">
        <is>
          <t>0,00%</t>
        </is>
      </c>
      <c r="CL444" s="228" t="inlineStr">
        <is>
          <t>18</t>
        </is>
      </c>
      <c r="CM444" s="229" t="inlineStr">
        <is>
          <t>1,20%</t>
        </is>
      </c>
      <c r="CN444" s="230" t="inlineStr">
        <is>
          <t>97</t>
        </is>
      </c>
      <c r="CO444" s="231" t="inlineStr">
        <is>
          <t>0,00%</t>
        </is>
      </c>
      <c r="CP444" s="232" t="inlineStr">
        <is>
          <t>26</t>
        </is>
      </c>
      <c r="CQ444" s="233" t="inlineStr">
        <is>
          <t>0,00%</t>
        </is>
      </c>
      <c r="CR444" s="234" t="inlineStr">
        <is>
          <t>13</t>
        </is>
      </c>
      <c r="CS444" s="235" t="inlineStr">
        <is>
          <t/>
        </is>
      </c>
      <c r="CT444" s="236" t="inlineStr">
        <is>
          <t/>
        </is>
      </c>
      <c r="CU444" s="237" t="inlineStr">
        <is>
          <t>1,20%</t>
        </is>
      </c>
      <c r="CV444" s="238" t="inlineStr">
        <is>
          <t>98</t>
        </is>
      </c>
      <c r="CW444" s="239" t="inlineStr">
        <is>
          <t>0,87x</t>
        </is>
      </c>
      <c r="CX444" s="240" t="inlineStr">
        <is>
          <t>46</t>
        </is>
      </c>
      <c r="CY444" s="241" t="inlineStr">
        <is>
          <t>0,03x</t>
        </is>
      </c>
      <c r="CZ444" s="242" t="inlineStr">
        <is>
          <t>3,75%</t>
        </is>
      </c>
      <c r="DA444" s="243" t="inlineStr">
        <is>
          <t>0,89x</t>
        </is>
      </c>
      <c r="DB444" s="244" t="inlineStr">
        <is>
          <t>49</t>
        </is>
      </c>
      <c r="DC444" s="245" t="inlineStr">
        <is>
          <t>0,84x</t>
        </is>
      </c>
      <c r="DD444" s="246" t="inlineStr">
        <is>
          <t>45</t>
        </is>
      </c>
      <c r="DE444" s="247" t="inlineStr">
        <is>
          <t>0,23x</t>
        </is>
      </c>
      <c r="DF444" s="248" t="inlineStr">
        <is>
          <t>21</t>
        </is>
      </c>
      <c r="DG444" s="249" t="inlineStr">
        <is>
          <t>1,56x</t>
        </is>
      </c>
      <c r="DH444" s="250" t="inlineStr">
        <is>
          <t>59</t>
        </is>
      </c>
      <c r="DI444" s="251" t="inlineStr">
        <is>
          <t/>
        </is>
      </c>
      <c r="DJ444" s="252" t="inlineStr">
        <is>
          <t/>
        </is>
      </c>
      <c r="DK444" s="253" t="inlineStr">
        <is>
          <t>0,84x</t>
        </is>
      </c>
      <c r="DL444" s="254" t="inlineStr">
        <is>
          <t>47</t>
        </is>
      </c>
      <c r="DM444" s="255" t="inlineStr">
        <is>
          <t>139</t>
        </is>
      </c>
      <c r="DN444" s="256" t="inlineStr">
        <is>
          <t>10</t>
        </is>
      </c>
      <c r="DO444" s="257" t="inlineStr">
        <is>
          <t>7,75%</t>
        </is>
      </c>
      <c r="DP444" s="258" t="inlineStr">
        <is>
          <t/>
        </is>
      </c>
      <c r="DQ444" s="259" t="inlineStr">
        <is>
          <t/>
        </is>
      </c>
      <c r="DR444" s="260" t="inlineStr">
        <is>
          <t/>
        </is>
      </c>
      <c r="DS444" s="261" t="inlineStr">
        <is>
          <t>55</t>
        </is>
      </c>
      <c r="DT444" s="262" t="inlineStr">
        <is>
          <t>0</t>
        </is>
      </c>
      <c r="DU444" s="263" t="inlineStr">
        <is>
          <t>0,00%</t>
        </is>
      </c>
      <c r="DV444" s="264" t="inlineStr">
        <is>
          <t>287</t>
        </is>
      </c>
      <c r="DW444" s="265" t="inlineStr">
        <is>
          <t>3</t>
        </is>
      </c>
      <c r="DX444" s="266" t="inlineStr">
        <is>
          <t>1,06%</t>
        </is>
      </c>
      <c r="DY444" s="267" t="inlineStr">
        <is>
          <t>PitchBook Research</t>
        </is>
      </c>
      <c r="DZ444" s="786">
        <f>HYPERLINK("https://my.pitchbook.com?c=97282-00", "View company online")</f>
      </c>
    </row>
    <row r="445">
      <c r="A445" s="9" t="inlineStr">
        <is>
          <t>92614-87</t>
        </is>
      </c>
      <c r="B445" s="10" t="inlineStr">
        <is>
          <t>Teamleader</t>
        </is>
      </c>
      <c r="C445" s="11" t="inlineStr">
        <is>
          <t/>
        </is>
      </c>
      <c r="D445" s="12" t="inlineStr">
        <is>
          <t/>
        </is>
      </c>
      <c r="E445" s="13" t="inlineStr">
        <is>
          <t>92614-87</t>
        </is>
      </c>
      <c r="F445" s="14" t="inlineStr">
        <is>
          <t>Developer of project management and invoicing tools. The company offers an integrated platform for CRM, sales, project management, calendar, time tracking, invoicing, ticketing and VoIP features to its clients.</t>
        </is>
      </c>
      <c r="G445" s="15" t="inlineStr">
        <is>
          <t>Information Technology</t>
        </is>
      </c>
      <c r="H445" s="16" t="inlineStr">
        <is>
          <t>Software</t>
        </is>
      </c>
      <c r="I445" s="17" t="inlineStr">
        <is>
          <t>Business/Productivity Software</t>
        </is>
      </c>
      <c r="J445" s="18" t="inlineStr">
        <is>
          <t>Business/Productivity Software*; Application Software</t>
        </is>
      </c>
      <c r="K445" s="19" t="inlineStr">
        <is>
          <t>SaaS</t>
        </is>
      </c>
      <c r="L445" s="20" t="inlineStr">
        <is>
          <t>Venture Capital-Backed</t>
        </is>
      </c>
      <c r="M445" s="21" t="n">
        <v>16.0</v>
      </c>
      <c r="N445" s="22" t="inlineStr">
        <is>
          <t>Generating Revenue</t>
        </is>
      </c>
      <c r="O445" s="23" t="inlineStr">
        <is>
          <t>Privately Held (backing)</t>
        </is>
      </c>
      <c r="P445" s="24" t="inlineStr">
        <is>
          <t>Venture Capital</t>
        </is>
      </c>
      <c r="Q445" s="25" t="inlineStr">
        <is>
          <t>www.teamleader.eu</t>
        </is>
      </c>
      <c r="R445" s="26" t="n">
        <v>100.0</v>
      </c>
      <c r="S445" s="27" t="inlineStr">
        <is>
          <t/>
        </is>
      </c>
      <c r="T445" s="28" t="inlineStr">
        <is>
          <t/>
        </is>
      </c>
      <c r="U445" s="29" t="n">
        <v>2012.0</v>
      </c>
      <c r="V445" s="30" t="inlineStr">
        <is>
          <t/>
        </is>
      </c>
      <c r="W445" s="31" t="inlineStr">
        <is>
          <t/>
        </is>
      </c>
      <c r="X445" s="32" t="inlineStr">
        <is>
          <t/>
        </is>
      </c>
      <c r="Y445" s="33" t="n">
        <v>1.74559</v>
      </c>
      <c r="Z445" s="34" t="inlineStr">
        <is>
          <t/>
        </is>
      </c>
      <c r="AA445" s="35" t="inlineStr">
        <is>
          <t/>
        </is>
      </c>
      <c r="AB445" s="36" t="inlineStr">
        <is>
          <t/>
        </is>
      </c>
      <c r="AC445" s="37" t="inlineStr">
        <is>
          <t/>
        </is>
      </c>
      <c r="AD445" s="38" t="inlineStr">
        <is>
          <t>FY 2015</t>
        </is>
      </c>
      <c r="AE445" s="39" t="inlineStr">
        <is>
          <t>100976-50P</t>
        </is>
      </c>
      <c r="AF445" s="40" t="inlineStr">
        <is>
          <t>Jeroen De Wit</t>
        </is>
      </c>
      <c r="AG445" s="41" t="inlineStr">
        <is>
          <t>Chief Executive Officer &amp; Co-Founder</t>
        </is>
      </c>
      <c r="AH445" s="42" t="inlineStr">
        <is>
          <t>jeroen@teamleader.be</t>
        </is>
      </c>
      <c r="AI445" s="43" t="inlineStr">
        <is>
          <t>+32 (0)9 298 06 32</t>
        </is>
      </c>
      <c r="AJ445" s="44" t="inlineStr">
        <is>
          <t>Ghent, Belgium</t>
        </is>
      </c>
      <c r="AK445" s="45" t="inlineStr">
        <is>
          <t>Visserij 43P</t>
        </is>
      </c>
      <c r="AL445" s="46" t="inlineStr">
        <is>
          <t/>
        </is>
      </c>
      <c r="AM445" s="47" t="inlineStr">
        <is>
          <t>Ghent</t>
        </is>
      </c>
      <c r="AN445" s="48" t="inlineStr">
        <is>
          <t/>
        </is>
      </c>
      <c r="AO445" s="49" t="inlineStr">
        <is>
          <t>9000</t>
        </is>
      </c>
      <c r="AP445" s="50" t="inlineStr">
        <is>
          <t>Belgium</t>
        </is>
      </c>
      <c r="AQ445" s="51" t="inlineStr">
        <is>
          <t>+32 (0)9 298 06 32</t>
        </is>
      </c>
      <c r="AR445" s="52" t="inlineStr">
        <is>
          <t/>
        </is>
      </c>
      <c r="AS445" s="53" t="inlineStr">
        <is>
          <t>info@teamleader.eu</t>
        </is>
      </c>
      <c r="AT445" s="54" t="inlineStr">
        <is>
          <t>Europe</t>
        </is>
      </c>
      <c r="AU445" s="55" t="inlineStr">
        <is>
          <t>Western Europe</t>
        </is>
      </c>
      <c r="AV445" s="56" t="inlineStr">
        <is>
          <t>The company raised EUR 10 million of Series B venture funding in a deal led by Fortino Capital on November 10, 2016. Other undisclosed investors also participated in the round. The funds will be used to further develop its product into a fully-fledged platform for SMEs.</t>
        </is>
      </c>
      <c r="AW445" s="57" t="inlineStr">
        <is>
          <t>Fortino Capital</t>
        </is>
      </c>
      <c r="AX445" s="58" t="n">
        <v>1.0</v>
      </c>
      <c r="AY445" s="59" t="inlineStr">
        <is>
          <t/>
        </is>
      </c>
      <c r="AZ445" s="60" t="inlineStr">
        <is>
          <t/>
        </is>
      </c>
      <c r="BA445" s="61" t="inlineStr">
        <is>
          <t/>
        </is>
      </c>
      <c r="BB445" s="62" t="inlineStr">
        <is>
          <t>Fortino Capital (www.fortino.be)</t>
        </is>
      </c>
      <c r="BC445" s="63" t="inlineStr">
        <is>
          <t/>
        </is>
      </c>
      <c r="BD445" s="64" t="inlineStr">
        <is>
          <t/>
        </is>
      </c>
      <c r="BE445" s="65" t="inlineStr">
        <is>
          <t/>
        </is>
      </c>
      <c r="BF445" s="66" t="inlineStr">
        <is>
          <t/>
        </is>
      </c>
      <c r="BG445" s="67" t="n">
        <v>41764.0</v>
      </c>
      <c r="BH445" s="68" t="n">
        <v>3.5</v>
      </c>
      <c r="BI445" s="69" t="inlineStr">
        <is>
          <t>Actual</t>
        </is>
      </c>
      <c r="BJ445" s="70" t="inlineStr">
        <is>
          <t/>
        </is>
      </c>
      <c r="BK445" s="71" t="inlineStr">
        <is>
          <t/>
        </is>
      </c>
      <c r="BL445" s="72" t="inlineStr">
        <is>
          <t>Seed Round</t>
        </is>
      </c>
      <c r="BM445" s="73" t="inlineStr">
        <is>
          <t>Seed</t>
        </is>
      </c>
      <c r="BN445" s="74" t="inlineStr">
        <is>
          <t/>
        </is>
      </c>
      <c r="BO445" s="75" t="inlineStr">
        <is>
          <t>Venture Capital</t>
        </is>
      </c>
      <c r="BP445" s="76" t="inlineStr">
        <is>
          <t/>
        </is>
      </c>
      <c r="BQ445" s="77" t="inlineStr">
        <is>
          <t/>
        </is>
      </c>
      <c r="BR445" s="78" t="inlineStr">
        <is>
          <t/>
        </is>
      </c>
      <c r="BS445" s="79" t="inlineStr">
        <is>
          <t>Completed</t>
        </is>
      </c>
      <c r="BT445" s="80" t="n">
        <v>42684.0</v>
      </c>
      <c r="BU445" s="81" t="n">
        <v>10.0</v>
      </c>
      <c r="BV445" s="82" t="inlineStr">
        <is>
          <t>Actual</t>
        </is>
      </c>
      <c r="BW445" s="83" t="inlineStr">
        <is>
          <t/>
        </is>
      </c>
      <c r="BX445" s="84" t="inlineStr">
        <is>
          <t/>
        </is>
      </c>
      <c r="BY445" s="85" t="inlineStr">
        <is>
          <t>Early Stage VC</t>
        </is>
      </c>
      <c r="BZ445" s="86" t="inlineStr">
        <is>
          <t>Series B</t>
        </is>
      </c>
      <c r="CA445" s="87" t="inlineStr">
        <is>
          <t/>
        </is>
      </c>
      <c r="CB445" s="88" t="inlineStr">
        <is>
          <t>Venture Capital</t>
        </is>
      </c>
      <c r="CC445" s="89" t="inlineStr">
        <is>
          <t/>
        </is>
      </c>
      <c r="CD445" s="90" t="inlineStr">
        <is>
          <t/>
        </is>
      </c>
      <c r="CE445" s="91" t="inlineStr">
        <is>
          <t/>
        </is>
      </c>
      <c r="CF445" s="92" t="inlineStr">
        <is>
          <t>Completed</t>
        </is>
      </c>
      <c r="CG445" s="93" t="inlineStr">
        <is>
          <t>-2,34%</t>
        </is>
      </c>
      <c r="CH445" s="94" t="inlineStr">
        <is>
          <t>2</t>
        </is>
      </c>
      <c r="CI445" s="95" t="inlineStr">
        <is>
          <t>0,01%</t>
        </is>
      </c>
      <c r="CJ445" s="96" t="inlineStr">
        <is>
          <t>0,27%</t>
        </is>
      </c>
      <c r="CK445" s="97" t="inlineStr">
        <is>
          <t>-5,22%</t>
        </is>
      </c>
      <c r="CL445" s="98" t="inlineStr">
        <is>
          <t>1</t>
        </is>
      </c>
      <c r="CM445" s="99" t="inlineStr">
        <is>
          <t>0,53%</t>
        </is>
      </c>
      <c r="CN445" s="100" t="inlineStr">
        <is>
          <t>90</t>
        </is>
      </c>
      <c r="CO445" s="101" t="inlineStr">
        <is>
          <t>-5,22%</t>
        </is>
      </c>
      <c r="CP445" s="102" t="inlineStr">
        <is>
          <t>6</t>
        </is>
      </c>
      <c r="CQ445" s="103" t="inlineStr">
        <is>
          <t/>
        </is>
      </c>
      <c r="CR445" s="104" t="inlineStr">
        <is>
          <t/>
        </is>
      </c>
      <c r="CS445" s="105" t="inlineStr">
        <is>
          <t>1,07%</t>
        </is>
      </c>
      <c r="CT445" s="106" t="inlineStr">
        <is>
          <t>95</t>
        </is>
      </c>
      <c r="CU445" s="107" t="inlineStr">
        <is>
          <t>0,00%</t>
        </is>
      </c>
      <c r="CV445" s="108" t="inlineStr">
        <is>
          <t>20</t>
        </is>
      </c>
      <c r="CW445" s="109" t="inlineStr">
        <is>
          <t>12,64x</t>
        </is>
      </c>
      <c r="CX445" s="110" t="inlineStr">
        <is>
          <t>89</t>
        </is>
      </c>
      <c r="CY445" s="111" t="inlineStr">
        <is>
          <t>0,26x</t>
        </is>
      </c>
      <c r="CZ445" s="112" t="inlineStr">
        <is>
          <t>2,09%</t>
        </is>
      </c>
      <c r="DA445" s="113" t="inlineStr">
        <is>
          <t>9,60x</t>
        </is>
      </c>
      <c r="DB445" s="114" t="inlineStr">
        <is>
          <t>87</t>
        </is>
      </c>
      <c r="DC445" s="115" t="inlineStr">
        <is>
          <t>15,68x</t>
        </is>
      </c>
      <c r="DD445" s="116" t="inlineStr">
        <is>
          <t>88</t>
        </is>
      </c>
      <c r="DE445" s="117" t="inlineStr">
        <is>
          <t>9,60x</t>
        </is>
      </c>
      <c r="DF445" s="118" t="inlineStr">
        <is>
          <t>83</t>
        </is>
      </c>
      <c r="DG445" s="119" t="inlineStr">
        <is>
          <t/>
        </is>
      </c>
      <c r="DH445" s="120" t="inlineStr">
        <is>
          <t/>
        </is>
      </c>
      <c r="DI445" s="121" t="inlineStr">
        <is>
          <t>31,31x</t>
        </is>
      </c>
      <c r="DJ445" s="122" t="inlineStr">
        <is>
          <t>90</t>
        </is>
      </c>
      <c r="DK445" s="123" t="inlineStr">
        <is>
          <t>0,05x</t>
        </is>
      </c>
      <c r="DL445" s="124" t="inlineStr">
        <is>
          <t>11</t>
        </is>
      </c>
      <c r="DM445" s="125" t="inlineStr">
        <is>
          <t>6.221</t>
        </is>
      </c>
      <c r="DN445" s="126" t="inlineStr">
        <is>
          <t>-941</t>
        </is>
      </c>
      <c r="DO445" s="127" t="inlineStr">
        <is>
          <t>-13,14%</t>
        </is>
      </c>
      <c r="DP445" s="128" t="inlineStr">
        <is>
          <t>24.879</t>
        </is>
      </c>
      <c r="DQ445" s="129" t="inlineStr">
        <is>
          <t>298</t>
        </is>
      </c>
      <c r="DR445" s="130" t="inlineStr">
        <is>
          <t>1,21%</t>
        </is>
      </c>
      <c r="DS445" s="131" t="inlineStr">
        <is>
          <t/>
        </is>
      </c>
      <c r="DT445" s="132" t="inlineStr">
        <is>
          <t/>
        </is>
      </c>
      <c r="DU445" s="133" t="inlineStr">
        <is>
          <t/>
        </is>
      </c>
      <c r="DV445" s="134" t="inlineStr">
        <is>
          <t>16</t>
        </is>
      </c>
      <c r="DW445" s="135" t="inlineStr">
        <is>
          <t>1</t>
        </is>
      </c>
      <c r="DX445" s="136" t="inlineStr">
        <is>
          <t>6,67%</t>
        </is>
      </c>
      <c r="DY445" s="137" t="inlineStr">
        <is>
          <t>PitchBook Research</t>
        </is>
      </c>
      <c r="DZ445" s="785">
        <f>HYPERLINK("https://my.pitchbook.com?c=92614-87", "View company online")</f>
      </c>
    </row>
    <row r="446">
      <c r="A446" s="139" t="inlineStr">
        <is>
          <t>142210-72</t>
        </is>
      </c>
      <c r="B446" s="140" t="inlineStr">
        <is>
          <t>Teckro</t>
        </is>
      </c>
      <c r="C446" s="141" t="inlineStr">
        <is>
          <t/>
        </is>
      </c>
      <c r="D446" s="142" t="inlineStr">
        <is>
          <t/>
        </is>
      </c>
      <c r="E446" s="143" t="inlineStr">
        <is>
          <t>142210-72</t>
        </is>
      </c>
      <c r="F446" s="144" t="inlineStr">
        <is>
          <t>Developer of a clinical trials processing platform designed to rethink every element of clinical research. The company's clinical trials processing platform partners with pharmaceutical/biotech companies and research institutions to simplify the clinical development process by using information retrieval and machine learning technologies to improve the speed and accuracy of trial conduct, enabling research institutions to connect the entire study teams and streamline the research process.</t>
        </is>
      </c>
      <c r="G446" s="145" t="inlineStr">
        <is>
          <t>Healthcare</t>
        </is>
      </c>
      <c r="H446" s="146" t="inlineStr">
        <is>
          <t>Healthcare Technology Systems</t>
        </is>
      </c>
      <c r="I446" s="147" t="inlineStr">
        <is>
          <t>Decision/Risk Analysis</t>
        </is>
      </c>
      <c r="J446" s="148" t="inlineStr">
        <is>
          <t>Decision/Risk Analysis*; Other Healthcare Technology Systems</t>
        </is>
      </c>
      <c r="K446" s="149" t="inlineStr">
        <is>
          <t>Artificial Intelligence &amp; Machine Learning, Big Data, HealthTech</t>
        </is>
      </c>
      <c r="L446" s="150" t="inlineStr">
        <is>
          <t>Venture Capital-Backed</t>
        </is>
      </c>
      <c r="M446" s="151" t="n">
        <v>15.43</v>
      </c>
      <c r="N446" s="152" t="inlineStr">
        <is>
          <t>Generating Revenue</t>
        </is>
      </c>
      <c r="O446" s="153" t="inlineStr">
        <is>
          <t>Privately Held (backing)</t>
        </is>
      </c>
      <c r="P446" s="154" t="inlineStr">
        <is>
          <t>Venture Capital</t>
        </is>
      </c>
      <c r="Q446" s="155" t="inlineStr">
        <is>
          <t>www.teckro.com</t>
        </is>
      </c>
      <c r="R446" s="156" t="n">
        <v>16.0</v>
      </c>
      <c r="S446" s="157" t="inlineStr">
        <is>
          <t/>
        </is>
      </c>
      <c r="T446" s="158" t="inlineStr">
        <is>
          <t/>
        </is>
      </c>
      <c r="U446" s="159" t="n">
        <v>2015.0</v>
      </c>
      <c r="V446" s="160" t="inlineStr">
        <is>
          <t/>
        </is>
      </c>
      <c r="W446" s="161" t="inlineStr">
        <is>
          <t/>
        </is>
      </c>
      <c r="X446" s="162" t="inlineStr">
        <is>
          <t/>
        </is>
      </c>
      <c r="Y446" s="163" t="inlineStr">
        <is>
          <t/>
        </is>
      </c>
      <c r="Z446" s="164" t="inlineStr">
        <is>
          <t/>
        </is>
      </c>
      <c r="AA446" s="165" t="inlineStr">
        <is>
          <t/>
        </is>
      </c>
      <c r="AB446" s="166" t="inlineStr">
        <is>
          <t/>
        </is>
      </c>
      <c r="AC446" s="167" t="inlineStr">
        <is>
          <t/>
        </is>
      </c>
      <c r="AD446" s="168" t="inlineStr">
        <is>
          <t/>
        </is>
      </c>
      <c r="AE446" s="169" t="inlineStr">
        <is>
          <t>135155-35P</t>
        </is>
      </c>
      <c r="AF446" s="170" t="inlineStr">
        <is>
          <t>John Sexton</t>
        </is>
      </c>
      <c r="AG446" s="171" t="inlineStr">
        <is>
          <t>Chief Financial Officer</t>
        </is>
      </c>
      <c r="AH446" s="172" t="inlineStr">
        <is>
          <t>john@teckro.com</t>
        </is>
      </c>
      <c r="AI446" s="173" t="inlineStr">
        <is>
          <t>+353 (0)61 529 001</t>
        </is>
      </c>
      <c r="AJ446" s="174" t="inlineStr">
        <is>
          <t>Limerick, Ireland</t>
        </is>
      </c>
      <c r="AK446" s="175" t="inlineStr">
        <is>
          <t>The Bank Building</t>
        </is>
      </c>
      <c r="AL446" s="176" t="inlineStr">
        <is>
          <t>63 O'Connell Street</t>
        </is>
      </c>
      <c r="AM446" s="177" t="inlineStr">
        <is>
          <t>Limerick</t>
        </is>
      </c>
      <c r="AN446" s="178" t="inlineStr">
        <is>
          <t/>
        </is>
      </c>
      <c r="AO446" s="179" t="inlineStr">
        <is>
          <t>V94 XT62</t>
        </is>
      </c>
      <c r="AP446" s="180" t="inlineStr">
        <is>
          <t>Ireland</t>
        </is>
      </c>
      <c r="AQ446" s="181" t="inlineStr">
        <is>
          <t>+353 (0)61 529 001</t>
        </is>
      </c>
      <c r="AR446" s="182" t="inlineStr">
        <is>
          <t/>
        </is>
      </c>
      <c r="AS446" s="183" t="inlineStr">
        <is>
          <t>info@teckro.com</t>
        </is>
      </c>
      <c r="AT446" s="184" t="inlineStr">
        <is>
          <t>Europe</t>
        </is>
      </c>
      <c r="AU446" s="185" t="inlineStr">
        <is>
          <t>Western Europe</t>
        </is>
      </c>
      <c r="AV446" s="186" t="inlineStr">
        <is>
          <t>The company raised $10 million of venture funding led by Sands Capital Ventures on August 23, 2017. Section 32 and Founders Fund also participated in this round. The company intends to use the funds to continue to develop the platform and expand operations. Earlier, the company raised $6 million of Series A venture funding in a deal led by Founders Fund on August 9, 2016.</t>
        </is>
      </c>
      <c r="AW446" s="187" t="inlineStr">
        <is>
          <t>Enterprise Ireland, Founders Fund, MACX3 Investments and Consulting, Sands Capital Ventures, Section 32</t>
        </is>
      </c>
      <c r="AX446" s="188" t="n">
        <v>5.0</v>
      </c>
      <c r="AY446" s="189" t="inlineStr">
        <is>
          <t/>
        </is>
      </c>
      <c r="AZ446" s="190" t="inlineStr">
        <is>
          <t/>
        </is>
      </c>
      <c r="BA446" s="191" t="inlineStr">
        <is>
          <t/>
        </is>
      </c>
      <c r="BB446" s="192" t="inlineStr">
        <is>
          <t>Enterprise Ireland (www.enterprise-ireland.com), Founders Fund (www.foundersfund.com), MACX3 Investments and Consulting (www.macx3.com), Sands Capital Ventures (www.sandscapitalventures.com), Section 32 (www.section32.com)</t>
        </is>
      </c>
      <c r="BC446" s="193" t="inlineStr">
        <is>
          <t/>
        </is>
      </c>
      <c r="BD446" s="194" t="inlineStr">
        <is>
          <t/>
        </is>
      </c>
      <c r="BE446" s="195" t="inlineStr">
        <is>
          <t/>
        </is>
      </c>
      <c r="BF446" s="196" t="inlineStr">
        <is>
          <t>Beauchamps Solicitors (Legal Advisor)</t>
        </is>
      </c>
      <c r="BG446" s="197" t="n">
        <v>42156.0</v>
      </c>
      <c r="BH446" s="198" t="n">
        <v>1.61</v>
      </c>
      <c r="BI446" s="199" t="inlineStr">
        <is>
          <t>Estimated</t>
        </is>
      </c>
      <c r="BJ446" s="200" t="inlineStr">
        <is>
          <t/>
        </is>
      </c>
      <c r="BK446" s="201" t="inlineStr">
        <is>
          <t/>
        </is>
      </c>
      <c r="BL446" s="202" t="inlineStr">
        <is>
          <t>Seed Round</t>
        </is>
      </c>
      <c r="BM446" s="203" t="inlineStr">
        <is>
          <t>Seed</t>
        </is>
      </c>
      <c r="BN446" s="204" t="inlineStr">
        <is>
          <t/>
        </is>
      </c>
      <c r="BO446" s="205" t="inlineStr">
        <is>
          <t>Venture Capital</t>
        </is>
      </c>
      <c r="BP446" s="206" t="inlineStr">
        <is>
          <t/>
        </is>
      </c>
      <c r="BQ446" s="207" t="inlineStr">
        <is>
          <t/>
        </is>
      </c>
      <c r="BR446" s="208" t="inlineStr">
        <is>
          <t/>
        </is>
      </c>
      <c r="BS446" s="209" t="inlineStr">
        <is>
          <t>Completed</t>
        </is>
      </c>
      <c r="BT446" s="210" t="n">
        <v>42970.0</v>
      </c>
      <c r="BU446" s="211" t="n">
        <v>8.47</v>
      </c>
      <c r="BV446" s="212" t="inlineStr">
        <is>
          <t>Actual</t>
        </is>
      </c>
      <c r="BW446" s="213" t="inlineStr">
        <is>
          <t/>
        </is>
      </c>
      <c r="BX446" s="214" t="inlineStr">
        <is>
          <t/>
        </is>
      </c>
      <c r="BY446" s="215" t="inlineStr">
        <is>
          <t>Early Stage VC</t>
        </is>
      </c>
      <c r="BZ446" s="216" t="inlineStr">
        <is>
          <t/>
        </is>
      </c>
      <c r="CA446" s="217" t="inlineStr">
        <is>
          <t/>
        </is>
      </c>
      <c r="CB446" s="218" t="inlineStr">
        <is>
          <t>Venture Capital</t>
        </is>
      </c>
      <c r="CC446" s="219" t="inlineStr">
        <is>
          <t/>
        </is>
      </c>
      <c r="CD446" s="220" t="inlineStr">
        <is>
          <t/>
        </is>
      </c>
      <c r="CE446" s="221" t="inlineStr">
        <is>
          <t/>
        </is>
      </c>
      <c r="CF446" s="222" t="inlineStr">
        <is>
          <t>Completed</t>
        </is>
      </c>
      <c r="CG446" s="223" t="inlineStr">
        <is>
          <t>1,06%</t>
        </is>
      </c>
      <c r="CH446" s="224" t="inlineStr">
        <is>
          <t>89</t>
        </is>
      </c>
      <c r="CI446" s="225" t="inlineStr">
        <is>
          <t>1,06%</t>
        </is>
      </c>
      <c r="CJ446" s="226" t="inlineStr">
        <is>
          <t>0,00%</t>
        </is>
      </c>
      <c r="CK446" s="227" t="inlineStr">
        <is>
          <t>0,00%</t>
        </is>
      </c>
      <c r="CL446" s="228" t="inlineStr">
        <is>
          <t>18</t>
        </is>
      </c>
      <c r="CM446" s="229" t="inlineStr">
        <is>
          <t>2,12%</t>
        </is>
      </c>
      <c r="CN446" s="230" t="inlineStr">
        <is>
          <t>99</t>
        </is>
      </c>
      <c r="CO446" s="231" t="inlineStr">
        <is>
          <t>0,00%</t>
        </is>
      </c>
      <c r="CP446" s="232" t="inlineStr">
        <is>
          <t>26</t>
        </is>
      </c>
      <c r="CQ446" s="233" t="inlineStr">
        <is>
          <t>0,00%</t>
        </is>
      </c>
      <c r="CR446" s="234" t="inlineStr">
        <is>
          <t>13</t>
        </is>
      </c>
      <c r="CS446" s="235" t="inlineStr">
        <is>
          <t>2,12%</t>
        </is>
      </c>
      <c r="CT446" s="236" t="inlineStr">
        <is>
          <t>98</t>
        </is>
      </c>
      <c r="CU446" s="237" t="inlineStr">
        <is>
          <t/>
        </is>
      </c>
      <c r="CV446" s="238" t="inlineStr">
        <is>
          <t/>
        </is>
      </c>
      <c r="CW446" s="239" t="inlineStr">
        <is>
          <t>0,65x</t>
        </is>
      </c>
      <c r="CX446" s="240" t="inlineStr">
        <is>
          <t>39</t>
        </is>
      </c>
      <c r="CY446" s="241" t="inlineStr">
        <is>
          <t>0,02x</t>
        </is>
      </c>
      <c r="CZ446" s="242" t="inlineStr">
        <is>
          <t>3,89%</t>
        </is>
      </c>
      <c r="DA446" s="243" t="inlineStr">
        <is>
          <t>0,67x</t>
        </is>
      </c>
      <c r="DB446" s="244" t="inlineStr">
        <is>
          <t>42</t>
        </is>
      </c>
      <c r="DC446" s="245" t="inlineStr">
        <is>
          <t>0,63x</t>
        </is>
      </c>
      <c r="DD446" s="246" t="inlineStr">
        <is>
          <t>40</t>
        </is>
      </c>
      <c r="DE446" s="247" t="inlineStr">
        <is>
          <t>1,11x</t>
        </is>
      </c>
      <c r="DF446" s="248" t="inlineStr">
        <is>
          <t>53</t>
        </is>
      </c>
      <c r="DG446" s="249" t="inlineStr">
        <is>
          <t>0,22x</t>
        </is>
      </c>
      <c r="DH446" s="250" t="inlineStr">
        <is>
          <t>22</t>
        </is>
      </c>
      <c r="DI446" s="251" t="inlineStr">
        <is>
          <t>0,63x</t>
        </is>
      </c>
      <c r="DJ446" s="252" t="inlineStr">
        <is>
          <t>42</t>
        </is>
      </c>
      <c r="DK446" s="253" t="inlineStr">
        <is>
          <t/>
        </is>
      </c>
      <c r="DL446" s="254" t="inlineStr">
        <is>
          <t/>
        </is>
      </c>
      <c r="DM446" s="255" t="inlineStr">
        <is>
          <t>677</t>
        </is>
      </c>
      <c r="DN446" s="256" t="inlineStr">
        <is>
          <t>24</t>
        </is>
      </c>
      <c r="DO446" s="257" t="inlineStr">
        <is>
          <t>3,68%</t>
        </is>
      </c>
      <c r="DP446" s="258" t="inlineStr">
        <is>
          <t>499</t>
        </is>
      </c>
      <c r="DQ446" s="259" t="inlineStr">
        <is>
          <t>10</t>
        </is>
      </c>
      <c r="DR446" s="260" t="inlineStr">
        <is>
          <t>2,04%</t>
        </is>
      </c>
      <c r="DS446" s="261" t="inlineStr">
        <is>
          <t>7</t>
        </is>
      </c>
      <c r="DT446" s="262" t="inlineStr">
        <is>
          <t>2</t>
        </is>
      </c>
      <c r="DU446" s="263" t="inlineStr">
        <is>
          <t>40,00%</t>
        </is>
      </c>
      <c r="DV446" s="264" t="inlineStr">
        <is>
          <t/>
        </is>
      </c>
      <c r="DW446" s="265" t="inlineStr">
        <is>
          <t/>
        </is>
      </c>
      <c r="DX446" s="266" t="inlineStr">
        <is>
          <t/>
        </is>
      </c>
      <c r="DY446" s="267" t="inlineStr">
        <is>
          <t>PitchBook Research</t>
        </is>
      </c>
      <c r="DZ446" s="786">
        <f>HYPERLINK("https://my.pitchbook.com?c=142210-72", "View company online")</f>
      </c>
    </row>
    <row r="447">
      <c r="A447" s="9" t="inlineStr">
        <is>
          <t>149312-44</t>
        </is>
      </c>
      <c r="B447" s="10" t="inlineStr">
        <is>
          <t>Teemo</t>
        </is>
      </c>
      <c r="C447" s="11" t="inlineStr">
        <is>
          <t>Databerries</t>
        </is>
      </c>
      <c r="D447" s="12" t="inlineStr">
        <is>
          <t/>
        </is>
      </c>
      <c r="E447" s="13" t="inlineStr">
        <is>
          <t>149312-44</t>
        </is>
      </c>
      <c r="F447" s="14" t="inlineStr">
        <is>
          <t>Developer of a performance-based mobile advertising platform designed to use mobile ads to target consumers for offline retailers. The company's performance-based mobile advertising platform uses machine learning algorithms to provide companies with a platform to run efficient mobile marketing campaigns and increase revenue enabling brick and mortar retailers to use mobile ads to target consumers based on previously visited locations and determine which ads have resulted in store visits.</t>
        </is>
      </c>
      <c r="G447" s="15" t="inlineStr">
        <is>
          <t>Business Products and Services (B2B)</t>
        </is>
      </c>
      <c r="H447" s="16" t="inlineStr">
        <is>
          <t>Commercial Services</t>
        </is>
      </c>
      <c r="I447" s="17" t="inlineStr">
        <is>
          <t>Media and Information Services (B2B)</t>
        </is>
      </c>
      <c r="J447" s="18" t="inlineStr">
        <is>
          <t>Media and Information Services (B2B)*; Business/Productivity Software</t>
        </is>
      </c>
      <c r="K447" s="19" t="inlineStr">
        <is>
          <t>AdTech, Artificial Intelligence &amp; Machine Learning, Big Data</t>
        </is>
      </c>
      <c r="L447" s="20" t="inlineStr">
        <is>
          <t>Venture Capital-Backed</t>
        </is>
      </c>
      <c r="M447" s="21" t="n">
        <v>16.67</v>
      </c>
      <c r="N447" s="22" t="inlineStr">
        <is>
          <t>Generating Revenue</t>
        </is>
      </c>
      <c r="O447" s="23" t="inlineStr">
        <is>
          <t>Privately Held (backing)</t>
        </is>
      </c>
      <c r="P447" s="24" t="inlineStr">
        <is>
          <t>Venture Capital</t>
        </is>
      </c>
      <c r="Q447" s="25" t="inlineStr">
        <is>
          <t>www.teemo.co</t>
        </is>
      </c>
      <c r="R447" s="26" t="n">
        <v>40.0</v>
      </c>
      <c r="S447" s="27" t="inlineStr">
        <is>
          <t/>
        </is>
      </c>
      <c r="T447" s="28" t="inlineStr">
        <is>
          <t/>
        </is>
      </c>
      <c r="U447" s="29" t="n">
        <v>2014.0</v>
      </c>
      <c r="V447" s="30" t="inlineStr">
        <is>
          <t/>
        </is>
      </c>
      <c r="W447" s="31" t="inlineStr">
        <is>
          <t/>
        </is>
      </c>
      <c r="X447" s="32" t="inlineStr">
        <is>
          <t/>
        </is>
      </c>
      <c r="Y447" s="33" t="inlineStr">
        <is>
          <t/>
        </is>
      </c>
      <c r="Z447" s="34" t="inlineStr">
        <is>
          <t/>
        </is>
      </c>
      <c r="AA447" s="35" t="inlineStr">
        <is>
          <t/>
        </is>
      </c>
      <c r="AB447" s="36" t="inlineStr">
        <is>
          <t/>
        </is>
      </c>
      <c r="AC447" s="37" t="inlineStr">
        <is>
          <t/>
        </is>
      </c>
      <c r="AD447" s="38" t="inlineStr">
        <is>
          <t/>
        </is>
      </c>
      <c r="AE447" s="39" t="inlineStr">
        <is>
          <t>122467-42P</t>
        </is>
      </c>
      <c r="AF447" s="40" t="inlineStr">
        <is>
          <t>Benoit Grouchko</t>
        </is>
      </c>
      <c r="AG447" s="41" t="inlineStr">
        <is>
          <t>Co-Founder &amp; Chief Executive Officer</t>
        </is>
      </c>
      <c r="AH447" s="42" t="inlineStr">
        <is>
          <t>benoit@databerries.com</t>
        </is>
      </c>
      <c r="AI447" s="43" t="inlineStr">
        <is>
          <t>+33 (0)1 42 08 60 33</t>
        </is>
      </c>
      <c r="AJ447" s="44" t="inlineStr">
        <is>
          <t>Paris, France</t>
        </is>
      </c>
      <c r="AK447" s="45" t="inlineStr">
        <is>
          <t>39, rue Godot-de-Mauroy</t>
        </is>
      </c>
      <c r="AL447" s="46" t="inlineStr">
        <is>
          <t/>
        </is>
      </c>
      <c r="AM447" s="47" t="inlineStr">
        <is>
          <t>Paris</t>
        </is>
      </c>
      <c r="AN447" s="48" t="inlineStr">
        <is>
          <t/>
        </is>
      </c>
      <c r="AO447" s="49" t="inlineStr">
        <is>
          <t>75009</t>
        </is>
      </c>
      <c r="AP447" s="50" t="inlineStr">
        <is>
          <t>France</t>
        </is>
      </c>
      <c r="AQ447" s="51" t="inlineStr">
        <is>
          <t>+33 (0)1 42 08 60 33</t>
        </is>
      </c>
      <c r="AR447" s="52" t="inlineStr">
        <is>
          <t/>
        </is>
      </c>
      <c r="AS447" s="53" t="inlineStr">
        <is>
          <t>contact@databerries.com</t>
        </is>
      </c>
      <c r="AT447" s="54" t="inlineStr">
        <is>
          <t>Europe</t>
        </is>
      </c>
      <c r="AU447" s="55" t="inlineStr">
        <is>
          <t>Western Europe</t>
        </is>
      </c>
      <c r="AV447" s="56" t="inlineStr">
        <is>
          <t>The company raised $16 million of Series A venture funding in a deal led by Index Ventures on March 21, 2017. ISAI, Mosaic Ventures, Pascal Gauthier and Greg Coleman also participated in the round. The company intends to use the funds to launch their product in the US and strengthen technical lead.</t>
        </is>
      </c>
      <c r="AW447" s="57" t="inlineStr">
        <is>
          <t>Greg Coleman, Index Ventures (UK), ISAI, Mosaic Ventures, Pascal Gauthier, Telecom Paristech</t>
        </is>
      </c>
      <c r="AX447" s="58" t="n">
        <v>6.0</v>
      </c>
      <c r="AY447" s="59" t="inlineStr">
        <is>
          <t/>
        </is>
      </c>
      <c r="AZ447" s="60" t="inlineStr">
        <is>
          <t/>
        </is>
      </c>
      <c r="BA447" s="61" t="inlineStr">
        <is>
          <t/>
        </is>
      </c>
      <c r="BB447" s="62" t="inlineStr">
        <is>
          <t>Index Ventures (UK) (www.indexventures.com), ISAI (www.isai.fr), Mosaic Ventures (www.mosaicventures.com), Telecom Paristech (www.paristech-entrepreneurs.fr)</t>
        </is>
      </c>
      <c r="BC447" s="63" t="inlineStr">
        <is>
          <t/>
        </is>
      </c>
      <c r="BD447" s="64" t="inlineStr">
        <is>
          <t/>
        </is>
      </c>
      <c r="BE447" s="65" t="inlineStr">
        <is>
          <t/>
        </is>
      </c>
      <c r="BF447" s="66" t="inlineStr">
        <is>
          <t>Jones Day (Legal Advisor)</t>
        </is>
      </c>
      <c r="BG447" s="67" t="n">
        <v>42348.0</v>
      </c>
      <c r="BH447" s="68" t="n">
        <v>1.7</v>
      </c>
      <c r="BI447" s="69" t="inlineStr">
        <is>
          <t>Actual</t>
        </is>
      </c>
      <c r="BJ447" s="70" t="inlineStr">
        <is>
          <t/>
        </is>
      </c>
      <c r="BK447" s="71" t="inlineStr">
        <is>
          <t/>
        </is>
      </c>
      <c r="BL447" s="72" t="inlineStr">
        <is>
          <t>Early Stage VC</t>
        </is>
      </c>
      <c r="BM447" s="73" t="inlineStr">
        <is>
          <t/>
        </is>
      </c>
      <c r="BN447" s="74" t="inlineStr">
        <is>
          <t/>
        </is>
      </c>
      <c r="BO447" s="75" t="inlineStr">
        <is>
          <t>Venture Capital</t>
        </is>
      </c>
      <c r="BP447" s="76" t="inlineStr">
        <is>
          <t/>
        </is>
      </c>
      <c r="BQ447" s="77" t="inlineStr">
        <is>
          <t/>
        </is>
      </c>
      <c r="BR447" s="78" t="inlineStr">
        <is>
          <t/>
        </is>
      </c>
      <c r="BS447" s="79" t="inlineStr">
        <is>
          <t>Completed</t>
        </is>
      </c>
      <c r="BT447" s="80" t="n">
        <v>42815.0</v>
      </c>
      <c r="BU447" s="81" t="n">
        <v>14.97</v>
      </c>
      <c r="BV447" s="82" t="inlineStr">
        <is>
          <t>Actual</t>
        </is>
      </c>
      <c r="BW447" s="83" t="inlineStr">
        <is>
          <t/>
        </is>
      </c>
      <c r="BX447" s="84" t="inlineStr">
        <is>
          <t/>
        </is>
      </c>
      <c r="BY447" s="85" t="inlineStr">
        <is>
          <t>Early Stage VC</t>
        </is>
      </c>
      <c r="BZ447" s="86" t="inlineStr">
        <is>
          <t>Series A</t>
        </is>
      </c>
      <c r="CA447" s="87" t="inlineStr">
        <is>
          <t/>
        </is>
      </c>
      <c r="CB447" s="88" t="inlineStr">
        <is>
          <t>Venture Capital</t>
        </is>
      </c>
      <c r="CC447" s="89" t="inlineStr">
        <is>
          <t/>
        </is>
      </c>
      <c r="CD447" s="90" t="inlineStr">
        <is>
          <t/>
        </is>
      </c>
      <c r="CE447" s="91" t="inlineStr">
        <is>
          <t/>
        </is>
      </c>
      <c r="CF447" s="92" t="inlineStr">
        <is>
          <t>Completed</t>
        </is>
      </c>
      <c r="CG447" s="93" t="inlineStr">
        <is>
          <t>8,35%</t>
        </is>
      </c>
      <c r="CH447" s="94" t="inlineStr">
        <is>
          <t>99</t>
        </is>
      </c>
      <c r="CI447" s="95" t="inlineStr">
        <is>
          <t>1,52%</t>
        </is>
      </c>
      <c r="CJ447" s="96" t="inlineStr">
        <is>
          <t>22,27%</t>
        </is>
      </c>
      <c r="CK447" s="97" t="inlineStr">
        <is>
          <t>16,96%</t>
        </is>
      </c>
      <c r="CL447" s="98" t="inlineStr">
        <is>
          <t>100</t>
        </is>
      </c>
      <c r="CM447" s="99" t="inlineStr">
        <is>
          <t>-0,26%</t>
        </is>
      </c>
      <c r="CN447" s="100" t="inlineStr">
        <is>
          <t>1</t>
        </is>
      </c>
      <c r="CO447" s="101" t="inlineStr">
        <is>
          <t>16,96%</t>
        </is>
      </c>
      <c r="CP447" s="102" t="inlineStr">
        <is>
          <t>100</t>
        </is>
      </c>
      <c r="CQ447" s="103" t="inlineStr">
        <is>
          <t/>
        </is>
      </c>
      <c r="CR447" s="104" t="inlineStr">
        <is>
          <t/>
        </is>
      </c>
      <c r="CS447" s="105" t="inlineStr">
        <is>
          <t/>
        </is>
      </c>
      <c r="CT447" s="106" t="inlineStr">
        <is>
          <t/>
        </is>
      </c>
      <c r="CU447" s="107" t="inlineStr">
        <is>
          <t>-0,26%</t>
        </is>
      </c>
      <c r="CV447" s="108" t="inlineStr">
        <is>
          <t>2</t>
        </is>
      </c>
      <c r="CW447" s="109" t="inlineStr">
        <is>
          <t>1,81x</t>
        </is>
      </c>
      <c r="CX447" s="110" t="inlineStr">
        <is>
          <t>62</t>
        </is>
      </c>
      <c r="CY447" s="111" t="inlineStr">
        <is>
          <t>0,00x</t>
        </is>
      </c>
      <c r="CZ447" s="112" t="inlineStr">
        <is>
          <t>0,01%</t>
        </is>
      </c>
      <c r="DA447" s="113" t="inlineStr">
        <is>
          <t>3,60x</t>
        </is>
      </c>
      <c r="DB447" s="114" t="inlineStr">
        <is>
          <t>76</t>
        </is>
      </c>
      <c r="DC447" s="115" t="inlineStr">
        <is>
          <t>0,02x</t>
        </is>
      </c>
      <c r="DD447" s="116" t="inlineStr">
        <is>
          <t>4</t>
        </is>
      </c>
      <c r="DE447" s="117" t="inlineStr">
        <is>
          <t>3,60x</t>
        </is>
      </c>
      <c r="DF447" s="118" t="inlineStr">
        <is>
          <t>72</t>
        </is>
      </c>
      <c r="DG447" s="119" t="inlineStr">
        <is>
          <t/>
        </is>
      </c>
      <c r="DH447" s="120" t="inlineStr">
        <is>
          <t/>
        </is>
      </c>
      <c r="DI447" s="121" t="inlineStr">
        <is>
          <t/>
        </is>
      </c>
      <c r="DJ447" s="122" t="inlineStr">
        <is>
          <t/>
        </is>
      </c>
      <c r="DK447" s="123" t="inlineStr">
        <is>
          <t>0,02x</t>
        </is>
      </c>
      <c r="DL447" s="124" t="inlineStr">
        <is>
          <t>5</t>
        </is>
      </c>
      <c r="DM447" s="125" t="inlineStr">
        <is>
          <t>2.479</t>
        </is>
      </c>
      <c r="DN447" s="126" t="inlineStr">
        <is>
          <t>-806</t>
        </is>
      </c>
      <c r="DO447" s="127" t="inlineStr">
        <is>
          <t>-24,54%</t>
        </is>
      </c>
      <c r="DP447" s="128" t="inlineStr">
        <is>
          <t>216</t>
        </is>
      </c>
      <c r="DQ447" s="129" t="inlineStr">
        <is>
          <t>1</t>
        </is>
      </c>
      <c r="DR447" s="130" t="inlineStr">
        <is>
          <t>0,47%</t>
        </is>
      </c>
      <c r="DS447" s="131" t="inlineStr">
        <is>
          <t/>
        </is>
      </c>
      <c r="DT447" s="132" t="inlineStr">
        <is>
          <t/>
        </is>
      </c>
      <c r="DU447" s="133" t="inlineStr">
        <is>
          <t/>
        </is>
      </c>
      <c r="DV447" s="134" t="inlineStr">
        <is>
          <t>6</t>
        </is>
      </c>
      <c r="DW447" s="135" t="inlineStr">
        <is>
          <t>1</t>
        </is>
      </c>
      <c r="DX447" s="136" t="inlineStr">
        <is>
          <t>20,00%</t>
        </is>
      </c>
      <c r="DY447" s="137" t="inlineStr">
        <is>
          <t>PitchBook Research</t>
        </is>
      </c>
      <c r="DZ447" s="785">
        <f>HYPERLINK("https://my.pitchbook.com?c=149312-44", "View company online")</f>
      </c>
    </row>
    <row r="448">
      <c r="A448" s="139" t="inlineStr">
        <is>
          <t>113868-73</t>
        </is>
      </c>
      <c r="B448" s="140" t="inlineStr">
        <is>
          <t>The Future Group</t>
        </is>
      </c>
      <c r="C448" s="141" t="inlineStr">
        <is>
          <t/>
        </is>
      </c>
      <c r="D448" s="142" t="inlineStr">
        <is>
          <t/>
        </is>
      </c>
      <c r="E448" s="143" t="inlineStr">
        <is>
          <t>113868-73</t>
        </is>
      </c>
      <c r="F448" s="144" t="inlineStr">
        <is>
          <t>Provider of an interactive mixed reality technology for television, mobile devices and desktop. The company's platform enables users to play in a fully-rendered three dimensional (3D) environment.</t>
        </is>
      </c>
      <c r="G448" s="145" t="inlineStr">
        <is>
          <t>Consumer Products and Services (B2C)</t>
        </is>
      </c>
      <c r="H448" s="146" t="inlineStr">
        <is>
          <t>Media</t>
        </is>
      </c>
      <c r="I448" s="147" t="inlineStr">
        <is>
          <t>Movies, Music and Entertainment</t>
        </is>
      </c>
      <c r="J448" s="148" t="inlineStr">
        <is>
          <t>Movies, Music and Entertainment*; Entertainment Software</t>
        </is>
      </c>
      <c r="K448" s="149" t="inlineStr">
        <is>
          <t>Virtual Reality</t>
        </is>
      </c>
      <c r="L448" s="150" t="inlineStr">
        <is>
          <t>Venture Capital-Backed</t>
        </is>
      </c>
      <c r="M448" s="151" t="n">
        <v>28.8</v>
      </c>
      <c r="N448" s="152" t="inlineStr">
        <is>
          <t>Generating Revenue</t>
        </is>
      </c>
      <c r="O448" s="153" t="inlineStr">
        <is>
          <t>Privately Held (backing)</t>
        </is>
      </c>
      <c r="P448" s="154" t="inlineStr">
        <is>
          <t>Venture Capital, M&amp;A</t>
        </is>
      </c>
      <c r="Q448" s="155" t="inlineStr">
        <is>
          <t>www.futureuniverse.com</t>
        </is>
      </c>
      <c r="R448" s="156" t="n">
        <v>100.0</v>
      </c>
      <c r="S448" s="157" t="inlineStr">
        <is>
          <t/>
        </is>
      </c>
      <c r="T448" s="158" t="inlineStr">
        <is>
          <t/>
        </is>
      </c>
      <c r="U448" s="159" t="n">
        <v>2013.0</v>
      </c>
      <c r="V448" s="160" t="inlineStr">
        <is>
          <t/>
        </is>
      </c>
      <c r="W448" s="161" t="inlineStr">
        <is>
          <t/>
        </is>
      </c>
      <c r="X448" s="162" t="inlineStr">
        <is>
          <t/>
        </is>
      </c>
      <c r="Y448" s="163" t="n">
        <v>0.01837</v>
      </c>
      <c r="Z448" s="164" t="inlineStr">
        <is>
          <t/>
        </is>
      </c>
      <c r="AA448" s="165" t="n">
        <v>-2.95831</v>
      </c>
      <c r="AB448" s="166" t="inlineStr">
        <is>
          <t/>
        </is>
      </c>
      <c r="AC448" s="167" t="n">
        <v>-2.94912</v>
      </c>
      <c r="AD448" s="168" t="inlineStr">
        <is>
          <t>FY 2015</t>
        </is>
      </c>
      <c r="AE448" s="169" t="inlineStr">
        <is>
          <t>50004-55P</t>
        </is>
      </c>
      <c r="AF448" s="170" t="inlineStr">
        <is>
          <t>Jens Petter Hoili</t>
        </is>
      </c>
      <c r="AG448" s="171" t="inlineStr">
        <is>
          <t>Co-Founder &amp; Chairman</t>
        </is>
      </c>
      <c r="AH448" s="172" t="inlineStr">
        <is>
          <t>jens@fairchance.com</t>
        </is>
      </c>
      <c r="AI448" s="173" t="inlineStr">
        <is>
          <t>+47 91 87 77 00</t>
        </is>
      </c>
      <c r="AJ448" s="174" t="inlineStr">
        <is>
          <t>Oslo, Norway</t>
        </is>
      </c>
      <c r="AK448" s="175" t="inlineStr">
        <is>
          <t>Tjuvholmen allé 11</t>
        </is>
      </c>
      <c r="AL448" s="176" t="inlineStr">
        <is>
          <t/>
        </is>
      </c>
      <c r="AM448" s="177" t="inlineStr">
        <is>
          <t>Oslo</t>
        </is>
      </c>
      <c r="AN448" s="178" t="inlineStr">
        <is>
          <t/>
        </is>
      </c>
      <c r="AO448" s="179" t="inlineStr">
        <is>
          <t>0252</t>
        </is>
      </c>
      <c r="AP448" s="180" t="inlineStr">
        <is>
          <t>Norway</t>
        </is>
      </c>
      <c r="AQ448" s="181" t="inlineStr">
        <is>
          <t>+47 91 87 77 00</t>
        </is>
      </c>
      <c r="AR448" s="182" t="inlineStr">
        <is>
          <t/>
        </is>
      </c>
      <c r="AS448" s="183" t="inlineStr">
        <is>
          <t>info@futureuniverse.com</t>
        </is>
      </c>
      <c r="AT448" s="184" t="inlineStr">
        <is>
          <t>Europe</t>
        </is>
      </c>
      <c r="AU448" s="185" t="inlineStr">
        <is>
          <t>Northern Europe</t>
        </is>
      </c>
      <c r="AV448" s="186" t="inlineStr">
        <is>
          <t>The company raised $20 million of Series C venture funding led by Ferd on November 3, 2016. Agenda Capital, Aker, Wellstreet Partners and undisclosed investors also participated in the round. The company intends to use the funds to further develop its the Frontier Interactive Mixed Reality (IMR) platform and for new worldwide IMR primetime game television show.</t>
        </is>
      </c>
      <c r="AW448" s="187" t="inlineStr">
        <is>
          <t>Agenda Capital, Aker, Ferd, Ross Video, Wellstreet Partners</t>
        </is>
      </c>
      <c r="AX448" s="188" t="n">
        <v>5.0</v>
      </c>
      <c r="AY448" s="189" t="inlineStr">
        <is>
          <t/>
        </is>
      </c>
      <c r="AZ448" s="190" t="inlineStr">
        <is>
          <t/>
        </is>
      </c>
      <c r="BA448" s="191" t="inlineStr">
        <is>
          <t/>
        </is>
      </c>
      <c r="BB448" s="192" t="inlineStr">
        <is>
          <t>Agenda Capital (www.agendacapital.com), Aker (www.akerasa.com), Ferd (www.ferd.no), Ross Video (www.rossvideo.com), Wellstreet Partners (www.wellstreet.se)</t>
        </is>
      </c>
      <c r="BC448" s="193" t="inlineStr">
        <is>
          <t/>
        </is>
      </c>
      <c r="BD448" s="194" t="inlineStr">
        <is>
          <t/>
        </is>
      </c>
      <c r="BE448" s="195" t="inlineStr">
        <is>
          <t>PwC (Auditor)</t>
        </is>
      </c>
      <c r="BF448" s="196" t="inlineStr">
        <is>
          <t/>
        </is>
      </c>
      <c r="BG448" s="197" t="n">
        <v>42005.0</v>
      </c>
      <c r="BH448" s="198" t="n">
        <v>10.29</v>
      </c>
      <c r="BI448" s="199" t="inlineStr">
        <is>
          <t>Estimated</t>
        </is>
      </c>
      <c r="BJ448" s="200" t="inlineStr">
        <is>
          <t/>
        </is>
      </c>
      <c r="BK448" s="201" t="inlineStr">
        <is>
          <t/>
        </is>
      </c>
      <c r="BL448" s="202" t="inlineStr">
        <is>
          <t>Corporate</t>
        </is>
      </c>
      <c r="BM448" s="203" t="inlineStr">
        <is>
          <t>Series B</t>
        </is>
      </c>
      <c r="BN448" s="204" t="inlineStr">
        <is>
          <t/>
        </is>
      </c>
      <c r="BO448" s="205" t="inlineStr">
        <is>
          <t>Corporate</t>
        </is>
      </c>
      <c r="BP448" s="206" t="inlineStr">
        <is>
          <t/>
        </is>
      </c>
      <c r="BQ448" s="207" t="inlineStr">
        <is>
          <t/>
        </is>
      </c>
      <c r="BR448" s="208" t="inlineStr">
        <is>
          <t/>
        </is>
      </c>
      <c r="BS448" s="209" t="inlineStr">
        <is>
          <t>Completed</t>
        </is>
      </c>
      <c r="BT448" s="210" t="n">
        <v>42677.0</v>
      </c>
      <c r="BU448" s="211" t="n">
        <v>18.51</v>
      </c>
      <c r="BV448" s="212" t="inlineStr">
        <is>
          <t>Actual</t>
        </is>
      </c>
      <c r="BW448" s="213" t="inlineStr">
        <is>
          <t/>
        </is>
      </c>
      <c r="BX448" s="214" t="inlineStr">
        <is>
          <t/>
        </is>
      </c>
      <c r="BY448" s="215" t="inlineStr">
        <is>
          <t>Later Stage VC</t>
        </is>
      </c>
      <c r="BZ448" s="216" t="inlineStr">
        <is>
          <t>Series C</t>
        </is>
      </c>
      <c r="CA448" s="217" t="inlineStr">
        <is>
          <t/>
        </is>
      </c>
      <c r="CB448" s="218" t="inlineStr">
        <is>
          <t>Venture Capital</t>
        </is>
      </c>
      <c r="CC448" s="219" t="inlineStr">
        <is>
          <t/>
        </is>
      </c>
      <c r="CD448" s="220" t="inlineStr">
        <is>
          <t/>
        </is>
      </c>
      <c r="CE448" s="221" t="inlineStr">
        <is>
          <t/>
        </is>
      </c>
      <c r="CF448" s="222" t="inlineStr">
        <is>
          <t>Completed</t>
        </is>
      </c>
      <c r="CG448" s="223" t="inlineStr">
        <is>
          <t>3,04%</t>
        </is>
      </c>
      <c r="CH448" s="224" t="inlineStr">
        <is>
          <t>96</t>
        </is>
      </c>
      <c r="CI448" s="225" t="inlineStr">
        <is>
          <t>-0,04%</t>
        </is>
      </c>
      <c r="CJ448" s="226" t="inlineStr">
        <is>
          <t>-1,34%</t>
        </is>
      </c>
      <c r="CK448" s="227" t="inlineStr">
        <is>
          <t>3,55%</t>
        </is>
      </c>
      <c r="CL448" s="228" t="inlineStr">
        <is>
          <t>94</t>
        </is>
      </c>
      <c r="CM448" s="229" t="inlineStr">
        <is>
          <t>2,52%</t>
        </is>
      </c>
      <c r="CN448" s="230" t="inlineStr">
        <is>
          <t>99</t>
        </is>
      </c>
      <c r="CO448" s="231" t="inlineStr">
        <is>
          <t>5,93%</t>
        </is>
      </c>
      <c r="CP448" s="232" t="inlineStr">
        <is>
          <t>97</t>
        </is>
      </c>
      <c r="CQ448" s="233" t="inlineStr">
        <is>
          <t>1,18%</t>
        </is>
      </c>
      <c r="CR448" s="234" t="inlineStr">
        <is>
          <t>89</t>
        </is>
      </c>
      <c r="CS448" s="235" t="inlineStr">
        <is>
          <t/>
        </is>
      </c>
      <c r="CT448" s="236" t="inlineStr">
        <is>
          <t/>
        </is>
      </c>
      <c r="CU448" s="237" t="inlineStr">
        <is>
          <t>2,52%</t>
        </is>
      </c>
      <c r="CV448" s="238" t="inlineStr">
        <is>
          <t>99</t>
        </is>
      </c>
      <c r="CW448" s="239" t="inlineStr">
        <is>
          <t>2,86x</t>
        </is>
      </c>
      <c r="CX448" s="240" t="inlineStr">
        <is>
          <t>70</t>
        </is>
      </c>
      <c r="CY448" s="241" t="inlineStr">
        <is>
          <t>0,03x</t>
        </is>
      </c>
      <c r="CZ448" s="242" t="inlineStr">
        <is>
          <t>1,09%</t>
        </is>
      </c>
      <c r="DA448" s="243" t="inlineStr">
        <is>
          <t>3,91x</t>
        </is>
      </c>
      <c r="DB448" s="244" t="inlineStr">
        <is>
          <t>77</t>
        </is>
      </c>
      <c r="DC448" s="245" t="inlineStr">
        <is>
          <t>1,80x</t>
        </is>
      </c>
      <c r="DD448" s="246" t="inlineStr">
        <is>
          <t>59</t>
        </is>
      </c>
      <c r="DE448" s="247" t="inlineStr">
        <is>
          <t>4,41x</t>
        </is>
      </c>
      <c r="DF448" s="248" t="inlineStr">
        <is>
          <t>75</t>
        </is>
      </c>
      <c r="DG448" s="249" t="inlineStr">
        <is>
          <t>3,42x</t>
        </is>
      </c>
      <c r="DH448" s="250" t="inlineStr">
        <is>
          <t>73</t>
        </is>
      </c>
      <c r="DI448" s="251" t="inlineStr">
        <is>
          <t/>
        </is>
      </c>
      <c r="DJ448" s="252" t="inlineStr">
        <is>
          <t/>
        </is>
      </c>
      <c r="DK448" s="253" t="inlineStr">
        <is>
          <t>1,80x</t>
        </is>
      </c>
      <c r="DL448" s="254" t="inlineStr">
        <is>
          <t>61</t>
        </is>
      </c>
      <c r="DM448" s="255" t="inlineStr">
        <is>
          <t>2.664</t>
        </is>
      </c>
      <c r="DN448" s="256" t="inlineStr">
        <is>
          <t>142</t>
        </is>
      </c>
      <c r="DO448" s="257" t="inlineStr">
        <is>
          <t>5,63%</t>
        </is>
      </c>
      <c r="DP448" s="258" t="inlineStr">
        <is>
          <t/>
        </is>
      </c>
      <c r="DQ448" s="259" t="inlineStr">
        <is>
          <t/>
        </is>
      </c>
      <c r="DR448" s="260" t="inlineStr">
        <is>
          <t/>
        </is>
      </c>
      <c r="DS448" s="261" t="inlineStr">
        <is>
          <t>124</t>
        </is>
      </c>
      <c r="DT448" s="262" t="inlineStr">
        <is>
          <t>-1</t>
        </is>
      </c>
      <c r="DU448" s="263" t="inlineStr">
        <is>
          <t>-0,80%</t>
        </is>
      </c>
      <c r="DV448" s="264" t="inlineStr">
        <is>
          <t>614</t>
        </is>
      </c>
      <c r="DW448" s="265" t="inlineStr">
        <is>
          <t>8</t>
        </is>
      </c>
      <c r="DX448" s="266" t="inlineStr">
        <is>
          <t>1,32%</t>
        </is>
      </c>
      <c r="DY448" s="267" t="inlineStr">
        <is>
          <t>PitchBook Research</t>
        </is>
      </c>
      <c r="DZ448" s="786">
        <f>HYPERLINK("https://my.pitchbook.com?c=113868-73", "View company online")</f>
      </c>
    </row>
    <row r="449">
      <c r="A449" s="9" t="inlineStr">
        <is>
          <t>117891-73</t>
        </is>
      </c>
      <c r="B449" s="10" t="inlineStr">
        <is>
          <t>The Vet</t>
        </is>
      </c>
      <c r="C449" s="11" t="inlineStr">
        <is>
          <t/>
        </is>
      </c>
      <c r="D449" s="12" t="inlineStr">
        <is>
          <t/>
        </is>
      </c>
      <c r="E449" s="13" t="inlineStr">
        <is>
          <t>117891-73</t>
        </is>
      </c>
      <c r="F449" s="14" t="inlineStr">
        <is>
          <t>Operator of a veterinary clinic designed to provide high quality veterinary services at low cost. The company's veterinary services provides pet healthcare plans, pet insurance for adult cats, dogs and rabbits, enabling pet owners to visit the clinics without any prior appointments.</t>
        </is>
      </c>
      <c r="G449" s="15" t="inlineStr">
        <is>
          <t>Healthcare</t>
        </is>
      </c>
      <c r="H449" s="16" t="inlineStr">
        <is>
          <t>Healthcare Services</t>
        </is>
      </c>
      <c r="I449" s="17" t="inlineStr">
        <is>
          <t>Clinics/Outpatient Services</t>
        </is>
      </c>
      <c r="J449" s="18" t="inlineStr">
        <is>
          <t>Clinics/Outpatient Services*</t>
        </is>
      </c>
      <c r="K449" s="19" t="inlineStr">
        <is>
          <t>Life Sciences</t>
        </is>
      </c>
      <c r="L449" s="20" t="inlineStr">
        <is>
          <t>Venture Capital-Backed</t>
        </is>
      </c>
      <c r="M449" s="21" t="n">
        <v>151.59</v>
      </c>
      <c r="N449" s="22" t="inlineStr">
        <is>
          <t>Generating Revenue</t>
        </is>
      </c>
      <c r="O449" s="23" t="inlineStr">
        <is>
          <t>Privately Held (backing)</t>
        </is>
      </c>
      <c r="P449" s="24" t="inlineStr">
        <is>
          <t>Venture Capital</t>
        </is>
      </c>
      <c r="Q449" s="25" t="inlineStr">
        <is>
          <t>www.thevet.co.uk</t>
        </is>
      </c>
      <c r="R449" s="26" t="n">
        <v>16.0</v>
      </c>
      <c r="S449" s="27" t="inlineStr">
        <is>
          <t/>
        </is>
      </c>
      <c r="T449" s="28" t="inlineStr">
        <is>
          <t/>
        </is>
      </c>
      <c r="U449" s="29" t="n">
        <v>2013.0</v>
      </c>
      <c r="V449" s="30" t="inlineStr">
        <is>
          <t/>
        </is>
      </c>
      <c r="W449" s="31" t="inlineStr">
        <is>
          <t/>
        </is>
      </c>
      <c r="X449" s="32" t="inlineStr">
        <is>
          <t/>
        </is>
      </c>
      <c r="Y449" s="33" t="inlineStr">
        <is>
          <t/>
        </is>
      </c>
      <c r="Z449" s="34" t="inlineStr">
        <is>
          <t/>
        </is>
      </c>
      <c r="AA449" s="35" t="inlineStr">
        <is>
          <t/>
        </is>
      </c>
      <c r="AB449" s="36" t="inlineStr">
        <is>
          <t/>
        </is>
      </c>
      <c r="AC449" s="37" t="inlineStr">
        <is>
          <t/>
        </is>
      </c>
      <c r="AD449" s="38" t="inlineStr">
        <is>
          <t/>
        </is>
      </c>
      <c r="AE449" s="39" t="inlineStr">
        <is>
          <t>59984-74P</t>
        </is>
      </c>
      <c r="AF449" s="40" t="inlineStr">
        <is>
          <t>Sally Bailey</t>
        </is>
      </c>
      <c r="AG449" s="41" t="inlineStr">
        <is>
          <t>Chairman</t>
        </is>
      </c>
      <c r="AH449" s="42" t="inlineStr">
        <is>
          <t>sally.bailey@thevet.co.uk</t>
        </is>
      </c>
      <c r="AI449" s="43" t="inlineStr">
        <is>
          <t>+44 (0)11 7935 9073</t>
        </is>
      </c>
      <c r="AJ449" s="44" t="inlineStr">
        <is>
          <t>Surrey, United Kingdom</t>
        </is>
      </c>
      <c r="AK449" s="45" t="inlineStr">
        <is>
          <t>Unit 1a, Kallo Building</t>
        </is>
      </c>
      <c r="AL449" s="46" t="inlineStr">
        <is>
          <t>Coopers Place, Combe Lane, Wormley</t>
        </is>
      </c>
      <c r="AM449" s="47" t="inlineStr">
        <is>
          <t>Surrey</t>
        </is>
      </c>
      <c r="AN449" s="48" t="inlineStr">
        <is>
          <t>England</t>
        </is>
      </c>
      <c r="AO449" s="49" t="inlineStr">
        <is>
          <t>GU8 5SZ</t>
        </is>
      </c>
      <c r="AP449" s="50" t="inlineStr">
        <is>
          <t>United Kingdom</t>
        </is>
      </c>
      <c r="AQ449" s="51" t="inlineStr">
        <is>
          <t>+44 (0)11 7935 9073</t>
        </is>
      </c>
      <c r="AR449" s="52" t="inlineStr">
        <is>
          <t/>
        </is>
      </c>
      <c r="AS449" s="53" t="inlineStr">
        <is>
          <t>marketing@thevet.co.uk</t>
        </is>
      </c>
      <c r="AT449" s="54" t="inlineStr">
        <is>
          <t>Europe</t>
        </is>
      </c>
      <c r="AU449" s="55" t="inlineStr">
        <is>
          <t>Western Europe</t>
        </is>
      </c>
      <c r="AV449" s="56" t="inlineStr">
        <is>
          <t>The company raised GBP 125 million of venture funding from Bridges Fund Management on February 6, 2014.</t>
        </is>
      </c>
      <c r="AW449" s="57" t="inlineStr">
        <is>
          <t>Bridges Fund Management</t>
        </is>
      </c>
      <c r="AX449" s="58" t="n">
        <v>1.0</v>
      </c>
      <c r="AY449" s="59" t="inlineStr">
        <is>
          <t/>
        </is>
      </c>
      <c r="AZ449" s="60" t="inlineStr">
        <is>
          <t/>
        </is>
      </c>
      <c r="BA449" s="61" t="inlineStr">
        <is>
          <t/>
        </is>
      </c>
      <c r="BB449" s="62" t="inlineStr">
        <is>
          <t>Bridges Fund Management (www.bridgesfundmanagement.com)</t>
        </is>
      </c>
      <c r="BC449" s="63" t="inlineStr">
        <is>
          <t/>
        </is>
      </c>
      <c r="BD449" s="64" t="inlineStr">
        <is>
          <t/>
        </is>
      </c>
      <c r="BE449" s="65" t="inlineStr">
        <is>
          <t/>
        </is>
      </c>
      <c r="BF449" s="66" t="inlineStr">
        <is>
          <t/>
        </is>
      </c>
      <c r="BG449" s="67" t="n">
        <v>41676.0</v>
      </c>
      <c r="BH449" s="68" t="n">
        <v>151.59</v>
      </c>
      <c r="BI449" s="69" t="inlineStr">
        <is>
          <t>Actual</t>
        </is>
      </c>
      <c r="BJ449" s="70" t="inlineStr">
        <is>
          <t/>
        </is>
      </c>
      <c r="BK449" s="71" t="inlineStr">
        <is>
          <t/>
        </is>
      </c>
      <c r="BL449" s="72" t="inlineStr">
        <is>
          <t>Early Stage VC</t>
        </is>
      </c>
      <c r="BM449" s="73" t="inlineStr">
        <is>
          <t/>
        </is>
      </c>
      <c r="BN449" s="74" t="inlineStr">
        <is>
          <t/>
        </is>
      </c>
      <c r="BO449" s="75" t="inlineStr">
        <is>
          <t>Venture Capital</t>
        </is>
      </c>
      <c r="BP449" s="76" t="inlineStr">
        <is>
          <t/>
        </is>
      </c>
      <c r="BQ449" s="77" t="inlineStr">
        <is>
          <t/>
        </is>
      </c>
      <c r="BR449" s="78" t="inlineStr">
        <is>
          <t/>
        </is>
      </c>
      <c r="BS449" s="79" t="inlineStr">
        <is>
          <t>Completed</t>
        </is>
      </c>
      <c r="BT449" s="80" t="n">
        <v>41676.0</v>
      </c>
      <c r="BU449" s="81" t="n">
        <v>151.59</v>
      </c>
      <c r="BV449" s="82" t="inlineStr">
        <is>
          <t>Actual</t>
        </is>
      </c>
      <c r="BW449" s="83" t="inlineStr">
        <is>
          <t/>
        </is>
      </c>
      <c r="BX449" s="84" t="inlineStr">
        <is>
          <t/>
        </is>
      </c>
      <c r="BY449" s="85" t="inlineStr">
        <is>
          <t>Early Stage VC</t>
        </is>
      </c>
      <c r="BZ449" s="86" t="inlineStr">
        <is>
          <t/>
        </is>
      </c>
      <c r="CA449" s="87" t="inlineStr">
        <is>
          <t/>
        </is>
      </c>
      <c r="CB449" s="88" t="inlineStr">
        <is>
          <t>Venture Capital</t>
        </is>
      </c>
      <c r="CC449" s="89" t="inlineStr">
        <is>
          <t/>
        </is>
      </c>
      <c r="CD449" s="90" t="inlineStr">
        <is>
          <t/>
        </is>
      </c>
      <c r="CE449" s="91" t="inlineStr">
        <is>
          <t/>
        </is>
      </c>
      <c r="CF449" s="92" t="inlineStr">
        <is>
          <t>Completed</t>
        </is>
      </c>
      <c r="CG449" s="93" t="inlineStr">
        <is>
          <t>0,16%</t>
        </is>
      </c>
      <c r="CH449" s="94" t="inlineStr">
        <is>
          <t>76</t>
        </is>
      </c>
      <c r="CI449" s="95" t="inlineStr">
        <is>
          <t>-0,22%</t>
        </is>
      </c>
      <c r="CJ449" s="96" t="inlineStr">
        <is>
          <t>-57,14%</t>
        </is>
      </c>
      <c r="CK449" s="97" t="inlineStr">
        <is>
          <t>-0,14%</t>
        </is>
      </c>
      <c r="CL449" s="98" t="inlineStr">
        <is>
          <t>16</t>
        </is>
      </c>
      <c r="CM449" s="99" t="inlineStr">
        <is>
          <t>0,47%</t>
        </is>
      </c>
      <c r="CN449" s="100" t="inlineStr">
        <is>
          <t>89</t>
        </is>
      </c>
      <c r="CO449" s="101" t="inlineStr">
        <is>
          <t>0,59%</t>
        </is>
      </c>
      <c r="CP449" s="102" t="inlineStr">
        <is>
          <t>82</t>
        </is>
      </c>
      <c r="CQ449" s="103" t="inlineStr">
        <is>
          <t>-0,86%</t>
        </is>
      </c>
      <c r="CR449" s="104" t="inlineStr">
        <is>
          <t>4</t>
        </is>
      </c>
      <c r="CS449" s="105" t="inlineStr">
        <is>
          <t>0,42%</t>
        </is>
      </c>
      <c r="CT449" s="106" t="inlineStr">
        <is>
          <t>85</t>
        </is>
      </c>
      <c r="CU449" s="107" t="inlineStr">
        <is>
          <t>0,52%</t>
        </is>
      </c>
      <c r="CV449" s="108" t="inlineStr">
        <is>
          <t>92</t>
        </is>
      </c>
      <c r="CW449" s="109" t="inlineStr">
        <is>
          <t>4,43x</t>
        </is>
      </c>
      <c r="CX449" s="110" t="inlineStr">
        <is>
          <t>77</t>
        </is>
      </c>
      <c r="CY449" s="111" t="inlineStr">
        <is>
          <t>0,08x</t>
        </is>
      </c>
      <c r="CZ449" s="112" t="inlineStr">
        <is>
          <t>1,83%</t>
        </is>
      </c>
      <c r="DA449" s="113" t="inlineStr">
        <is>
          <t>3,70x</t>
        </is>
      </c>
      <c r="DB449" s="114" t="inlineStr">
        <is>
          <t>76</t>
        </is>
      </c>
      <c r="DC449" s="115" t="inlineStr">
        <is>
          <t>5,16x</t>
        </is>
      </c>
      <c r="DD449" s="116" t="inlineStr">
        <is>
          <t>76</t>
        </is>
      </c>
      <c r="DE449" s="117" t="inlineStr">
        <is>
          <t>4,32x</t>
        </is>
      </c>
      <c r="DF449" s="118" t="inlineStr">
        <is>
          <t>75</t>
        </is>
      </c>
      <c r="DG449" s="119" t="inlineStr">
        <is>
          <t>3,08x</t>
        </is>
      </c>
      <c r="DH449" s="120" t="inlineStr">
        <is>
          <t>72</t>
        </is>
      </c>
      <c r="DI449" s="121" t="inlineStr">
        <is>
          <t>5,30x</t>
        </is>
      </c>
      <c r="DJ449" s="122" t="inlineStr">
        <is>
          <t>75</t>
        </is>
      </c>
      <c r="DK449" s="123" t="inlineStr">
        <is>
          <t>5,03x</t>
        </is>
      </c>
      <c r="DL449" s="124" t="inlineStr">
        <is>
          <t>78</t>
        </is>
      </c>
      <c r="DM449" s="125" t="inlineStr">
        <is>
          <t>2.627</t>
        </is>
      </c>
      <c r="DN449" s="126" t="inlineStr">
        <is>
          <t>84</t>
        </is>
      </c>
      <c r="DO449" s="127" t="inlineStr">
        <is>
          <t>3,30%</t>
        </is>
      </c>
      <c r="DP449" s="128" t="inlineStr">
        <is>
          <t>4.234</t>
        </is>
      </c>
      <c r="DQ449" s="129" t="inlineStr">
        <is>
          <t>9</t>
        </is>
      </c>
      <c r="DR449" s="130" t="inlineStr">
        <is>
          <t>0,21%</t>
        </is>
      </c>
      <c r="DS449" s="131" t="inlineStr">
        <is>
          <t>111</t>
        </is>
      </c>
      <c r="DT449" s="132" t="inlineStr">
        <is>
          <t>0</t>
        </is>
      </c>
      <c r="DU449" s="133" t="inlineStr">
        <is>
          <t>0,00%</t>
        </is>
      </c>
      <c r="DV449" s="134" t="inlineStr">
        <is>
          <t>1.720</t>
        </is>
      </c>
      <c r="DW449" s="135" t="inlineStr">
        <is>
          <t>4</t>
        </is>
      </c>
      <c r="DX449" s="136" t="inlineStr">
        <is>
          <t>0,23%</t>
        </is>
      </c>
      <c r="DY449" s="137" t="inlineStr">
        <is>
          <t>PitchBook Research</t>
        </is>
      </c>
      <c r="DZ449" s="785">
        <f>HYPERLINK("https://my.pitchbook.com?c=117891-73", "View company online")</f>
      </c>
    </row>
    <row r="450">
      <c r="A450" s="139" t="inlineStr">
        <is>
          <t>58378-69</t>
        </is>
      </c>
      <c r="B450" s="140" t="inlineStr">
        <is>
          <t>TheFamily</t>
        </is>
      </c>
      <c r="C450" s="141" t="inlineStr">
        <is>
          <t/>
        </is>
      </c>
      <c r="D450" s="142" t="inlineStr">
        <is>
          <t/>
        </is>
      </c>
      <c r="E450" s="143" t="inlineStr">
        <is>
          <t>58378-69</t>
        </is>
      </c>
      <c r="F450" s="144" t="inlineStr">
        <is>
          <t>Operator of a startup-accelerator company in France designed to provide mentorship to small entrepreneurs. The company provides startup businesses with mentoring services, workshops and physical workspace. Its function is to help incubate start-up enterprises as well as networking with other incubators, enabling them learn and bolster their startups through tough competition.</t>
        </is>
      </c>
      <c r="G450" s="145" t="inlineStr">
        <is>
          <t>Business Products and Services (B2B)</t>
        </is>
      </c>
      <c r="H450" s="146" t="inlineStr">
        <is>
          <t>Commercial Services</t>
        </is>
      </c>
      <c r="I450" s="147" t="inlineStr">
        <is>
          <t>Education and Training Services (B2B)</t>
        </is>
      </c>
      <c r="J450" s="148" t="inlineStr">
        <is>
          <t>Education and Training Services (B2B)*; Other Capital Markets/Institutions; Other Financial Services</t>
        </is>
      </c>
      <c r="K450" s="149" t="inlineStr">
        <is>
          <t/>
        </is>
      </c>
      <c r="L450" s="150" t="inlineStr">
        <is>
          <t>Venture Capital-Backed</t>
        </is>
      </c>
      <c r="M450" s="151" t="n">
        <v>10.1</v>
      </c>
      <c r="N450" s="152" t="inlineStr">
        <is>
          <t>Generating Revenue</t>
        </is>
      </c>
      <c r="O450" s="153" t="inlineStr">
        <is>
          <t>Privately Held (backing)</t>
        </is>
      </c>
      <c r="P450" s="154" t="inlineStr">
        <is>
          <t>Venture Capital</t>
        </is>
      </c>
      <c r="Q450" s="155" t="inlineStr">
        <is>
          <t>www.thefamily.co</t>
        </is>
      </c>
      <c r="R450" s="156" t="n">
        <v>55.0</v>
      </c>
      <c r="S450" s="157" t="inlineStr">
        <is>
          <t/>
        </is>
      </c>
      <c r="T450" s="158" t="inlineStr">
        <is>
          <t/>
        </is>
      </c>
      <c r="U450" s="159" t="n">
        <v>2013.0</v>
      </c>
      <c r="V450" s="160" t="inlineStr">
        <is>
          <t/>
        </is>
      </c>
      <c r="W450" s="161" t="inlineStr">
        <is>
          <t/>
        </is>
      </c>
      <c r="X450" s="162" t="inlineStr">
        <is>
          <t/>
        </is>
      </c>
      <c r="Y450" s="163" t="inlineStr">
        <is>
          <t/>
        </is>
      </c>
      <c r="Z450" s="164" t="inlineStr">
        <is>
          <t/>
        </is>
      </c>
      <c r="AA450" s="165" t="inlineStr">
        <is>
          <t/>
        </is>
      </c>
      <c r="AB450" s="166" t="inlineStr">
        <is>
          <t/>
        </is>
      </c>
      <c r="AC450" s="167" t="inlineStr">
        <is>
          <t/>
        </is>
      </c>
      <c r="AD450" s="168" t="inlineStr">
        <is>
          <t/>
        </is>
      </c>
      <c r="AE450" s="169" t="inlineStr">
        <is>
          <t>52665-04P</t>
        </is>
      </c>
      <c r="AF450" s="170" t="inlineStr">
        <is>
          <t>Alice Zagury</t>
        </is>
      </c>
      <c r="AG450" s="171" t="inlineStr">
        <is>
          <t>Co-Founder &amp; Chief Executive Officer</t>
        </is>
      </c>
      <c r="AH450" s="172" t="inlineStr">
        <is>
          <t>alice@thefamily.co</t>
        </is>
      </c>
      <c r="AI450" s="173" t="inlineStr">
        <is>
          <t/>
        </is>
      </c>
      <c r="AJ450" s="174" t="inlineStr">
        <is>
          <t>Paris, France</t>
        </is>
      </c>
      <c r="AK450" s="175" t="inlineStr">
        <is>
          <t>9 rue Villehardouin</t>
        </is>
      </c>
      <c r="AL450" s="176" t="inlineStr">
        <is>
          <t/>
        </is>
      </c>
      <c r="AM450" s="177" t="inlineStr">
        <is>
          <t>Paris</t>
        </is>
      </c>
      <c r="AN450" s="178" t="inlineStr">
        <is>
          <t/>
        </is>
      </c>
      <c r="AO450" s="179" t="inlineStr">
        <is>
          <t>75003</t>
        </is>
      </c>
      <c r="AP450" s="180" t="inlineStr">
        <is>
          <t>France</t>
        </is>
      </c>
      <c r="AQ450" s="181" t="inlineStr">
        <is>
          <t/>
        </is>
      </c>
      <c r="AR450" s="182" t="inlineStr">
        <is>
          <t/>
        </is>
      </c>
      <c r="AS450" s="183" t="inlineStr">
        <is>
          <t>welcome@thefamily.co</t>
        </is>
      </c>
      <c r="AT450" s="184" t="inlineStr">
        <is>
          <t>Europe</t>
        </is>
      </c>
      <c r="AU450" s="185" t="inlineStr">
        <is>
          <t>Western Europe</t>
        </is>
      </c>
      <c r="AV450" s="186" t="inlineStr">
        <is>
          <t>The company raised an undisclosed amount of venture funding from Breega Capital and other investors on April 26, 2017.</t>
        </is>
      </c>
      <c r="AW450" s="187" t="inlineStr">
        <is>
          <t>500 Startups, ACE &amp; Company, Backed VC, Breega Capital, Cyril Grislain, Fany Pechiodat, Francois Le Pichon, IdInvest Partners, Index Ventures (UK), Individual Investor, Jonathan Azoulay, Julien Foussard, Lars Christensen, OCP Finance, Orrick Herrington &amp; Sutcliffe, Pentalabbs, SGH Capital, Thibault Poutrel, Tyler Willis, White Star Capital</t>
        </is>
      </c>
      <c r="AX450" s="188" t="n">
        <v>20.0</v>
      </c>
      <c r="AY450" s="189" t="inlineStr">
        <is>
          <t/>
        </is>
      </c>
      <c r="AZ450" s="190" t="inlineStr">
        <is>
          <t/>
        </is>
      </c>
      <c r="BA450" s="191" t="inlineStr">
        <is>
          <t/>
        </is>
      </c>
      <c r="BB450" s="192" t="inlineStr">
        <is>
          <t>500 Startups (www.500.co), ACE &amp; Company (www.aceandcompany.com), Backed VC (www.backed.vc), Breega Capital (www.breega.com), IdInvest Partners (www.idinvest.com), Index Ventures (UK) (www.indexventures.com), OCP Finance (www.ocpfinance.com), Orrick Herrington &amp; Sutcliffe (www.orrick.com), Pentalabbs (pentalabbs.com), SGH Capital (sghcapital.com), White Star Capital (www.whitestarvc.com)</t>
        </is>
      </c>
      <c r="BC450" s="193" t="inlineStr">
        <is>
          <t/>
        </is>
      </c>
      <c r="BD450" s="194" t="inlineStr">
        <is>
          <t/>
        </is>
      </c>
      <c r="BE450" s="195" t="inlineStr">
        <is>
          <t>Orrick Herrington &amp; Sutcliffe (Legal Advisor)</t>
        </is>
      </c>
      <c r="BF450" s="196" t="inlineStr">
        <is>
          <t>Orrick Herrington &amp; Sutcliffe (Legal Advisor)</t>
        </is>
      </c>
      <c r="BG450" s="197" t="n">
        <v>41364.0</v>
      </c>
      <c r="BH450" s="198" t="n">
        <v>0.23</v>
      </c>
      <c r="BI450" s="199" t="inlineStr">
        <is>
          <t>Actual</t>
        </is>
      </c>
      <c r="BJ450" s="200" t="inlineStr">
        <is>
          <t/>
        </is>
      </c>
      <c r="BK450" s="201" t="inlineStr">
        <is>
          <t/>
        </is>
      </c>
      <c r="BL450" s="202" t="inlineStr">
        <is>
          <t>Seed Round</t>
        </is>
      </c>
      <c r="BM450" s="203" t="inlineStr">
        <is>
          <t>Seed</t>
        </is>
      </c>
      <c r="BN450" s="204" t="inlineStr">
        <is>
          <t/>
        </is>
      </c>
      <c r="BO450" s="205" t="inlineStr">
        <is>
          <t>Individual</t>
        </is>
      </c>
      <c r="BP450" s="206" t="inlineStr">
        <is>
          <t/>
        </is>
      </c>
      <c r="BQ450" s="207" t="inlineStr">
        <is>
          <t/>
        </is>
      </c>
      <c r="BR450" s="208" t="inlineStr">
        <is>
          <t/>
        </is>
      </c>
      <c r="BS450" s="209" t="inlineStr">
        <is>
          <t>Completed</t>
        </is>
      </c>
      <c r="BT450" s="210" t="n">
        <v>42851.0</v>
      </c>
      <c r="BU450" s="211" t="inlineStr">
        <is>
          <t/>
        </is>
      </c>
      <c r="BV450" s="212" t="inlineStr">
        <is>
          <t/>
        </is>
      </c>
      <c r="BW450" s="213" t="inlineStr">
        <is>
          <t/>
        </is>
      </c>
      <c r="BX450" s="214" t="inlineStr">
        <is>
          <t/>
        </is>
      </c>
      <c r="BY450" s="215" t="inlineStr">
        <is>
          <t>Early Stage VC</t>
        </is>
      </c>
      <c r="BZ450" s="216" t="inlineStr">
        <is>
          <t/>
        </is>
      </c>
      <c r="CA450" s="217" t="inlineStr">
        <is>
          <t/>
        </is>
      </c>
      <c r="CB450" s="218" t="inlineStr">
        <is>
          <t>Venture Capital</t>
        </is>
      </c>
      <c r="CC450" s="219" t="inlineStr">
        <is>
          <t/>
        </is>
      </c>
      <c r="CD450" s="220" t="inlineStr">
        <is>
          <t/>
        </is>
      </c>
      <c r="CE450" s="221" t="inlineStr">
        <is>
          <t/>
        </is>
      </c>
      <c r="CF450" s="222" t="inlineStr">
        <is>
          <t>Completed</t>
        </is>
      </c>
      <c r="CG450" s="223" t="inlineStr">
        <is>
          <t>-2,00%</t>
        </is>
      </c>
      <c r="CH450" s="224" t="inlineStr">
        <is>
          <t>3</t>
        </is>
      </c>
      <c r="CI450" s="225" t="inlineStr">
        <is>
          <t>-0,01%</t>
        </is>
      </c>
      <c r="CJ450" s="226" t="inlineStr">
        <is>
          <t>-0,30%</t>
        </is>
      </c>
      <c r="CK450" s="227" t="inlineStr">
        <is>
          <t>-4,32%</t>
        </is>
      </c>
      <c r="CL450" s="228" t="inlineStr">
        <is>
          <t>2</t>
        </is>
      </c>
      <c r="CM450" s="229" t="inlineStr">
        <is>
          <t>0,32%</t>
        </is>
      </c>
      <c r="CN450" s="230" t="inlineStr">
        <is>
          <t>82</t>
        </is>
      </c>
      <c r="CO450" s="231" t="inlineStr">
        <is>
          <t>-8,71%</t>
        </is>
      </c>
      <c r="CP450" s="232" t="inlineStr">
        <is>
          <t>2</t>
        </is>
      </c>
      <c r="CQ450" s="233" t="inlineStr">
        <is>
          <t>0,07%</t>
        </is>
      </c>
      <c r="CR450" s="234" t="inlineStr">
        <is>
          <t>82</t>
        </is>
      </c>
      <c r="CS450" s="235" t="inlineStr">
        <is>
          <t>0,39%</t>
        </is>
      </c>
      <c r="CT450" s="236" t="inlineStr">
        <is>
          <t>83</t>
        </is>
      </c>
      <c r="CU450" s="237" t="inlineStr">
        <is>
          <t>0,25%</t>
        </is>
      </c>
      <c r="CV450" s="238" t="inlineStr">
        <is>
          <t>82</t>
        </is>
      </c>
      <c r="CW450" s="239" t="inlineStr">
        <is>
          <t>53,69x</t>
        </is>
      </c>
      <c r="CX450" s="240" t="inlineStr">
        <is>
          <t>96</t>
        </is>
      </c>
      <c r="CY450" s="241" t="inlineStr">
        <is>
          <t>1,05x</t>
        </is>
      </c>
      <c r="CZ450" s="242" t="inlineStr">
        <is>
          <t>2,00%</t>
        </is>
      </c>
      <c r="DA450" s="243" t="inlineStr">
        <is>
          <t>23,27x</t>
        </is>
      </c>
      <c r="DB450" s="244" t="inlineStr">
        <is>
          <t>93</t>
        </is>
      </c>
      <c r="DC450" s="245" t="inlineStr">
        <is>
          <t>84,12x</t>
        </is>
      </c>
      <c r="DD450" s="246" t="inlineStr">
        <is>
          <t>96</t>
        </is>
      </c>
      <c r="DE450" s="247" t="inlineStr">
        <is>
          <t>21,45x</t>
        </is>
      </c>
      <c r="DF450" s="248" t="inlineStr">
        <is>
          <t>89</t>
        </is>
      </c>
      <c r="DG450" s="249" t="inlineStr">
        <is>
          <t>25,08x</t>
        </is>
      </c>
      <c r="DH450" s="250" t="inlineStr">
        <is>
          <t>94</t>
        </is>
      </c>
      <c r="DI450" s="251" t="inlineStr">
        <is>
          <t>51,53x</t>
        </is>
      </c>
      <c r="DJ450" s="252" t="inlineStr">
        <is>
          <t>93</t>
        </is>
      </c>
      <c r="DK450" s="253" t="inlineStr">
        <is>
          <t>116,70x</t>
        </is>
      </c>
      <c r="DL450" s="254" t="inlineStr">
        <is>
          <t>98</t>
        </is>
      </c>
      <c r="DM450" s="255" t="inlineStr">
        <is>
          <t>14.060</t>
        </is>
      </c>
      <c r="DN450" s="256" t="inlineStr">
        <is>
          <t>-2.607</t>
        </is>
      </c>
      <c r="DO450" s="257" t="inlineStr">
        <is>
          <t>-15,64%</t>
        </is>
      </c>
      <c r="DP450" s="258" t="inlineStr">
        <is>
          <t>41.145</t>
        </is>
      </c>
      <c r="DQ450" s="259" t="inlineStr">
        <is>
          <t>91</t>
        </is>
      </c>
      <c r="DR450" s="260" t="inlineStr">
        <is>
          <t>0,22%</t>
        </is>
      </c>
      <c r="DS450" s="261" t="inlineStr">
        <is>
          <t>905</t>
        </is>
      </c>
      <c r="DT450" s="262" t="inlineStr">
        <is>
          <t>-4</t>
        </is>
      </c>
      <c r="DU450" s="263" t="inlineStr">
        <is>
          <t>-0,44%</t>
        </is>
      </c>
      <c r="DV450" s="264" t="inlineStr">
        <is>
          <t>40.000</t>
        </is>
      </c>
      <c r="DW450" s="265" t="inlineStr">
        <is>
          <t>66</t>
        </is>
      </c>
      <c r="DX450" s="266" t="inlineStr">
        <is>
          <t>0,17%</t>
        </is>
      </c>
      <c r="DY450" s="267" t="inlineStr">
        <is>
          <t>PitchBook Research</t>
        </is>
      </c>
      <c r="DZ450" s="786">
        <f>HYPERLINK("https://my.pitchbook.com?c=58378-69", "View company online")</f>
      </c>
    </row>
    <row r="451">
      <c r="A451" s="9" t="inlineStr">
        <is>
          <t>124983-10</t>
        </is>
      </c>
      <c r="B451" s="10" t="inlineStr">
        <is>
          <t>Therachon</t>
        </is>
      </c>
      <c r="C451" s="11" t="inlineStr">
        <is>
          <t/>
        </is>
      </c>
      <c r="D451" s="12" t="inlineStr">
        <is>
          <t>Therachon AG</t>
        </is>
      </c>
      <c r="E451" s="13" t="inlineStr">
        <is>
          <t>124983-10</t>
        </is>
      </c>
      <c r="F451" s="14" t="inlineStr">
        <is>
          <t>Operator of a biotechnology firm intended to develop medicines for rare, genetic diseases that currently have no available treatments. The company's biotechnology firm has developed lead pipeline candidate, TA-46, a novel protein therapy in development for achondroplasia, the common form of short-limbed dwarfism, enabling patients and caregivers to avail medical services that can transform the lives of people with unmet medical needs.</t>
        </is>
      </c>
      <c r="G451" s="15" t="inlineStr">
        <is>
          <t>Healthcare</t>
        </is>
      </c>
      <c r="H451" s="16" t="inlineStr">
        <is>
          <t>Pharmaceuticals and Biotechnology</t>
        </is>
      </c>
      <c r="I451" s="17" t="inlineStr">
        <is>
          <t>Biotechnology</t>
        </is>
      </c>
      <c r="J451" s="18" t="inlineStr">
        <is>
          <t>Biotechnology*; Drug Discovery; Pharmaceuticals</t>
        </is>
      </c>
      <c r="K451" s="19" t="inlineStr">
        <is>
          <t>Life Sciences</t>
        </is>
      </c>
      <c r="L451" s="20" t="inlineStr">
        <is>
          <t>Venture Capital-Backed</t>
        </is>
      </c>
      <c r="M451" s="21" t="n">
        <v>37.67</v>
      </c>
      <c r="N451" s="22" t="inlineStr">
        <is>
          <t>Generating Revenue</t>
        </is>
      </c>
      <c r="O451" s="23" t="inlineStr">
        <is>
          <t>Privately Held (backing)</t>
        </is>
      </c>
      <c r="P451" s="24" t="inlineStr">
        <is>
          <t>Venture Capital</t>
        </is>
      </c>
      <c r="Q451" s="25" t="inlineStr">
        <is>
          <t>www.therachon.com</t>
        </is>
      </c>
      <c r="R451" s="26" t="inlineStr">
        <is>
          <t/>
        </is>
      </c>
      <c r="S451" s="27" t="inlineStr">
        <is>
          <t/>
        </is>
      </c>
      <c r="T451" s="28" t="inlineStr">
        <is>
          <t/>
        </is>
      </c>
      <c r="U451" s="29" t="n">
        <v>2014.0</v>
      </c>
      <c r="V451" s="30" t="inlineStr">
        <is>
          <t/>
        </is>
      </c>
      <c r="W451" s="31" t="inlineStr">
        <is>
          <t/>
        </is>
      </c>
      <c r="X451" s="32" t="inlineStr">
        <is>
          <t/>
        </is>
      </c>
      <c r="Y451" s="33" t="inlineStr">
        <is>
          <t/>
        </is>
      </c>
      <c r="Z451" s="34" t="inlineStr">
        <is>
          <t/>
        </is>
      </c>
      <c r="AA451" s="35" t="n">
        <v>-0.54385</v>
      </c>
      <c r="AB451" s="36" t="inlineStr">
        <is>
          <t/>
        </is>
      </c>
      <c r="AC451" s="37" t="inlineStr">
        <is>
          <t/>
        </is>
      </c>
      <c r="AD451" s="38" t="inlineStr">
        <is>
          <t>FY 2014</t>
        </is>
      </c>
      <c r="AE451" s="39" t="inlineStr">
        <is>
          <t>115501-51P</t>
        </is>
      </c>
      <c r="AF451" s="40" t="inlineStr">
        <is>
          <t>Elvire Gouze</t>
        </is>
      </c>
      <c r="AG451" s="41" t="inlineStr">
        <is>
          <t>Founder &amp; Acting Head of Pharmacology</t>
        </is>
      </c>
      <c r="AH451" s="42" t="inlineStr">
        <is>
          <t>elvire.gouze@therachon.com</t>
        </is>
      </c>
      <c r="AI451" s="43" t="inlineStr">
        <is>
          <t>+33 (0)4 89 06 42 47</t>
        </is>
      </c>
      <c r="AJ451" s="44" t="inlineStr">
        <is>
          <t>Basel, Switzerland</t>
        </is>
      </c>
      <c r="AK451" s="45" t="inlineStr">
        <is>
          <t>Aeschenvorstadt 36</t>
        </is>
      </c>
      <c r="AL451" s="46" t="inlineStr">
        <is>
          <t/>
        </is>
      </c>
      <c r="AM451" s="47" t="inlineStr">
        <is>
          <t>Basel</t>
        </is>
      </c>
      <c r="AN451" s="48" t="inlineStr">
        <is>
          <t/>
        </is>
      </c>
      <c r="AO451" s="49" t="inlineStr">
        <is>
          <t>4051</t>
        </is>
      </c>
      <c r="AP451" s="50" t="inlineStr">
        <is>
          <t>Switzerland</t>
        </is>
      </c>
      <c r="AQ451" s="51" t="inlineStr">
        <is>
          <t/>
        </is>
      </c>
      <c r="AR451" s="52" t="inlineStr">
        <is>
          <t/>
        </is>
      </c>
      <c r="AS451" s="53" t="inlineStr">
        <is>
          <t>info@therachon.com</t>
        </is>
      </c>
      <c r="AT451" s="54" t="inlineStr">
        <is>
          <t>Europe</t>
        </is>
      </c>
      <c r="AU451" s="55" t="inlineStr">
        <is>
          <t>Western Europe</t>
        </is>
      </c>
      <c r="AV451" s="56" t="inlineStr">
        <is>
          <t>The company raised $40 million of Series A venture funding in a deal led by OrbiMed on January 5, 2017. New Enterprise Associates, Inserm Transfert Initiative, Bpifrance and Versant Venture Management also participated in the round. The company will use the funding to advance its lead program, a soluble form of human fibroblast growth factor receptor 3, through clinical proof of concept and will be used to advance the company's emerging portfolio.</t>
        </is>
      </c>
      <c r="AW451" s="57" t="inlineStr">
        <is>
          <t>Bpifrance, Inserm Transfert Initiative, OrbiMed, Versant Venture Management</t>
        </is>
      </c>
      <c r="AX451" s="58" t="n">
        <v>4.0</v>
      </c>
      <c r="AY451" s="59" t="inlineStr">
        <is>
          <t/>
        </is>
      </c>
      <c r="AZ451" s="60" t="inlineStr">
        <is>
          <t>New Enterprise Associates</t>
        </is>
      </c>
      <c r="BA451" s="61" t="inlineStr">
        <is>
          <t/>
        </is>
      </c>
      <c r="BB451" s="62" t="inlineStr">
        <is>
          <t>Bpifrance (www.bpifrance.fr), Inserm Transfert Initiative (www.inserm-transfert-initiative.com), OrbiMed (www.orbimed.com), Versant Venture Management (www.versantventures.com)</t>
        </is>
      </c>
      <c r="BC451" s="63" t="inlineStr">
        <is>
          <t>New Enterprise Associates (www.nea.com)</t>
        </is>
      </c>
      <c r="BD451" s="64" t="inlineStr">
        <is>
          <t/>
        </is>
      </c>
      <c r="BE451" s="65" t="inlineStr">
        <is>
          <t/>
        </is>
      </c>
      <c r="BF451" s="66" t="inlineStr">
        <is>
          <t/>
        </is>
      </c>
      <c r="BG451" s="67" t="n">
        <v>41640.0</v>
      </c>
      <c r="BH451" s="68" t="inlineStr">
        <is>
          <t/>
        </is>
      </c>
      <c r="BI451" s="69" t="inlineStr">
        <is>
          <t/>
        </is>
      </c>
      <c r="BJ451" s="70" t="inlineStr">
        <is>
          <t/>
        </is>
      </c>
      <c r="BK451" s="71" t="inlineStr">
        <is>
          <t/>
        </is>
      </c>
      <c r="BL451" s="72" t="inlineStr">
        <is>
          <t>Seed Round</t>
        </is>
      </c>
      <c r="BM451" s="73" t="inlineStr">
        <is>
          <t>Seed</t>
        </is>
      </c>
      <c r="BN451" s="74" t="inlineStr">
        <is>
          <t/>
        </is>
      </c>
      <c r="BO451" s="75" t="inlineStr">
        <is>
          <t>Venture Capital</t>
        </is>
      </c>
      <c r="BP451" s="76" t="inlineStr">
        <is>
          <t/>
        </is>
      </c>
      <c r="BQ451" s="77" t="inlineStr">
        <is>
          <t/>
        </is>
      </c>
      <c r="BR451" s="78" t="inlineStr">
        <is>
          <t/>
        </is>
      </c>
      <c r="BS451" s="79" t="inlineStr">
        <is>
          <t>Completed</t>
        </is>
      </c>
      <c r="BT451" s="80" t="n">
        <v>42740.0</v>
      </c>
      <c r="BU451" s="81" t="n">
        <v>37.67</v>
      </c>
      <c r="BV451" s="82" t="inlineStr">
        <is>
          <t>Actual</t>
        </is>
      </c>
      <c r="BW451" s="83" t="inlineStr">
        <is>
          <t/>
        </is>
      </c>
      <c r="BX451" s="84" t="inlineStr">
        <is>
          <t/>
        </is>
      </c>
      <c r="BY451" s="85" t="inlineStr">
        <is>
          <t>Early Stage VC</t>
        </is>
      </c>
      <c r="BZ451" s="86" t="inlineStr">
        <is>
          <t>Series A</t>
        </is>
      </c>
      <c r="CA451" s="87" t="inlineStr">
        <is>
          <t/>
        </is>
      </c>
      <c r="CB451" s="88" t="inlineStr">
        <is>
          <t>Venture Capital</t>
        </is>
      </c>
      <c r="CC451" s="89" t="inlineStr">
        <is>
          <t/>
        </is>
      </c>
      <c r="CD451" s="90" t="inlineStr">
        <is>
          <t/>
        </is>
      </c>
      <c r="CE451" s="91" t="inlineStr">
        <is>
          <t/>
        </is>
      </c>
      <c r="CF451" s="92" t="inlineStr">
        <is>
          <t>Completed</t>
        </is>
      </c>
      <c r="CG451" s="93" t="inlineStr">
        <is>
          <t>0,00%</t>
        </is>
      </c>
      <c r="CH451" s="94" t="inlineStr">
        <is>
          <t>23</t>
        </is>
      </c>
      <c r="CI451" s="95" t="inlineStr">
        <is>
          <t>0,00%</t>
        </is>
      </c>
      <c r="CJ451" s="96" t="inlineStr">
        <is>
          <t>0,00%</t>
        </is>
      </c>
      <c r="CK451" s="97" t="inlineStr">
        <is>
          <t>0,00%</t>
        </is>
      </c>
      <c r="CL451" s="98" t="inlineStr">
        <is>
          <t>18</t>
        </is>
      </c>
      <c r="CM451" s="99" t="inlineStr">
        <is>
          <t>0,00%</t>
        </is>
      </c>
      <c r="CN451" s="100" t="inlineStr">
        <is>
          <t>19</t>
        </is>
      </c>
      <c r="CO451" s="101" t="inlineStr">
        <is>
          <t>0,00%</t>
        </is>
      </c>
      <c r="CP451" s="102" t="inlineStr">
        <is>
          <t>26</t>
        </is>
      </c>
      <c r="CQ451" s="103" t="inlineStr">
        <is>
          <t>0,00%</t>
        </is>
      </c>
      <c r="CR451" s="104" t="inlineStr">
        <is>
          <t>13</t>
        </is>
      </c>
      <c r="CS451" s="105" t="inlineStr">
        <is>
          <t/>
        </is>
      </c>
      <c r="CT451" s="106" t="inlineStr">
        <is>
          <t/>
        </is>
      </c>
      <c r="CU451" s="107" t="inlineStr">
        <is>
          <t>0,00%</t>
        </is>
      </c>
      <c r="CV451" s="108" t="inlineStr">
        <is>
          <t>20</t>
        </is>
      </c>
      <c r="CW451" s="109" t="inlineStr">
        <is>
          <t>0,29x</t>
        </is>
      </c>
      <c r="CX451" s="110" t="inlineStr">
        <is>
          <t>23</t>
        </is>
      </c>
      <c r="CY451" s="111" t="inlineStr">
        <is>
          <t>-0,12x</t>
        </is>
      </c>
      <c r="CZ451" s="112" t="inlineStr">
        <is>
          <t>-29,18%</t>
        </is>
      </c>
      <c r="DA451" s="113" t="inlineStr">
        <is>
          <t>0,44x</t>
        </is>
      </c>
      <c r="DB451" s="114" t="inlineStr">
        <is>
          <t>33</t>
        </is>
      </c>
      <c r="DC451" s="115" t="inlineStr">
        <is>
          <t>0,13x</t>
        </is>
      </c>
      <c r="DD451" s="116" t="inlineStr">
        <is>
          <t>17</t>
        </is>
      </c>
      <c r="DE451" s="117" t="inlineStr">
        <is>
          <t>0,27x</t>
        </is>
      </c>
      <c r="DF451" s="118" t="inlineStr">
        <is>
          <t>24</t>
        </is>
      </c>
      <c r="DG451" s="119" t="inlineStr">
        <is>
          <t>0,61x</t>
        </is>
      </c>
      <c r="DH451" s="120" t="inlineStr">
        <is>
          <t>40</t>
        </is>
      </c>
      <c r="DI451" s="121" t="inlineStr">
        <is>
          <t/>
        </is>
      </c>
      <c r="DJ451" s="122" t="inlineStr">
        <is>
          <t/>
        </is>
      </c>
      <c r="DK451" s="123" t="inlineStr">
        <is>
          <t>0,13x</t>
        </is>
      </c>
      <c r="DL451" s="124" t="inlineStr">
        <is>
          <t>20</t>
        </is>
      </c>
      <c r="DM451" s="125" t="inlineStr">
        <is>
          <t>157</t>
        </is>
      </c>
      <c r="DN451" s="126" t="inlineStr">
        <is>
          <t>30</t>
        </is>
      </c>
      <c r="DO451" s="127" t="inlineStr">
        <is>
          <t>23,62%</t>
        </is>
      </c>
      <c r="DP451" s="128" t="inlineStr">
        <is>
          <t/>
        </is>
      </c>
      <c r="DQ451" s="129" t="inlineStr">
        <is>
          <t/>
        </is>
      </c>
      <c r="DR451" s="130" t="inlineStr">
        <is>
          <t/>
        </is>
      </c>
      <c r="DS451" s="131" t="inlineStr">
        <is>
          <t>21</t>
        </is>
      </c>
      <c r="DT451" s="132" t="inlineStr">
        <is>
          <t>1</t>
        </is>
      </c>
      <c r="DU451" s="133" t="inlineStr">
        <is>
          <t>5,00%</t>
        </is>
      </c>
      <c r="DV451" s="134" t="inlineStr">
        <is>
          <t>45</t>
        </is>
      </c>
      <c r="DW451" s="135" t="inlineStr">
        <is>
          <t>2</t>
        </is>
      </c>
      <c r="DX451" s="136" t="inlineStr">
        <is>
          <t>4,65%</t>
        </is>
      </c>
      <c r="DY451" s="137" t="inlineStr">
        <is>
          <t>PitchBook Research</t>
        </is>
      </c>
      <c r="DZ451" s="785">
        <f>HYPERLINK("https://my.pitchbook.com?c=124983-10", "View company online")</f>
      </c>
    </row>
    <row r="452">
      <c r="A452" s="139" t="inlineStr">
        <is>
          <t>107489-98</t>
        </is>
      </c>
      <c r="B452" s="140" t="inlineStr">
        <is>
          <t>Thermondo</t>
        </is>
      </c>
      <c r="C452" s="141" t="inlineStr">
        <is>
          <t>Future Watt</t>
        </is>
      </c>
      <c r="D452" s="142" t="inlineStr">
        <is>
          <t/>
        </is>
      </c>
      <c r="E452" s="143" t="inlineStr">
        <is>
          <t>107489-98</t>
        </is>
      </c>
      <c r="F452" s="144" t="inlineStr">
        <is>
          <t>Provider of an online-driven heating installer designed to reduce energy costs. The company's heating installer digitizes the process of the HVAC exchange from lead generation, sales, installation to after-sales, enabling consumers to compare and buy home heating systems.</t>
        </is>
      </c>
      <c r="G452" s="145" t="inlineStr">
        <is>
          <t>Business Products and Services (B2B)</t>
        </is>
      </c>
      <c r="H452" s="146" t="inlineStr">
        <is>
          <t>Other Business Products and Services</t>
        </is>
      </c>
      <c r="I452" s="147" t="inlineStr">
        <is>
          <t>Other Business Products and Services</t>
        </is>
      </c>
      <c r="J452" s="148" t="inlineStr">
        <is>
          <t>Other Business Products and Services*; Other Energy Services; Other Software</t>
        </is>
      </c>
      <c r="K452" s="149" t="inlineStr">
        <is>
          <t>CleanTech</t>
        </is>
      </c>
      <c r="L452" s="150" t="inlineStr">
        <is>
          <t>Venture Capital-Backed</t>
        </is>
      </c>
      <c r="M452" s="151" t="n">
        <v>50.5</v>
      </c>
      <c r="N452" s="152" t="inlineStr">
        <is>
          <t>Generating Revenue/Not Profitable</t>
        </is>
      </c>
      <c r="O452" s="153" t="inlineStr">
        <is>
          <t>Privately Held (backing)</t>
        </is>
      </c>
      <c r="P452" s="154" t="inlineStr">
        <is>
          <t>Venture Capital</t>
        </is>
      </c>
      <c r="Q452" s="155" t="inlineStr">
        <is>
          <t>www.thermondo.de</t>
        </is>
      </c>
      <c r="R452" s="156" t="n">
        <v>310.0</v>
      </c>
      <c r="S452" s="157" t="inlineStr">
        <is>
          <t/>
        </is>
      </c>
      <c r="T452" s="158" t="inlineStr">
        <is>
          <t/>
        </is>
      </c>
      <c r="U452" s="159" t="n">
        <v>2012.0</v>
      </c>
      <c r="V452" s="160" t="inlineStr">
        <is>
          <t/>
        </is>
      </c>
      <c r="W452" s="161" t="inlineStr">
        <is>
          <t/>
        </is>
      </c>
      <c r="X452" s="162" t="inlineStr">
        <is>
          <t/>
        </is>
      </c>
      <c r="Y452" s="163" t="inlineStr">
        <is>
          <t/>
        </is>
      </c>
      <c r="Z452" s="164" t="inlineStr">
        <is>
          <t/>
        </is>
      </c>
      <c r="AA452" s="165" t="n">
        <v>-5.87987</v>
      </c>
      <c r="AB452" s="166" t="inlineStr">
        <is>
          <t/>
        </is>
      </c>
      <c r="AC452" s="167" t="inlineStr">
        <is>
          <t/>
        </is>
      </c>
      <c r="AD452" s="168" t="inlineStr">
        <is>
          <t>FY 2015</t>
        </is>
      </c>
      <c r="AE452" s="169" t="inlineStr">
        <is>
          <t>91692-73P</t>
        </is>
      </c>
      <c r="AF452" s="170" t="inlineStr">
        <is>
          <t>Philipp Pausder</t>
        </is>
      </c>
      <c r="AG452" s="171" t="inlineStr">
        <is>
          <t>Co-Founder, Managing Director &amp; Board Member</t>
        </is>
      </c>
      <c r="AH452" s="172" t="inlineStr">
        <is>
          <t>philipp.pausder@thermondo.de</t>
        </is>
      </c>
      <c r="AI452" s="173" t="inlineStr">
        <is>
          <t>+49 (0)80 0420 0300</t>
        </is>
      </c>
      <c r="AJ452" s="174" t="inlineStr">
        <is>
          <t>Berlin, Germany</t>
        </is>
      </c>
      <c r="AK452" s="175" t="inlineStr">
        <is>
          <t>Brunnenstraße 153</t>
        </is>
      </c>
      <c r="AL452" s="176" t="inlineStr">
        <is>
          <t/>
        </is>
      </c>
      <c r="AM452" s="177" t="inlineStr">
        <is>
          <t>Berlin</t>
        </is>
      </c>
      <c r="AN452" s="178" t="inlineStr">
        <is>
          <t/>
        </is>
      </c>
      <c r="AO452" s="179" t="inlineStr">
        <is>
          <t>10115</t>
        </is>
      </c>
      <c r="AP452" s="180" t="inlineStr">
        <is>
          <t>Germany</t>
        </is>
      </c>
      <c r="AQ452" s="181" t="inlineStr">
        <is>
          <t>+49 (0)80 0420 0300</t>
        </is>
      </c>
      <c r="AR452" s="182" t="inlineStr">
        <is>
          <t/>
        </is>
      </c>
      <c r="AS452" s="183" t="inlineStr">
        <is>
          <t>kontakt@thermondo.de</t>
        </is>
      </c>
      <c r="AT452" s="184" t="inlineStr">
        <is>
          <t>Europe</t>
        </is>
      </c>
      <c r="AU452" s="185" t="inlineStr">
        <is>
          <t>Western Europe</t>
        </is>
      </c>
      <c r="AV452" s="186" t="inlineStr">
        <is>
          <t>The company raised EUR 21 million of venture funding from Vorwerk Ventures, IBB Beteiligungsgesellschaft and Holtzbrinck Ventures on July 6, 2017. Eneco Smart Energy also participated in the round. The company, which has raised more than EUR 30 million in total funding to date, intends to use the funds for further growth and expansion of its technology platform. Previously, the company raised EUR 23.5 million of Series C venture funding from Global Founders Capital, E.ON Strategic Co-Investments and Holtzbrinck Ventures on May 30, 2016. IBB Beteiligungsgesellschaft and Picus Capital also participated.</t>
        </is>
      </c>
      <c r="AW452" s="187" t="inlineStr">
        <is>
          <t>Climate-KIC, E.ON Strategic Co-Investments, Ecosummit, Eneco, Global Founders Capital, GreyCorp, Holtzbrinck Ventures, IBB Beteiligungsgesellschaft, Leverate Media, Picus Capital, Rocket Internet, Vorwerk Ventures</t>
        </is>
      </c>
      <c r="AX452" s="188" t="n">
        <v>12.0</v>
      </c>
      <c r="AY452" s="189" t="inlineStr">
        <is>
          <t/>
        </is>
      </c>
      <c r="AZ452" s="190" t="inlineStr">
        <is>
          <t/>
        </is>
      </c>
      <c r="BA452" s="191" t="inlineStr">
        <is>
          <t/>
        </is>
      </c>
      <c r="BB452" s="192" t="inlineStr">
        <is>
          <t>Climate-KIC (www.climate-kic.org), Ecosummit (ecosummit.net), Eneco (www.eneco.com), Global Founders Capital (www.globalfounders.vc), Holtzbrinck Ventures (www.holtzbrinck-ventures.com), IBB Beteiligungsgesellschaft (www.ibb-bet.de), Leverate Media (www.leverate.de), Picus Capital (www.picus-cap.com), Rocket Internet (www.rocket-internet.com)</t>
        </is>
      </c>
      <c r="BC452" s="193" t="inlineStr">
        <is>
          <t/>
        </is>
      </c>
      <c r="BD452" s="194" t="inlineStr">
        <is>
          <t/>
        </is>
      </c>
      <c r="BE452" s="195" t="inlineStr">
        <is>
          <t/>
        </is>
      </c>
      <c r="BF452" s="196" t="inlineStr">
        <is>
          <t/>
        </is>
      </c>
      <c r="BG452" s="197" t="n">
        <v>41472.0</v>
      </c>
      <c r="BH452" s="198" t="inlineStr">
        <is>
          <t/>
        </is>
      </c>
      <c r="BI452" s="199" t="inlineStr">
        <is>
          <t/>
        </is>
      </c>
      <c r="BJ452" s="200" t="inlineStr">
        <is>
          <t/>
        </is>
      </c>
      <c r="BK452" s="201" t="inlineStr">
        <is>
          <t/>
        </is>
      </c>
      <c r="BL452" s="202" t="inlineStr">
        <is>
          <t>Accelerator/Incubator</t>
        </is>
      </c>
      <c r="BM452" s="203" t="inlineStr">
        <is>
          <t/>
        </is>
      </c>
      <c r="BN452" s="204" t="inlineStr">
        <is>
          <t/>
        </is>
      </c>
      <c r="BO452" s="205" t="inlineStr">
        <is>
          <t>Other</t>
        </is>
      </c>
      <c r="BP452" s="206" t="inlineStr">
        <is>
          <t/>
        </is>
      </c>
      <c r="BQ452" s="207" t="inlineStr">
        <is>
          <t/>
        </is>
      </c>
      <c r="BR452" s="208" t="inlineStr">
        <is>
          <t/>
        </is>
      </c>
      <c r="BS452" s="209" t="inlineStr">
        <is>
          <t>Completed</t>
        </is>
      </c>
      <c r="BT452" s="210" t="n">
        <v>42922.0</v>
      </c>
      <c r="BU452" s="211" t="n">
        <v>21.0</v>
      </c>
      <c r="BV452" s="212" t="inlineStr">
        <is>
          <t>Actual</t>
        </is>
      </c>
      <c r="BW452" s="213" t="inlineStr">
        <is>
          <t/>
        </is>
      </c>
      <c r="BX452" s="214" t="inlineStr">
        <is>
          <t/>
        </is>
      </c>
      <c r="BY452" s="215" t="inlineStr">
        <is>
          <t>Later Stage VC</t>
        </is>
      </c>
      <c r="BZ452" s="216" t="inlineStr">
        <is>
          <t>Series D</t>
        </is>
      </c>
      <c r="CA452" s="217" t="inlineStr">
        <is>
          <t/>
        </is>
      </c>
      <c r="CB452" s="218" t="inlineStr">
        <is>
          <t>Venture Capital</t>
        </is>
      </c>
      <c r="CC452" s="219" t="inlineStr">
        <is>
          <t/>
        </is>
      </c>
      <c r="CD452" s="220" t="inlineStr">
        <is>
          <t/>
        </is>
      </c>
      <c r="CE452" s="221" t="inlineStr">
        <is>
          <t/>
        </is>
      </c>
      <c r="CF452" s="222" t="inlineStr">
        <is>
          <t>Completed</t>
        </is>
      </c>
      <c r="CG452" s="223" t="inlineStr">
        <is>
          <t>0,02%</t>
        </is>
      </c>
      <c r="CH452" s="224" t="inlineStr">
        <is>
          <t>66</t>
        </is>
      </c>
      <c r="CI452" s="225" t="inlineStr">
        <is>
          <t>0,01%</t>
        </is>
      </c>
      <c r="CJ452" s="226" t="inlineStr">
        <is>
          <t>112,26%</t>
        </is>
      </c>
      <c r="CK452" s="227" t="inlineStr">
        <is>
          <t>-0,05%</t>
        </is>
      </c>
      <c r="CL452" s="228" t="inlineStr">
        <is>
          <t>17</t>
        </is>
      </c>
      <c r="CM452" s="229" t="inlineStr">
        <is>
          <t>0,09%</t>
        </is>
      </c>
      <c r="CN452" s="230" t="inlineStr">
        <is>
          <t>59</t>
        </is>
      </c>
      <c r="CO452" s="231" t="inlineStr">
        <is>
          <t>0,49%</t>
        </is>
      </c>
      <c r="CP452" s="232" t="inlineStr">
        <is>
          <t>82</t>
        </is>
      </c>
      <c r="CQ452" s="233" t="inlineStr">
        <is>
          <t>-0,58%</t>
        </is>
      </c>
      <c r="CR452" s="234" t="inlineStr">
        <is>
          <t>6</t>
        </is>
      </c>
      <c r="CS452" s="235" t="inlineStr">
        <is>
          <t>0,09%</t>
        </is>
      </c>
      <c r="CT452" s="236" t="inlineStr">
        <is>
          <t>56</t>
        </is>
      </c>
      <c r="CU452" s="237" t="inlineStr">
        <is>
          <t>0,10%</t>
        </is>
      </c>
      <c r="CV452" s="238" t="inlineStr">
        <is>
          <t>68</t>
        </is>
      </c>
      <c r="CW452" s="239" t="inlineStr">
        <is>
          <t>18,73x</t>
        </is>
      </c>
      <c r="CX452" s="240" t="inlineStr">
        <is>
          <t>91</t>
        </is>
      </c>
      <c r="CY452" s="241" t="inlineStr">
        <is>
          <t>0,14x</t>
        </is>
      </c>
      <c r="CZ452" s="242" t="inlineStr">
        <is>
          <t>0,76%</t>
        </is>
      </c>
      <c r="DA452" s="243" t="inlineStr">
        <is>
          <t>33,33x</t>
        </is>
      </c>
      <c r="DB452" s="244" t="inlineStr">
        <is>
          <t>95</t>
        </is>
      </c>
      <c r="DC452" s="245" t="inlineStr">
        <is>
          <t>4,13x</t>
        </is>
      </c>
      <c r="DD452" s="246" t="inlineStr">
        <is>
          <t>73</t>
        </is>
      </c>
      <c r="DE452" s="247" t="inlineStr">
        <is>
          <t>54,37x</t>
        </is>
      </c>
      <c r="DF452" s="248" t="inlineStr">
        <is>
          <t>94</t>
        </is>
      </c>
      <c r="DG452" s="249" t="inlineStr">
        <is>
          <t>12,28x</t>
        </is>
      </c>
      <c r="DH452" s="250" t="inlineStr">
        <is>
          <t>88</t>
        </is>
      </c>
      <c r="DI452" s="251" t="inlineStr">
        <is>
          <t>5,38x</t>
        </is>
      </c>
      <c r="DJ452" s="252" t="inlineStr">
        <is>
          <t>76</t>
        </is>
      </c>
      <c r="DK452" s="253" t="inlineStr">
        <is>
          <t>2,88x</t>
        </is>
      </c>
      <c r="DL452" s="254" t="inlineStr">
        <is>
          <t>69</t>
        </is>
      </c>
      <c r="DM452" s="255" t="inlineStr">
        <is>
          <t>33.645</t>
        </is>
      </c>
      <c r="DN452" s="256" t="inlineStr">
        <is>
          <t>-616</t>
        </is>
      </c>
      <c r="DO452" s="257" t="inlineStr">
        <is>
          <t>-1,80%</t>
        </is>
      </c>
      <c r="DP452" s="258" t="inlineStr">
        <is>
          <t>4.284</t>
        </is>
      </c>
      <c r="DQ452" s="259" t="inlineStr">
        <is>
          <t>14</t>
        </is>
      </c>
      <c r="DR452" s="260" t="inlineStr">
        <is>
          <t>0,33%</t>
        </is>
      </c>
      <c r="DS452" s="261" t="inlineStr">
        <is>
          <t>441</t>
        </is>
      </c>
      <c r="DT452" s="262" t="inlineStr">
        <is>
          <t>-1</t>
        </is>
      </c>
      <c r="DU452" s="263" t="inlineStr">
        <is>
          <t>-0,23%</t>
        </is>
      </c>
      <c r="DV452" s="264" t="inlineStr">
        <is>
          <t>988</t>
        </is>
      </c>
      <c r="DW452" s="265" t="inlineStr">
        <is>
          <t>2</t>
        </is>
      </c>
      <c r="DX452" s="266" t="inlineStr">
        <is>
          <t>0,20%</t>
        </is>
      </c>
      <c r="DY452" s="267" t="inlineStr">
        <is>
          <t>PitchBook Research</t>
        </is>
      </c>
      <c r="DZ452" s="786">
        <f>HYPERLINK("https://my.pitchbook.com?c=107489-98", "View company online")</f>
      </c>
    </row>
    <row r="453">
      <c r="A453" s="9" t="inlineStr">
        <is>
          <t>63721-99</t>
        </is>
      </c>
      <c r="B453" s="10" t="inlineStr">
        <is>
          <t>Thread (Online Stylist)</t>
        </is>
      </c>
      <c r="C453" s="11" t="inlineStr">
        <is>
          <t/>
        </is>
      </c>
      <c r="D453" s="12" t="inlineStr">
        <is>
          <t/>
        </is>
      </c>
      <c r="E453" s="13" t="inlineStr">
        <is>
          <t>63721-99</t>
        </is>
      </c>
      <c r="F453" s="14" t="inlineStr">
        <is>
          <t>Provider of an online personal styling platform designed to help men find clothes. The company offers an online personal styling platform for men using a combination of human stylist and machine learning algorithms, where they receive personalized information from human stylists and suggestions from an algorithm that understands the customer's preferences over time, helping them to dress well without having to go shopping.</t>
        </is>
      </c>
      <c r="G453" s="15" t="inlineStr">
        <is>
          <t>Consumer Products and Services (B2C)</t>
        </is>
      </c>
      <c r="H453" s="16" t="inlineStr">
        <is>
          <t>Apparel and Accessories</t>
        </is>
      </c>
      <c r="I453" s="17" t="inlineStr">
        <is>
          <t>Clothing</t>
        </is>
      </c>
      <c r="J453" s="18" t="inlineStr">
        <is>
          <t>Clothing*; Application Software</t>
        </is>
      </c>
      <c r="K453" s="19" t="inlineStr">
        <is>
          <t/>
        </is>
      </c>
      <c r="L453" s="20" t="inlineStr">
        <is>
          <t>Venture Capital-Backed</t>
        </is>
      </c>
      <c r="M453" s="21" t="n">
        <v>14.35</v>
      </c>
      <c r="N453" s="22" t="inlineStr">
        <is>
          <t>Generating Revenue</t>
        </is>
      </c>
      <c r="O453" s="23" t="inlineStr">
        <is>
          <t>Privately Held (backing)</t>
        </is>
      </c>
      <c r="P453" s="24" t="inlineStr">
        <is>
          <t>Venture Capital</t>
        </is>
      </c>
      <c r="Q453" s="25" t="inlineStr">
        <is>
          <t>www.thread.com</t>
        </is>
      </c>
      <c r="R453" s="26" t="n">
        <v>30.0</v>
      </c>
      <c r="S453" s="27" t="inlineStr">
        <is>
          <t/>
        </is>
      </c>
      <c r="T453" s="28" t="inlineStr">
        <is>
          <t/>
        </is>
      </c>
      <c r="U453" s="29" t="n">
        <v>2012.0</v>
      </c>
      <c r="V453" s="30" t="inlineStr">
        <is>
          <t/>
        </is>
      </c>
      <c r="W453" s="31" t="inlineStr">
        <is>
          <t/>
        </is>
      </c>
      <c r="X453" s="32" t="inlineStr">
        <is>
          <t/>
        </is>
      </c>
      <c r="Y453" s="33" t="inlineStr">
        <is>
          <t/>
        </is>
      </c>
      <c r="Z453" s="34" t="inlineStr">
        <is>
          <t/>
        </is>
      </c>
      <c r="AA453" s="35" t="inlineStr">
        <is>
          <t/>
        </is>
      </c>
      <c r="AB453" s="36" t="inlineStr">
        <is>
          <t/>
        </is>
      </c>
      <c r="AC453" s="37" t="inlineStr">
        <is>
          <t/>
        </is>
      </c>
      <c r="AD453" s="38" t="inlineStr">
        <is>
          <t>FY 2012</t>
        </is>
      </c>
      <c r="AE453" s="39" t="inlineStr">
        <is>
          <t>69141-88P</t>
        </is>
      </c>
      <c r="AF453" s="40" t="inlineStr">
        <is>
          <t>Kieran O'Neill</t>
        </is>
      </c>
      <c r="AG453" s="41" t="inlineStr">
        <is>
          <t>Chief Executive Officer &amp; Co-Founder</t>
        </is>
      </c>
      <c r="AH453" s="42" t="inlineStr">
        <is>
          <t>kieran@thread.com</t>
        </is>
      </c>
      <c r="AI453" s="43" t="inlineStr">
        <is>
          <t/>
        </is>
      </c>
      <c r="AJ453" s="44" t="inlineStr">
        <is>
          <t>London, United Kingdom</t>
        </is>
      </c>
      <c r="AK453" s="45" t="inlineStr">
        <is>
          <t>104 Cavell Street</t>
        </is>
      </c>
      <c r="AL453" s="46" t="inlineStr">
        <is>
          <t/>
        </is>
      </c>
      <c r="AM453" s="47" t="inlineStr">
        <is>
          <t>London</t>
        </is>
      </c>
      <c r="AN453" s="48" t="inlineStr">
        <is>
          <t>England</t>
        </is>
      </c>
      <c r="AO453" s="49" t="inlineStr">
        <is>
          <t>E1 2JA</t>
        </is>
      </c>
      <c r="AP453" s="50" t="inlineStr">
        <is>
          <t>United Kingdom</t>
        </is>
      </c>
      <c r="AQ453" s="51" t="inlineStr">
        <is>
          <t/>
        </is>
      </c>
      <c r="AR453" s="52" t="inlineStr">
        <is>
          <t/>
        </is>
      </c>
      <c r="AS453" s="53" t="inlineStr">
        <is>
          <t>hi@thread.com</t>
        </is>
      </c>
      <c r="AT453" s="54" t="inlineStr">
        <is>
          <t>Europe</t>
        </is>
      </c>
      <c r="AU453" s="55" t="inlineStr">
        <is>
          <t>Western Europe</t>
        </is>
      </c>
      <c r="AV453" s="56" t="inlineStr">
        <is>
          <t>The company raised GBP 4 million of Series B venture funding from lead investor Beringea on June 2, 2016. Balderton Capital, Andrew Jennings, Edgar Bronfman Jr., Guy Hipwell, Kreos Capital and Shakil Khan also participated in the round. The company will use the funding to further scale its business in the UK market, expand its existing user base as well as its team. With the round, the company has now raised a total of GBP 11 million in funding to date. LocalGlobe also participated in this round.</t>
        </is>
      </c>
      <c r="AW453" s="57" t="inlineStr">
        <is>
          <t>Andrew Jennings, Andy McLoughlin, Balderton Capital, Beringea, Demis Hassabis, Edgar Bronfman, Elizabeth Saltzman, Errol Damelin, Forward Partners, Guy Hipwell, Ian Hogarth, Jared Kopf, Jonathan McKay, Kreos Capital, LocalGlobe, Matt Humphrey, Michael Birch, Mustafa Suleyman, Neil Hutchinson, Nils Johnson, Passion Capital, Shakil Khan, Shervin Pishevar, Tom Hulme, Venrex Investment Management, William Reeve, Y Combinator</t>
        </is>
      </c>
      <c r="AX453" s="58" t="n">
        <v>27.0</v>
      </c>
      <c r="AY453" s="59" t="inlineStr">
        <is>
          <t/>
        </is>
      </c>
      <c r="AZ453" s="60" t="inlineStr">
        <is>
          <t/>
        </is>
      </c>
      <c r="BA453" s="61" t="inlineStr">
        <is>
          <t/>
        </is>
      </c>
      <c r="BB453" s="62" t="inlineStr">
        <is>
          <t>Andy McLoughlin (www.andymcloughlin.co), Balderton Capital (www.balderton.com), Beringea (www.beringea.com), Forward Partners (www.forwardpartners.com), Kreos Capital (www.kreoscapital.com), LocalGlobe (www.localglobe.vc), Passion Capital (www.passioncapital.com), Shervin Pishevar (www.shervin.com), Y Combinator (www.ycombinator.com)</t>
        </is>
      </c>
      <c r="BC453" s="63" t="inlineStr">
        <is>
          <t/>
        </is>
      </c>
      <c r="BD453" s="64" t="inlineStr">
        <is>
          <t/>
        </is>
      </c>
      <c r="BE453" s="65" t="inlineStr">
        <is>
          <t>Future Fifty (Consulting), Upscale UK (Consulting), Orrick Herrington &amp; Sutcliffe (Legal Advisor)</t>
        </is>
      </c>
      <c r="BF453" s="66" t="inlineStr">
        <is>
          <t>Kreos Capital, Orrick Herrington &amp; Sutcliffe (Legal Advisor)</t>
        </is>
      </c>
      <c r="BG453" s="67" t="n">
        <v>40909.0</v>
      </c>
      <c r="BH453" s="68" t="n">
        <v>0.02</v>
      </c>
      <c r="BI453" s="69" t="inlineStr">
        <is>
          <t>Actual</t>
        </is>
      </c>
      <c r="BJ453" s="70" t="inlineStr">
        <is>
          <t/>
        </is>
      </c>
      <c r="BK453" s="71" t="inlineStr">
        <is>
          <t/>
        </is>
      </c>
      <c r="BL453" s="72" t="inlineStr">
        <is>
          <t>Accelerator/Incubator</t>
        </is>
      </c>
      <c r="BM453" s="73" t="inlineStr">
        <is>
          <t/>
        </is>
      </c>
      <c r="BN453" s="74" t="inlineStr">
        <is>
          <t/>
        </is>
      </c>
      <c r="BO453" s="75" t="inlineStr">
        <is>
          <t>Other</t>
        </is>
      </c>
      <c r="BP453" s="76" t="inlineStr">
        <is>
          <t/>
        </is>
      </c>
      <c r="BQ453" s="77" t="inlineStr">
        <is>
          <t/>
        </is>
      </c>
      <c r="BR453" s="78" t="inlineStr">
        <is>
          <t/>
        </is>
      </c>
      <c r="BS453" s="79" t="inlineStr">
        <is>
          <t>Completed</t>
        </is>
      </c>
      <c r="BT453" s="80" t="n">
        <v>42523.0</v>
      </c>
      <c r="BU453" s="81" t="n">
        <v>5.07</v>
      </c>
      <c r="BV453" s="82" t="inlineStr">
        <is>
          <t>Actual</t>
        </is>
      </c>
      <c r="BW453" s="83" t="inlineStr">
        <is>
          <t/>
        </is>
      </c>
      <c r="BX453" s="84" t="inlineStr">
        <is>
          <t/>
        </is>
      </c>
      <c r="BY453" s="85" t="inlineStr">
        <is>
          <t>Early Stage VC</t>
        </is>
      </c>
      <c r="BZ453" s="86" t="inlineStr">
        <is>
          <t>Series B</t>
        </is>
      </c>
      <c r="CA453" s="87" t="inlineStr">
        <is>
          <t/>
        </is>
      </c>
      <c r="CB453" s="88" t="inlineStr">
        <is>
          <t>Venture Capital</t>
        </is>
      </c>
      <c r="CC453" s="89" t="inlineStr">
        <is>
          <t>Senior Debt</t>
        </is>
      </c>
      <c r="CD453" s="90" t="inlineStr">
        <is>
          <t/>
        </is>
      </c>
      <c r="CE453" s="91" t="inlineStr">
        <is>
          <t/>
        </is>
      </c>
      <c r="CF453" s="92" t="inlineStr">
        <is>
          <t>Completed</t>
        </is>
      </c>
      <c r="CG453" s="93" t="inlineStr">
        <is>
          <t>-0,10%</t>
        </is>
      </c>
      <c r="CH453" s="94" t="inlineStr">
        <is>
          <t>14</t>
        </is>
      </c>
      <c r="CI453" s="95" t="inlineStr">
        <is>
          <t>-0,09%</t>
        </is>
      </c>
      <c r="CJ453" s="96" t="inlineStr">
        <is>
          <t>-1.408,51%</t>
        </is>
      </c>
      <c r="CK453" s="97" t="inlineStr">
        <is>
          <t>-0,62%</t>
        </is>
      </c>
      <c r="CL453" s="98" t="inlineStr">
        <is>
          <t>11</t>
        </is>
      </c>
      <c r="CM453" s="99" t="inlineStr">
        <is>
          <t>0,42%</t>
        </is>
      </c>
      <c r="CN453" s="100" t="inlineStr">
        <is>
          <t>87</t>
        </is>
      </c>
      <c r="CO453" s="101" t="inlineStr">
        <is>
          <t>-1,61%</t>
        </is>
      </c>
      <c r="CP453" s="102" t="inlineStr">
        <is>
          <t>17</t>
        </is>
      </c>
      <c r="CQ453" s="103" t="inlineStr">
        <is>
          <t>0,37%</t>
        </is>
      </c>
      <c r="CR453" s="104" t="inlineStr">
        <is>
          <t>85</t>
        </is>
      </c>
      <c r="CS453" s="105" t="inlineStr">
        <is>
          <t>0,34%</t>
        </is>
      </c>
      <c r="CT453" s="106" t="inlineStr">
        <is>
          <t>81</t>
        </is>
      </c>
      <c r="CU453" s="107" t="inlineStr">
        <is>
          <t>0,51%</t>
        </is>
      </c>
      <c r="CV453" s="108" t="inlineStr">
        <is>
          <t>92</t>
        </is>
      </c>
      <c r="CW453" s="109" t="inlineStr">
        <is>
          <t>145,57x</t>
        </is>
      </c>
      <c r="CX453" s="110" t="inlineStr">
        <is>
          <t>98</t>
        </is>
      </c>
      <c r="CY453" s="111" t="inlineStr">
        <is>
          <t>65,87x</t>
        </is>
      </c>
      <c r="CZ453" s="112" t="inlineStr">
        <is>
          <t>82,66%</t>
        </is>
      </c>
      <c r="DA453" s="113" t="inlineStr">
        <is>
          <t>102,37x</t>
        </is>
      </c>
      <c r="DB453" s="114" t="inlineStr">
        <is>
          <t>98</t>
        </is>
      </c>
      <c r="DC453" s="115" t="inlineStr">
        <is>
          <t>188,77x</t>
        </is>
      </c>
      <c r="DD453" s="116" t="inlineStr">
        <is>
          <t>98</t>
        </is>
      </c>
      <c r="DE453" s="117" t="inlineStr">
        <is>
          <t>191,19x</t>
        </is>
      </c>
      <c r="DF453" s="118" t="inlineStr">
        <is>
          <t>97</t>
        </is>
      </c>
      <c r="DG453" s="119" t="inlineStr">
        <is>
          <t>13,56x</t>
        </is>
      </c>
      <c r="DH453" s="120" t="inlineStr">
        <is>
          <t>89</t>
        </is>
      </c>
      <c r="DI453" s="121" t="inlineStr">
        <is>
          <t>318,84x</t>
        </is>
      </c>
      <c r="DJ453" s="122" t="inlineStr">
        <is>
          <t>98</t>
        </is>
      </c>
      <c r="DK453" s="123" t="inlineStr">
        <is>
          <t>58,70x</t>
        </is>
      </c>
      <c r="DL453" s="124" t="inlineStr">
        <is>
          <t>97</t>
        </is>
      </c>
      <c r="DM453" s="125" t="inlineStr">
        <is>
          <t>118.267</t>
        </is>
      </c>
      <c r="DN453" s="126" t="inlineStr">
        <is>
          <t>-2.053</t>
        </is>
      </c>
      <c r="DO453" s="127" t="inlineStr">
        <is>
          <t>-1,71%</t>
        </is>
      </c>
      <c r="DP453" s="128" t="inlineStr">
        <is>
          <t>254.602</t>
        </is>
      </c>
      <c r="DQ453" s="129" t="inlineStr">
        <is>
          <t>466</t>
        </is>
      </c>
      <c r="DR453" s="130" t="inlineStr">
        <is>
          <t>0,18%</t>
        </is>
      </c>
      <c r="DS453" s="131" t="inlineStr">
        <is>
          <t>488</t>
        </is>
      </c>
      <c r="DT453" s="132" t="inlineStr">
        <is>
          <t>0</t>
        </is>
      </c>
      <c r="DU453" s="133" t="inlineStr">
        <is>
          <t>0,00%</t>
        </is>
      </c>
      <c r="DV453" s="134" t="inlineStr">
        <is>
          <t>20.090</t>
        </is>
      </c>
      <c r="DW453" s="135" t="inlineStr">
        <is>
          <t>108</t>
        </is>
      </c>
      <c r="DX453" s="136" t="inlineStr">
        <is>
          <t>0,54%</t>
        </is>
      </c>
      <c r="DY453" s="137" t="inlineStr">
        <is>
          <t>PitchBook Research</t>
        </is>
      </c>
      <c r="DZ453" s="785">
        <f>HYPERLINK("https://my.pitchbook.com?c=63721-99", "View company online")</f>
      </c>
    </row>
    <row r="454">
      <c r="A454" s="139" t="inlineStr">
        <is>
          <t>55465-21</t>
        </is>
      </c>
      <c r="B454" s="140" t="inlineStr">
        <is>
          <t>Tictail</t>
        </is>
      </c>
      <c r="C454" s="141" t="inlineStr">
        <is>
          <t/>
        </is>
      </c>
      <c r="D454" s="142" t="inlineStr">
        <is>
          <t/>
        </is>
      </c>
      <c r="E454" s="143" t="inlineStr">
        <is>
          <t>55465-21</t>
        </is>
      </c>
      <c r="F454" s="144" t="inlineStr">
        <is>
          <t>Developer of a software to create e-commerce sites. The company provides a platform enabling businesses to develop, operate and track their own e-commerce sites.</t>
        </is>
      </c>
      <c r="G454" s="145" t="inlineStr">
        <is>
          <t>Information Technology</t>
        </is>
      </c>
      <c r="H454" s="146" t="inlineStr">
        <is>
          <t>Software</t>
        </is>
      </c>
      <c r="I454" s="147" t="inlineStr">
        <is>
          <t>Business/Productivity Software</t>
        </is>
      </c>
      <c r="J454" s="148" t="inlineStr">
        <is>
          <t>Business/Productivity Software*</t>
        </is>
      </c>
      <c r="K454" s="149" t="inlineStr">
        <is>
          <t>SaaS</t>
        </is>
      </c>
      <c r="L454" s="150" t="inlineStr">
        <is>
          <t>Venture Capital-Backed</t>
        </is>
      </c>
      <c r="M454" s="151" t="n">
        <v>28.25</v>
      </c>
      <c r="N454" s="152" t="inlineStr">
        <is>
          <t>Generating Revenue</t>
        </is>
      </c>
      <c r="O454" s="153" t="inlineStr">
        <is>
          <t>Privately Held (backing)</t>
        </is>
      </c>
      <c r="P454" s="154" t="inlineStr">
        <is>
          <t>Venture Capital</t>
        </is>
      </c>
      <c r="Q454" s="155" t="inlineStr">
        <is>
          <t>www.tictail.com</t>
        </is>
      </c>
      <c r="R454" s="156" t="n">
        <v>74.0</v>
      </c>
      <c r="S454" s="157" t="inlineStr">
        <is>
          <t/>
        </is>
      </c>
      <c r="T454" s="158" t="inlineStr">
        <is>
          <t/>
        </is>
      </c>
      <c r="U454" s="159" t="n">
        <v>2012.0</v>
      </c>
      <c r="V454" s="160" t="inlineStr">
        <is>
          <t/>
        </is>
      </c>
      <c r="W454" s="161" t="inlineStr">
        <is>
          <t/>
        </is>
      </c>
      <c r="X454" s="162" t="inlineStr">
        <is>
          <t/>
        </is>
      </c>
      <c r="Y454" s="163" t="n">
        <v>1.80071</v>
      </c>
      <c r="Z454" s="164" t="inlineStr">
        <is>
          <t/>
        </is>
      </c>
      <c r="AA454" s="165" t="n">
        <v>-2.62757</v>
      </c>
      <c r="AB454" s="166" t="inlineStr">
        <is>
          <t/>
        </is>
      </c>
      <c r="AC454" s="167" t="n">
        <v>-2.12227</v>
      </c>
      <c r="AD454" s="168" t="inlineStr">
        <is>
          <t>FY 2015</t>
        </is>
      </c>
      <c r="AE454" s="169" t="inlineStr">
        <is>
          <t>55821-07P</t>
        </is>
      </c>
      <c r="AF454" s="170" t="inlineStr">
        <is>
          <t>Carl Waldekranz</t>
        </is>
      </c>
      <c r="AG454" s="171" t="inlineStr">
        <is>
          <t>Co-Founder and Chief Executive Officer</t>
        </is>
      </c>
      <c r="AH454" s="172" t="inlineStr">
        <is>
          <t>carl@tictail.com</t>
        </is>
      </c>
      <c r="AI454" s="173" t="inlineStr">
        <is>
          <t>+46 (0)6 464 81 9571</t>
        </is>
      </c>
      <c r="AJ454" s="174" t="inlineStr">
        <is>
          <t>Stockholm, Sweden</t>
        </is>
      </c>
      <c r="AK454" s="175" t="inlineStr">
        <is>
          <t>Mäster Samuelsgatan 10</t>
        </is>
      </c>
      <c r="AL454" s="176" t="inlineStr">
        <is>
          <t/>
        </is>
      </c>
      <c r="AM454" s="177" t="inlineStr">
        <is>
          <t>Stockholm</t>
        </is>
      </c>
      <c r="AN454" s="178" t="inlineStr">
        <is>
          <t/>
        </is>
      </c>
      <c r="AO454" s="179" t="inlineStr">
        <is>
          <t>111 44</t>
        </is>
      </c>
      <c r="AP454" s="180" t="inlineStr">
        <is>
          <t>Sweden</t>
        </is>
      </c>
      <c r="AQ454" s="181" t="inlineStr">
        <is>
          <t>+46 (0)6 464 81 9571</t>
        </is>
      </c>
      <c r="AR454" s="182" t="inlineStr">
        <is>
          <t/>
        </is>
      </c>
      <c r="AS454" s="183" t="inlineStr">
        <is>
          <t/>
        </is>
      </c>
      <c r="AT454" s="184" t="inlineStr">
        <is>
          <t>Europe</t>
        </is>
      </c>
      <c r="AU454" s="185" t="inlineStr">
        <is>
          <t>Northern Europe</t>
        </is>
      </c>
      <c r="AV454" s="186" t="inlineStr">
        <is>
          <t>The company raised an undisclosed amount of venture funding from German Startups Group in December 2015. Previously the company raised $22 million of series B venture funding in a deal led by Creandum on July 29, 2015. German Startups Group, Thrive Capital, Balderton Capital and Acton Capital also participated.</t>
        </is>
      </c>
      <c r="AW454" s="187" t="inlineStr">
        <is>
          <t>Acton Capital Partners, Balderton Capital, Creandum, Fredrik Nylander, German Startups Group, Gustaf Alstromer, Gustav Söderström, Klaus Hommels, Project A Ventures, Scott Belsky, Thrive Capital</t>
        </is>
      </c>
      <c r="AX454" s="188" t="n">
        <v>11.0</v>
      </c>
      <c r="AY454" s="189" t="inlineStr">
        <is>
          <t/>
        </is>
      </c>
      <c r="AZ454" s="190" t="inlineStr">
        <is>
          <t/>
        </is>
      </c>
      <c r="BA454" s="191" t="inlineStr">
        <is>
          <t/>
        </is>
      </c>
      <c r="BB454" s="192" t="inlineStr">
        <is>
          <t>Acton Capital Partners (www.actoncapital.com), Balderton Capital (www.balderton.com), Creandum (www.creandum.com), German Startups Group (www.german-startups.com), Gustaf Alstromer (gustafalstromer.com), Project A Ventures (www.project-a.com/en), Scott Belsky (www.scottbelsky.com), Thrive Capital (www.thrivecap.com)</t>
        </is>
      </c>
      <c r="BC454" s="193" t="inlineStr">
        <is>
          <t/>
        </is>
      </c>
      <c r="BD454" s="194" t="inlineStr">
        <is>
          <t/>
        </is>
      </c>
      <c r="BE454" s="195" t="inlineStr">
        <is>
          <t/>
        </is>
      </c>
      <c r="BF454" s="196" t="inlineStr">
        <is>
          <t/>
        </is>
      </c>
      <c r="BG454" s="197" t="n">
        <v>41204.0</v>
      </c>
      <c r="BH454" s="198" t="n">
        <v>1.2</v>
      </c>
      <c r="BI454" s="199" t="inlineStr">
        <is>
          <t>Actual</t>
        </is>
      </c>
      <c r="BJ454" s="200" t="inlineStr">
        <is>
          <t/>
        </is>
      </c>
      <c r="BK454" s="201" t="inlineStr">
        <is>
          <t/>
        </is>
      </c>
      <c r="BL454" s="202" t="inlineStr">
        <is>
          <t>Seed Round</t>
        </is>
      </c>
      <c r="BM454" s="203" t="inlineStr">
        <is>
          <t>Seed</t>
        </is>
      </c>
      <c r="BN454" s="204" t="inlineStr">
        <is>
          <t/>
        </is>
      </c>
      <c r="BO454" s="205" t="inlineStr">
        <is>
          <t>Venture Capital</t>
        </is>
      </c>
      <c r="BP454" s="206" t="inlineStr">
        <is>
          <t/>
        </is>
      </c>
      <c r="BQ454" s="207" t="inlineStr">
        <is>
          <t/>
        </is>
      </c>
      <c r="BR454" s="208" t="inlineStr">
        <is>
          <t/>
        </is>
      </c>
      <c r="BS454" s="209" t="inlineStr">
        <is>
          <t>Completed</t>
        </is>
      </c>
      <c r="BT454" s="210" t="n">
        <v>42339.0</v>
      </c>
      <c r="BU454" s="211" t="inlineStr">
        <is>
          <t/>
        </is>
      </c>
      <c r="BV454" s="212" t="inlineStr">
        <is>
          <t/>
        </is>
      </c>
      <c r="BW454" s="213" t="inlineStr">
        <is>
          <t/>
        </is>
      </c>
      <c r="BX454" s="214" t="inlineStr">
        <is>
          <t/>
        </is>
      </c>
      <c r="BY454" s="215" t="inlineStr">
        <is>
          <t>Early Stage VC</t>
        </is>
      </c>
      <c r="BZ454" s="216" t="inlineStr">
        <is>
          <t/>
        </is>
      </c>
      <c r="CA454" s="217" t="inlineStr">
        <is>
          <t/>
        </is>
      </c>
      <c r="CB454" s="218" t="inlineStr">
        <is>
          <t>Venture Capital</t>
        </is>
      </c>
      <c r="CC454" s="219" t="inlineStr">
        <is>
          <t/>
        </is>
      </c>
      <c r="CD454" s="220" t="inlineStr">
        <is>
          <t/>
        </is>
      </c>
      <c r="CE454" s="221" t="inlineStr">
        <is>
          <t/>
        </is>
      </c>
      <c r="CF454" s="222" t="inlineStr">
        <is>
          <t>Completed</t>
        </is>
      </c>
      <c r="CG454" s="223" t="inlineStr">
        <is>
          <t>2,62%</t>
        </is>
      </c>
      <c r="CH454" s="224" t="inlineStr">
        <is>
          <t>95</t>
        </is>
      </c>
      <c r="CI454" s="225" t="inlineStr">
        <is>
          <t>0,00%</t>
        </is>
      </c>
      <c r="CJ454" s="226" t="inlineStr">
        <is>
          <t>-0,12%</t>
        </is>
      </c>
      <c r="CK454" s="227" t="inlineStr">
        <is>
          <t>6,29%</t>
        </is>
      </c>
      <c r="CL454" s="228" t="inlineStr">
        <is>
          <t>97</t>
        </is>
      </c>
      <c r="CM454" s="229" t="inlineStr">
        <is>
          <t>0,14%</t>
        </is>
      </c>
      <c r="CN454" s="230" t="inlineStr">
        <is>
          <t>66</t>
        </is>
      </c>
      <c r="CO454" s="231" t="inlineStr">
        <is>
          <t>1,03%</t>
        </is>
      </c>
      <c r="CP454" s="232" t="inlineStr">
        <is>
          <t>85</t>
        </is>
      </c>
      <c r="CQ454" s="233" t="inlineStr">
        <is>
          <t>11,54%</t>
        </is>
      </c>
      <c r="CR454" s="234" t="inlineStr">
        <is>
          <t>97</t>
        </is>
      </c>
      <c r="CS454" s="235" t="inlineStr">
        <is>
          <t>0,23%</t>
        </is>
      </c>
      <c r="CT454" s="236" t="inlineStr">
        <is>
          <t>73</t>
        </is>
      </c>
      <c r="CU454" s="237" t="inlineStr">
        <is>
          <t>0,05%</t>
        </is>
      </c>
      <c r="CV454" s="238" t="inlineStr">
        <is>
          <t>61</t>
        </is>
      </c>
      <c r="CW454" s="239" t="inlineStr">
        <is>
          <t>140,19x</t>
        </is>
      </c>
      <c r="CX454" s="240" t="inlineStr">
        <is>
          <t>98</t>
        </is>
      </c>
      <c r="CY454" s="241" t="inlineStr">
        <is>
          <t>0,41x</t>
        </is>
      </c>
      <c r="CZ454" s="242" t="inlineStr">
        <is>
          <t>0,29%</t>
        </is>
      </c>
      <c r="DA454" s="243" t="inlineStr">
        <is>
          <t>371,55x</t>
        </is>
      </c>
      <c r="DB454" s="244" t="inlineStr">
        <is>
          <t>100</t>
        </is>
      </c>
      <c r="DC454" s="245" t="inlineStr">
        <is>
          <t>44,97x</t>
        </is>
      </c>
      <c r="DD454" s="246" t="inlineStr">
        <is>
          <t>94</t>
        </is>
      </c>
      <c r="DE454" s="247" t="inlineStr">
        <is>
          <t>727,99x</t>
        </is>
      </c>
      <c r="DF454" s="248" t="inlineStr">
        <is>
          <t>99</t>
        </is>
      </c>
      <c r="DG454" s="249" t="inlineStr">
        <is>
          <t>15,11x</t>
        </is>
      </c>
      <c r="DH454" s="250" t="inlineStr">
        <is>
          <t>90</t>
        </is>
      </c>
      <c r="DI454" s="251" t="inlineStr">
        <is>
          <t>53,06x</t>
        </is>
      </c>
      <c r="DJ454" s="252" t="inlineStr">
        <is>
          <t>93</t>
        </is>
      </c>
      <c r="DK454" s="253" t="inlineStr">
        <is>
          <t>36,89x</t>
        </is>
      </c>
      <c r="DL454" s="254" t="inlineStr">
        <is>
          <t>95</t>
        </is>
      </c>
      <c r="DM454" s="255" t="inlineStr">
        <is>
          <t>447.681</t>
        </is>
      </c>
      <c r="DN454" s="256" t="inlineStr">
        <is>
          <t>99</t>
        </is>
      </c>
      <c r="DO454" s="257" t="inlineStr">
        <is>
          <t>0,02%</t>
        </is>
      </c>
      <c r="DP454" s="258" t="inlineStr">
        <is>
          <t>42.351</t>
        </is>
      </c>
      <c r="DQ454" s="259" t="inlineStr">
        <is>
          <t>92</t>
        </is>
      </c>
      <c r="DR454" s="260" t="inlineStr">
        <is>
          <t>0,22%</t>
        </is>
      </c>
      <c r="DS454" s="261" t="inlineStr">
        <is>
          <t>543</t>
        </is>
      </c>
      <c r="DT454" s="262" t="inlineStr">
        <is>
          <t>5</t>
        </is>
      </c>
      <c r="DU454" s="263" t="inlineStr">
        <is>
          <t>0,93%</t>
        </is>
      </c>
      <c r="DV454" s="264" t="inlineStr">
        <is>
          <t>12.651</t>
        </is>
      </c>
      <c r="DW454" s="265" t="inlineStr">
        <is>
          <t>2</t>
        </is>
      </c>
      <c r="DX454" s="266" t="inlineStr">
        <is>
          <t>0,02%</t>
        </is>
      </c>
      <c r="DY454" s="267" t="inlineStr">
        <is>
          <t>PitchBook Research</t>
        </is>
      </c>
      <c r="DZ454" s="786">
        <f>HYPERLINK("https://my.pitchbook.com?c=55465-21", "View company online")</f>
      </c>
    </row>
    <row r="455">
      <c r="A455" s="9" t="inlineStr">
        <is>
          <t>163104-58</t>
        </is>
      </c>
      <c r="B455" s="10" t="inlineStr">
        <is>
          <t>Tide (Fintech)</t>
        </is>
      </c>
      <c r="C455" s="11" t="inlineStr">
        <is>
          <t/>
        </is>
      </c>
      <c r="D455" s="12" t="inlineStr">
        <is>
          <t/>
        </is>
      </c>
      <c r="E455" s="13" t="inlineStr">
        <is>
          <t>163104-58</t>
        </is>
      </c>
      <c r="F455" s="14" t="inlineStr">
        <is>
          <t>Provider of mobile banking services for small businesses. The company offers mobile software and banking services for small businesses and entrepreneurs, it also has an automated book-keeping service built-in that categorizes transactions as they are made and allows users to upload supplier invoices, which will automatically prepare a payment ready to be made at the push of a button software, helping businesses to setup a bank account, issue and send invoices and process payments in a go.</t>
        </is>
      </c>
      <c r="G455" s="15" t="inlineStr">
        <is>
          <t>Information Technology</t>
        </is>
      </c>
      <c r="H455" s="16" t="inlineStr">
        <is>
          <t>Software</t>
        </is>
      </c>
      <c r="I455" s="17" t="inlineStr">
        <is>
          <t>Financial Software</t>
        </is>
      </c>
      <c r="J455" s="18" t="inlineStr">
        <is>
          <t>Financial Software*</t>
        </is>
      </c>
      <c r="K455" s="19" t="inlineStr">
        <is>
          <t>FinTech, Mobile</t>
        </is>
      </c>
      <c r="L455" s="20" t="inlineStr">
        <is>
          <t>Venture Capital-Backed</t>
        </is>
      </c>
      <c r="M455" s="21" t="n">
        <v>13.97</v>
      </c>
      <c r="N455" s="22" t="inlineStr">
        <is>
          <t>Startup</t>
        </is>
      </c>
      <c r="O455" s="23" t="inlineStr">
        <is>
          <t>Privately Held (backing)</t>
        </is>
      </c>
      <c r="P455" s="24" t="inlineStr">
        <is>
          <t>Venture Capital</t>
        </is>
      </c>
      <c r="Q455" s="25" t="inlineStr">
        <is>
          <t>www.tide.co</t>
        </is>
      </c>
      <c r="R455" s="26" t="inlineStr">
        <is>
          <t/>
        </is>
      </c>
      <c r="S455" s="27" t="inlineStr">
        <is>
          <t/>
        </is>
      </c>
      <c r="T455" s="28" t="inlineStr">
        <is>
          <t/>
        </is>
      </c>
      <c r="U455" s="29" t="n">
        <v>2015.0</v>
      </c>
      <c r="V455" s="30" t="inlineStr">
        <is>
          <t/>
        </is>
      </c>
      <c r="W455" s="31" t="inlineStr">
        <is>
          <t/>
        </is>
      </c>
      <c r="X455" s="32" t="inlineStr">
        <is>
          <t/>
        </is>
      </c>
      <c r="Y455" s="33" t="inlineStr">
        <is>
          <t/>
        </is>
      </c>
      <c r="Z455" s="34" t="inlineStr">
        <is>
          <t/>
        </is>
      </c>
      <c r="AA455" s="35" t="inlineStr">
        <is>
          <t/>
        </is>
      </c>
      <c r="AB455" s="36" t="inlineStr">
        <is>
          <t/>
        </is>
      </c>
      <c r="AC455" s="37" t="inlineStr">
        <is>
          <t/>
        </is>
      </c>
      <c r="AD455" s="38" t="inlineStr">
        <is>
          <t/>
        </is>
      </c>
      <c r="AE455" s="39" t="inlineStr">
        <is>
          <t>140979-34P</t>
        </is>
      </c>
      <c r="AF455" s="40" t="inlineStr">
        <is>
          <t>George Bevis</t>
        </is>
      </c>
      <c r="AG455" s="41" t="inlineStr">
        <is>
          <t>Founder &amp; Chief Executive Officer</t>
        </is>
      </c>
      <c r="AH455" s="42" t="inlineStr">
        <is>
          <t>george@tide.co</t>
        </is>
      </c>
      <c r="AI455" s="43" t="inlineStr">
        <is>
          <t/>
        </is>
      </c>
      <c r="AJ455" s="44" t="inlineStr">
        <is>
          <t>London, United Kingdom</t>
        </is>
      </c>
      <c r="AK455" s="45" t="inlineStr">
        <is>
          <t>144a Clerkenwell Road</t>
        </is>
      </c>
      <c r="AL455" s="46" t="inlineStr">
        <is>
          <t>2nd Floor, White Bear Yard</t>
        </is>
      </c>
      <c r="AM455" s="47" t="inlineStr">
        <is>
          <t>London</t>
        </is>
      </c>
      <c r="AN455" s="48" t="inlineStr">
        <is>
          <t>England</t>
        </is>
      </c>
      <c r="AO455" s="49" t="inlineStr">
        <is>
          <t>EC1R 5DF</t>
        </is>
      </c>
      <c r="AP455" s="50" t="inlineStr">
        <is>
          <t>United Kingdom</t>
        </is>
      </c>
      <c r="AQ455" s="51" t="inlineStr">
        <is>
          <t/>
        </is>
      </c>
      <c r="AR455" s="52" t="inlineStr">
        <is>
          <t/>
        </is>
      </c>
      <c r="AS455" s="53" t="inlineStr">
        <is>
          <t>hello@tide.co</t>
        </is>
      </c>
      <c r="AT455" s="54" t="inlineStr">
        <is>
          <t>Europe</t>
        </is>
      </c>
      <c r="AU455" s="55" t="inlineStr">
        <is>
          <t>Western Europe</t>
        </is>
      </c>
      <c r="AV455" s="56" t="inlineStr">
        <is>
          <t>The company raised $14 million of Series A venture funding from lead investors Anthemis Group and Creandum on July 4, 2017. Passion Capital and LocalGlobe also participated in the round. The company will use the funding to further expand its workforce at its central London headquarters, continue to expand its service and develop more features to help UK SMEs manage their finances quickly and efficiently. Previously, the company raised $2 million of seed venture funding in a deal led by Passion Capital on July 25, 2016.</t>
        </is>
      </c>
      <c r="AW455" s="57" t="inlineStr">
        <is>
          <t>Alex Chesterman, Anthemis Group, Creandum, Errol Damelin, Greg Marsh, Ian Hogarth, Isabel Rutland, Jason Goodman, LocalGlobe, Passion Capital, Robin Klein, Saul Klein, William Reeve</t>
        </is>
      </c>
      <c r="AX455" s="58" t="n">
        <v>13.0</v>
      </c>
      <c r="AY455" s="59" t="inlineStr">
        <is>
          <t/>
        </is>
      </c>
      <c r="AZ455" s="60" t="inlineStr">
        <is>
          <t/>
        </is>
      </c>
      <c r="BA455" s="61" t="inlineStr">
        <is>
          <t/>
        </is>
      </c>
      <c r="BB455" s="62" t="inlineStr">
        <is>
          <t>Anthemis Group (www.anthemis.com), Creandum (www.creandum.com), LocalGlobe (www.localglobe.vc), Passion Capital (www.passioncapital.com), Robin Klein (www.the-accelerator.blogspot.com)</t>
        </is>
      </c>
      <c r="BC455" s="63" t="inlineStr">
        <is>
          <t/>
        </is>
      </c>
      <c r="BD455" s="64" t="inlineStr">
        <is>
          <t/>
        </is>
      </c>
      <c r="BE455" s="65" t="inlineStr">
        <is>
          <t/>
        </is>
      </c>
      <c r="BF455" s="66" t="inlineStr">
        <is>
          <t/>
        </is>
      </c>
      <c r="BG455" s="67" t="n">
        <v>42576.0</v>
      </c>
      <c r="BH455" s="68" t="n">
        <v>1.81</v>
      </c>
      <c r="BI455" s="69" t="inlineStr">
        <is>
          <t>Actual</t>
        </is>
      </c>
      <c r="BJ455" s="70" t="inlineStr">
        <is>
          <t/>
        </is>
      </c>
      <c r="BK455" s="71" t="inlineStr">
        <is>
          <t/>
        </is>
      </c>
      <c r="BL455" s="72" t="inlineStr">
        <is>
          <t>Seed Round</t>
        </is>
      </c>
      <c r="BM455" s="73" t="inlineStr">
        <is>
          <t>Seed</t>
        </is>
      </c>
      <c r="BN455" s="74" t="inlineStr">
        <is>
          <t/>
        </is>
      </c>
      <c r="BO455" s="75" t="inlineStr">
        <is>
          <t>Venture Capital</t>
        </is>
      </c>
      <c r="BP455" s="76" t="inlineStr">
        <is>
          <t/>
        </is>
      </c>
      <c r="BQ455" s="77" t="inlineStr">
        <is>
          <t/>
        </is>
      </c>
      <c r="BR455" s="78" t="inlineStr">
        <is>
          <t/>
        </is>
      </c>
      <c r="BS455" s="79" t="inlineStr">
        <is>
          <t>Completed</t>
        </is>
      </c>
      <c r="BT455" s="80" t="n">
        <v>42920.0</v>
      </c>
      <c r="BU455" s="81" t="n">
        <v>12.16</v>
      </c>
      <c r="BV455" s="82" t="inlineStr">
        <is>
          <t>Actual</t>
        </is>
      </c>
      <c r="BW455" s="83" t="inlineStr">
        <is>
          <t/>
        </is>
      </c>
      <c r="BX455" s="84" t="inlineStr">
        <is>
          <t/>
        </is>
      </c>
      <c r="BY455" s="85" t="inlineStr">
        <is>
          <t>Early Stage VC</t>
        </is>
      </c>
      <c r="BZ455" s="86" t="inlineStr">
        <is>
          <t>Series A</t>
        </is>
      </c>
      <c r="CA455" s="87" t="inlineStr">
        <is>
          <t/>
        </is>
      </c>
      <c r="CB455" s="88" t="inlineStr">
        <is>
          <t>Venture Capital</t>
        </is>
      </c>
      <c r="CC455" s="89" t="inlineStr">
        <is>
          <t/>
        </is>
      </c>
      <c r="CD455" s="90" t="inlineStr">
        <is>
          <t/>
        </is>
      </c>
      <c r="CE455" s="91" t="inlineStr">
        <is>
          <t/>
        </is>
      </c>
      <c r="CF455" s="92" t="inlineStr">
        <is>
          <t>Completed</t>
        </is>
      </c>
      <c r="CG455" s="93" t="inlineStr">
        <is>
          <t>3,58%</t>
        </is>
      </c>
      <c r="CH455" s="94" t="inlineStr">
        <is>
          <t>97</t>
        </is>
      </c>
      <c r="CI455" s="95" t="inlineStr">
        <is>
          <t>0,04%</t>
        </is>
      </c>
      <c r="CJ455" s="96" t="inlineStr">
        <is>
          <t>1,00%</t>
        </is>
      </c>
      <c r="CK455" s="97" t="inlineStr">
        <is>
          <t>3,55%</t>
        </is>
      </c>
      <c r="CL455" s="98" t="inlineStr">
        <is>
          <t>94</t>
        </is>
      </c>
      <c r="CM455" s="99" t="inlineStr">
        <is>
          <t>3,62%</t>
        </is>
      </c>
      <c r="CN455" s="100" t="inlineStr">
        <is>
          <t>100</t>
        </is>
      </c>
      <c r="CO455" s="101" t="inlineStr">
        <is>
          <t>3,55%</t>
        </is>
      </c>
      <c r="CP455" s="102" t="inlineStr">
        <is>
          <t>93</t>
        </is>
      </c>
      <c r="CQ455" s="103" t="inlineStr">
        <is>
          <t/>
        </is>
      </c>
      <c r="CR455" s="104" t="inlineStr">
        <is>
          <t/>
        </is>
      </c>
      <c r="CS455" s="105" t="inlineStr">
        <is>
          <t>5,08%</t>
        </is>
      </c>
      <c r="CT455" s="106" t="inlineStr">
        <is>
          <t>100</t>
        </is>
      </c>
      <c r="CU455" s="107" t="inlineStr">
        <is>
          <t>2,16%</t>
        </is>
      </c>
      <c r="CV455" s="108" t="inlineStr">
        <is>
          <t>99</t>
        </is>
      </c>
      <c r="CW455" s="109" t="inlineStr">
        <is>
          <t>18,23x</t>
        </is>
      </c>
      <c r="CX455" s="110" t="inlineStr">
        <is>
          <t>91</t>
        </is>
      </c>
      <c r="CY455" s="111" t="inlineStr">
        <is>
          <t>0,12x</t>
        </is>
      </c>
      <c r="CZ455" s="112" t="inlineStr">
        <is>
          <t>0,68%</t>
        </is>
      </c>
      <c r="DA455" s="113" t="inlineStr">
        <is>
          <t>32,18x</t>
        </is>
      </c>
      <c r="DB455" s="114" t="inlineStr">
        <is>
          <t>95</t>
        </is>
      </c>
      <c r="DC455" s="115" t="inlineStr">
        <is>
          <t>4,27x</t>
        </is>
      </c>
      <c r="DD455" s="116" t="inlineStr">
        <is>
          <t>74</t>
        </is>
      </c>
      <c r="DE455" s="117" t="inlineStr">
        <is>
          <t>32,18x</t>
        </is>
      </c>
      <c r="DF455" s="118" t="inlineStr">
        <is>
          <t>91</t>
        </is>
      </c>
      <c r="DG455" s="119" t="inlineStr">
        <is>
          <t/>
        </is>
      </c>
      <c r="DH455" s="120" t="inlineStr">
        <is>
          <t/>
        </is>
      </c>
      <c r="DI455" s="121" t="inlineStr">
        <is>
          <t>3,02x</t>
        </is>
      </c>
      <c r="DJ455" s="122" t="inlineStr">
        <is>
          <t>68</t>
        </is>
      </c>
      <c r="DK455" s="123" t="inlineStr">
        <is>
          <t>5,53x</t>
        </is>
      </c>
      <c r="DL455" s="124" t="inlineStr">
        <is>
          <t>79</t>
        </is>
      </c>
      <c r="DM455" s="125" t="inlineStr">
        <is>
          <t>20.171</t>
        </is>
      </c>
      <c r="DN455" s="126" t="inlineStr">
        <is>
          <t>-1.140</t>
        </is>
      </c>
      <c r="DO455" s="127" t="inlineStr">
        <is>
          <t>-5,35%</t>
        </is>
      </c>
      <c r="DP455" s="128" t="inlineStr">
        <is>
          <t>2.326</t>
        </is>
      </c>
      <c r="DQ455" s="129" t="inlineStr">
        <is>
          <t>136</t>
        </is>
      </c>
      <c r="DR455" s="130" t="inlineStr">
        <is>
          <t>6,21%</t>
        </is>
      </c>
      <c r="DS455" s="131" t="inlineStr">
        <is>
          <t/>
        </is>
      </c>
      <c r="DT455" s="132" t="inlineStr">
        <is>
          <t/>
        </is>
      </c>
      <c r="DU455" s="133" t="inlineStr">
        <is>
          <t/>
        </is>
      </c>
      <c r="DV455" s="134" t="inlineStr">
        <is>
          <t>1.875</t>
        </is>
      </c>
      <c r="DW455" s="135" t="inlineStr">
        <is>
          <t>25</t>
        </is>
      </c>
      <c r="DX455" s="136" t="inlineStr">
        <is>
          <t>1,35%</t>
        </is>
      </c>
      <c r="DY455" s="137" t="inlineStr">
        <is>
          <t>PitchBook Research</t>
        </is>
      </c>
      <c r="DZ455" s="785">
        <f>HYPERLINK("https://my.pitchbook.com?c=163104-58", "View company online")</f>
      </c>
    </row>
    <row r="456">
      <c r="A456" s="139" t="inlineStr">
        <is>
          <t>114396-22</t>
        </is>
      </c>
      <c r="B456" s="140" t="inlineStr">
        <is>
          <t>TILT Biotherapeutics</t>
        </is>
      </c>
      <c r="C456" s="141" t="inlineStr">
        <is>
          <t/>
        </is>
      </c>
      <c r="D456" s="142" t="inlineStr">
        <is>
          <t>TILT</t>
        </is>
      </c>
      <c r="E456" s="143" t="inlineStr">
        <is>
          <t>114396-22</t>
        </is>
      </c>
      <c r="F456" s="144" t="inlineStr">
        <is>
          <t>Developer and provider of oncolytic immunotherapy technology. The company's patented technology involves utilization of oncolytic viruses for enhancement of tumor T-cell therapy. The technology will be used to enable tumor infiltrating lymphocyte (TIL), chimeric antigen receptor (CAR-T) and checkpoint inhibiting antibody therapy of solid tumors.</t>
        </is>
      </c>
      <c r="G456" s="145" t="inlineStr">
        <is>
          <t>Healthcare</t>
        </is>
      </c>
      <c r="H456" s="146" t="inlineStr">
        <is>
          <t>Pharmaceuticals and Biotechnology</t>
        </is>
      </c>
      <c r="I456" s="147" t="inlineStr">
        <is>
          <t>Biotechnology</t>
        </is>
      </c>
      <c r="J456" s="148" t="inlineStr">
        <is>
          <t>Biotechnology*</t>
        </is>
      </c>
      <c r="K456" s="149" t="inlineStr">
        <is>
          <t>Life Sciences, Oncology</t>
        </is>
      </c>
      <c r="L456" s="150" t="inlineStr">
        <is>
          <t>Venture Capital-Backed</t>
        </is>
      </c>
      <c r="M456" s="151" t="n">
        <v>7.93</v>
      </c>
      <c r="N456" s="152" t="inlineStr">
        <is>
          <t>Pre-Clinical Trials</t>
        </is>
      </c>
      <c r="O456" s="153" t="inlineStr">
        <is>
          <t>Privately Held (backing)</t>
        </is>
      </c>
      <c r="P456" s="154" t="inlineStr">
        <is>
          <t>Venture Capital</t>
        </is>
      </c>
      <c r="Q456" s="155" t="inlineStr">
        <is>
          <t>www.tiltbio.com</t>
        </is>
      </c>
      <c r="R456" s="156" t="n">
        <v>7.0</v>
      </c>
      <c r="S456" s="157" t="inlineStr">
        <is>
          <t/>
        </is>
      </c>
      <c r="T456" s="158" t="inlineStr">
        <is>
          <t/>
        </is>
      </c>
      <c r="U456" s="159" t="n">
        <v>2013.0</v>
      </c>
      <c r="V456" s="160" t="inlineStr">
        <is>
          <t/>
        </is>
      </c>
      <c r="W456" s="161" t="inlineStr">
        <is>
          <t/>
        </is>
      </c>
      <c r="X456" s="162" t="inlineStr">
        <is>
          <t/>
        </is>
      </c>
      <c r="Y456" s="163" t="inlineStr">
        <is>
          <t/>
        </is>
      </c>
      <c r="Z456" s="164" t="inlineStr">
        <is>
          <t/>
        </is>
      </c>
      <c r="AA456" s="165" t="n">
        <v>-0.38587</v>
      </c>
      <c r="AB456" s="166" t="inlineStr">
        <is>
          <t/>
        </is>
      </c>
      <c r="AC456" s="167" t="n">
        <v>-0.38587</v>
      </c>
      <c r="AD456" s="168" t="inlineStr">
        <is>
          <t>FY 2015</t>
        </is>
      </c>
      <c r="AE456" s="169" t="inlineStr">
        <is>
          <t>46908-55P</t>
        </is>
      </c>
      <c r="AF456" s="170" t="inlineStr">
        <is>
          <t>Akseli Hemminki</t>
        </is>
      </c>
      <c r="AG456" s="171" t="inlineStr">
        <is>
          <t>Chief Executive Officer, Founder and Chairman</t>
        </is>
      </c>
      <c r="AH456" s="172" t="inlineStr">
        <is>
          <t>akseli@tiltbio.com</t>
        </is>
      </c>
      <c r="AI456" s="173" t="inlineStr">
        <is>
          <t/>
        </is>
      </c>
      <c r="AJ456" s="174" t="inlineStr">
        <is>
          <t>Helsinki, Finland</t>
        </is>
      </c>
      <c r="AK456" s="175" t="inlineStr">
        <is>
          <t>Haartmaninkatu 3</t>
        </is>
      </c>
      <c r="AL456" s="176" t="inlineStr">
        <is>
          <t>4th floor, C-wing</t>
        </is>
      </c>
      <c r="AM456" s="177" t="inlineStr">
        <is>
          <t>Helsinki</t>
        </is>
      </c>
      <c r="AN456" s="178" t="inlineStr">
        <is>
          <t/>
        </is>
      </c>
      <c r="AO456" s="179" t="inlineStr">
        <is>
          <t>00290</t>
        </is>
      </c>
      <c r="AP456" s="180" t="inlineStr">
        <is>
          <t>Finland</t>
        </is>
      </c>
      <c r="AQ456" s="181" t="inlineStr">
        <is>
          <t/>
        </is>
      </c>
      <c r="AR456" s="182" t="inlineStr">
        <is>
          <t/>
        </is>
      </c>
      <c r="AS456" s="183" t="inlineStr">
        <is>
          <t/>
        </is>
      </c>
      <c r="AT456" s="184" t="inlineStr">
        <is>
          <t>Europe</t>
        </is>
      </c>
      <c r="AU456" s="185" t="inlineStr">
        <is>
          <t>Northern Europe</t>
        </is>
      </c>
      <c r="AV456" s="186" t="inlineStr">
        <is>
          <t>The company raised EUR 4 million of seed funding through a combination of debt and equity on December 14, 2016. EUR 2.8 million of the equity portion of seed funding was raised by Lifeline Ventures and angel investors. A EUR 1.2 million loan was provided by Tekes. The company intends to use the funds to progress its lead candidate, TILT-123, into Phase I clinical trials. The company has secured almost EUR 10 million in total funding.</t>
        </is>
      </c>
      <c r="AW456" s="187" t="inlineStr">
        <is>
          <t>Business Angels, Horizon 2020, Keksintösäätiö, Lifeline Ventures, Tekes</t>
        </is>
      </c>
      <c r="AX456" s="188" t="n">
        <v>5.0</v>
      </c>
      <c r="AY456" s="189" t="inlineStr">
        <is>
          <t/>
        </is>
      </c>
      <c r="AZ456" s="190" t="inlineStr">
        <is>
          <t/>
        </is>
      </c>
      <c r="BA456" s="191" t="inlineStr">
        <is>
          <t/>
        </is>
      </c>
      <c r="BB456" s="192" t="inlineStr">
        <is>
          <t>Business Angels (www.business-angels.info), Keksintösäätiö (www.keksintosaatio.fi), Lifeline Ventures (www.lifelineventures.com), Tekes (www.tekes.fi)</t>
        </is>
      </c>
      <c r="BC456" s="193" t="inlineStr">
        <is>
          <t/>
        </is>
      </c>
      <c r="BD456" s="194" t="inlineStr">
        <is>
          <t/>
        </is>
      </c>
      <c r="BE456" s="195" t="inlineStr">
        <is>
          <t>Roschier Attorneys (Legal Advisor), Danske Bank (General Business Banking), EY (Auditor)</t>
        </is>
      </c>
      <c r="BF456" s="196" t="inlineStr">
        <is>
          <t>Tekes</t>
        </is>
      </c>
      <c r="BG456" s="197" t="n">
        <v>41487.0</v>
      </c>
      <c r="BH456" s="198" t="n">
        <v>0.9</v>
      </c>
      <c r="BI456" s="199" t="inlineStr">
        <is>
          <t>Actual</t>
        </is>
      </c>
      <c r="BJ456" s="200" t="inlineStr">
        <is>
          <t/>
        </is>
      </c>
      <c r="BK456" s="201" t="inlineStr">
        <is>
          <t/>
        </is>
      </c>
      <c r="BL456" s="202" t="inlineStr">
        <is>
          <t>Seed Round</t>
        </is>
      </c>
      <c r="BM456" s="203" t="inlineStr">
        <is>
          <t>Seed</t>
        </is>
      </c>
      <c r="BN456" s="204" t="inlineStr">
        <is>
          <t/>
        </is>
      </c>
      <c r="BO456" s="205" t="inlineStr">
        <is>
          <t>Venture Capital</t>
        </is>
      </c>
      <c r="BP456" s="206" t="inlineStr">
        <is>
          <t>Loan</t>
        </is>
      </c>
      <c r="BQ456" s="207" t="inlineStr">
        <is>
          <t/>
        </is>
      </c>
      <c r="BR456" s="208" t="inlineStr">
        <is>
          <t/>
        </is>
      </c>
      <c r="BS456" s="209" t="inlineStr">
        <is>
          <t>Completed</t>
        </is>
      </c>
      <c r="BT456" s="210" t="n">
        <v>42718.0</v>
      </c>
      <c r="BU456" s="211" t="n">
        <v>4.0</v>
      </c>
      <c r="BV456" s="212" t="inlineStr">
        <is>
          <t>Actual</t>
        </is>
      </c>
      <c r="BW456" s="213" t="inlineStr">
        <is>
          <t/>
        </is>
      </c>
      <c r="BX456" s="214" t="inlineStr">
        <is>
          <t/>
        </is>
      </c>
      <c r="BY456" s="215" t="inlineStr">
        <is>
          <t>Seed Round</t>
        </is>
      </c>
      <c r="BZ456" s="216" t="inlineStr">
        <is>
          <t>Seed</t>
        </is>
      </c>
      <c r="CA456" s="217" t="inlineStr">
        <is>
          <t/>
        </is>
      </c>
      <c r="CB456" s="218" t="inlineStr">
        <is>
          <t>Venture Capital</t>
        </is>
      </c>
      <c r="CC456" s="219" t="inlineStr">
        <is>
          <t>Loan</t>
        </is>
      </c>
      <c r="CD456" s="220" t="inlineStr">
        <is>
          <t/>
        </is>
      </c>
      <c r="CE456" s="221" t="inlineStr">
        <is>
          <t/>
        </is>
      </c>
      <c r="CF456" s="222" t="inlineStr">
        <is>
          <t>Completed</t>
        </is>
      </c>
      <c r="CG456" s="223" t="inlineStr">
        <is>
          <t>0,00%</t>
        </is>
      </c>
      <c r="CH456" s="224" t="inlineStr">
        <is>
          <t>23</t>
        </is>
      </c>
      <c r="CI456" s="225" t="inlineStr">
        <is>
          <t>0,00%</t>
        </is>
      </c>
      <c r="CJ456" s="226" t="inlineStr">
        <is>
          <t>0,00%</t>
        </is>
      </c>
      <c r="CK456" s="227" t="inlineStr">
        <is>
          <t>0,00%</t>
        </is>
      </c>
      <c r="CL456" s="228" t="inlineStr">
        <is>
          <t>18</t>
        </is>
      </c>
      <c r="CM456" s="229" t="inlineStr">
        <is>
          <t>0,00%</t>
        </is>
      </c>
      <c r="CN456" s="230" t="inlineStr">
        <is>
          <t>19</t>
        </is>
      </c>
      <c r="CO456" s="231" t="inlineStr">
        <is>
          <t>0,00%</t>
        </is>
      </c>
      <c r="CP456" s="232" t="inlineStr">
        <is>
          <t>26</t>
        </is>
      </c>
      <c r="CQ456" s="233" t="inlineStr">
        <is>
          <t>0,00%</t>
        </is>
      </c>
      <c r="CR456" s="234" t="inlineStr">
        <is>
          <t>13</t>
        </is>
      </c>
      <c r="CS456" s="235" t="inlineStr">
        <is>
          <t>0,00%</t>
        </is>
      </c>
      <c r="CT456" s="236" t="inlineStr">
        <is>
          <t>18</t>
        </is>
      </c>
      <c r="CU456" s="237" t="inlineStr">
        <is>
          <t/>
        </is>
      </c>
      <c r="CV456" s="238" t="inlineStr">
        <is>
          <t/>
        </is>
      </c>
      <c r="CW456" s="239" t="inlineStr">
        <is>
          <t>0,23x</t>
        </is>
      </c>
      <c r="CX456" s="240" t="inlineStr">
        <is>
          <t>19</t>
        </is>
      </c>
      <c r="CY456" s="241" t="inlineStr">
        <is>
          <t>0,00x</t>
        </is>
      </c>
      <c r="CZ456" s="242" t="inlineStr">
        <is>
          <t>1,19%</t>
        </is>
      </c>
      <c r="DA456" s="243" t="inlineStr">
        <is>
          <t>0,38x</t>
        </is>
      </c>
      <c r="DB456" s="244" t="inlineStr">
        <is>
          <t>31</t>
        </is>
      </c>
      <c r="DC456" s="245" t="inlineStr">
        <is>
          <t>0,08x</t>
        </is>
      </c>
      <c r="DD456" s="246" t="inlineStr">
        <is>
          <t>12</t>
        </is>
      </c>
      <c r="DE456" s="247" t="inlineStr">
        <is>
          <t>0,49x</t>
        </is>
      </c>
      <c r="DF456" s="248" t="inlineStr">
        <is>
          <t>36</t>
        </is>
      </c>
      <c r="DG456" s="249" t="inlineStr">
        <is>
          <t>0,28x</t>
        </is>
      </c>
      <c r="DH456" s="250" t="inlineStr">
        <is>
          <t>25</t>
        </is>
      </c>
      <c r="DI456" s="251" t="inlineStr">
        <is>
          <t>0,08x</t>
        </is>
      </c>
      <c r="DJ456" s="252" t="inlineStr">
        <is>
          <t>12</t>
        </is>
      </c>
      <c r="DK456" s="253" t="inlineStr">
        <is>
          <t/>
        </is>
      </c>
      <c r="DL456" s="254" t="inlineStr">
        <is>
          <t/>
        </is>
      </c>
      <c r="DM456" s="255" t="inlineStr">
        <is>
          <t>296</t>
        </is>
      </c>
      <c r="DN456" s="256" t="inlineStr">
        <is>
          <t>14</t>
        </is>
      </c>
      <c r="DO456" s="257" t="inlineStr">
        <is>
          <t>4,96%</t>
        </is>
      </c>
      <c r="DP456" s="258" t="inlineStr">
        <is>
          <t>65</t>
        </is>
      </c>
      <c r="DQ456" s="259" t="inlineStr">
        <is>
          <t>0</t>
        </is>
      </c>
      <c r="DR456" s="260" t="inlineStr">
        <is>
          <t>0,00%</t>
        </is>
      </c>
      <c r="DS456" s="261" t="inlineStr">
        <is>
          <t>10</t>
        </is>
      </c>
      <c r="DT456" s="262" t="inlineStr">
        <is>
          <t>0</t>
        </is>
      </c>
      <c r="DU456" s="263" t="inlineStr">
        <is>
          <t>0,00%</t>
        </is>
      </c>
      <c r="DV456" s="264" t="inlineStr">
        <is>
          <t/>
        </is>
      </c>
      <c r="DW456" s="265" t="inlineStr">
        <is>
          <t/>
        </is>
      </c>
      <c r="DX456" s="266" t="inlineStr">
        <is>
          <t/>
        </is>
      </c>
      <c r="DY456" s="267" t="inlineStr">
        <is>
          <t>PitchBook Research</t>
        </is>
      </c>
      <c r="DZ456" s="786">
        <f>HYPERLINK("https://my.pitchbook.com?c=114396-22", "View company online")</f>
      </c>
    </row>
    <row r="457">
      <c r="A457" s="9" t="inlineStr">
        <is>
          <t>90916-12</t>
        </is>
      </c>
      <c r="B457" s="10" t="inlineStr">
        <is>
          <t>Tink</t>
        </is>
      </c>
      <c r="C457" s="11" t="inlineStr">
        <is>
          <t/>
        </is>
      </c>
      <c r="D457" s="12" t="inlineStr">
        <is>
          <t/>
        </is>
      </c>
      <c r="E457" s="13" t="inlineStr">
        <is>
          <t>90916-12</t>
        </is>
      </c>
      <c r="F457" s="14" t="inlineStr">
        <is>
          <t>Developer of a personal finance management application. The company's application enables users to keep track of their personal finances. It automatically collects, categorizes and analyzes finances across all banks, credit cards and other financial accounts.</t>
        </is>
      </c>
      <c r="G457" s="15" t="inlineStr">
        <is>
          <t>Information Technology</t>
        </is>
      </c>
      <c r="H457" s="16" t="inlineStr">
        <is>
          <t>Software</t>
        </is>
      </c>
      <c r="I457" s="17" t="inlineStr">
        <is>
          <t>Financial Software</t>
        </is>
      </c>
      <c r="J457" s="18" t="inlineStr">
        <is>
          <t>Financial Software*; Other Services (B2C Non-Financial)</t>
        </is>
      </c>
      <c r="K457" s="19" t="inlineStr">
        <is>
          <t>FinTech, Mobile</t>
        </is>
      </c>
      <c r="L457" s="20" t="inlineStr">
        <is>
          <t>Venture Capital-Backed</t>
        </is>
      </c>
      <c r="M457" s="21" t="n">
        <v>12.72</v>
      </c>
      <c r="N457" s="22" t="inlineStr">
        <is>
          <t>Generating Revenue</t>
        </is>
      </c>
      <c r="O457" s="23" t="inlineStr">
        <is>
          <t>Privately Held (backing)</t>
        </is>
      </c>
      <c r="P457" s="24" t="inlineStr">
        <is>
          <t>Venture Capital</t>
        </is>
      </c>
      <c r="Q457" s="25" t="inlineStr">
        <is>
          <t>www.tink.se</t>
        </is>
      </c>
      <c r="R457" s="26" t="n">
        <v>24.0</v>
      </c>
      <c r="S457" s="27" t="inlineStr">
        <is>
          <t/>
        </is>
      </c>
      <c r="T457" s="28" t="inlineStr">
        <is>
          <t/>
        </is>
      </c>
      <c r="U457" s="29" t="n">
        <v>2012.0</v>
      </c>
      <c r="V457" s="30" t="inlineStr">
        <is>
          <t/>
        </is>
      </c>
      <c r="W457" s="31" t="inlineStr">
        <is>
          <t/>
        </is>
      </c>
      <c r="X457" s="32" t="inlineStr">
        <is>
          <t/>
        </is>
      </c>
      <c r="Y457" s="33" t="n">
        <v>0.04059</v>
      </c>
      <c r="Z457" s="34" t="inlineStr">
        <is>
          <t/>
        </is>
      </c>
      <c r="AA457" s="35" t="inlineStr">
        <is>
          <t/>
        </is>
      </c>
      <c r="AB457" s="36" t="inlineStr">
        <is>
          <t/>
        </is>
      </c>
      <c r="AC457" s="37" t="n">
        <v>-1.25003</v>
      </c>
      <c r="AD457" s="38" t="inlineStr">
        <is>
          <t>FY 2014</t>
        </is>
      </c>
      <c r="AE457" s="39" t="inlineStr">
        <is>
          <t>78787-54P</t>
        </is>
      </c>
      <c r="AF457" s="40" t="inlineStr">
        <is>
          <t>Daniel Kjellen</t>
        </is>
      </c>
      <c r="AG457" s="41" t="inlineStr">
        <is>
          <t>Co-Founder &amp; Chief Executive Officer</t>
        </is>
      </c>
      <c r="AH457" s="42" t="inlineStr">
        <is>
          <t>daniel.kjellen@tinkapp.com</t>
        </is>
      </c>
      <c r="AI457" s="43" t="inlineStr">
        <is>
          <t>+46 (0)7 658 66 434</t>
        </is>
      </c>
      <c r="AJ457" s="44" t="inlineStr">
        <is>
          <t>Stockholm, Sweden</t>
        </is>
      </c>
      <c r="AK457" s="45" t="inlineStr">
        <is>
          <t>Drottninggatan 94</t>
        </is>
      </c>
      <c r="AL457" s="46" t="inlineStr">
        <is>
          <t/>
        </is>
      </c>
      <c r="AM457" s="47" t="inlineStr">
        <is>
          <t>Stockholm</t>
        </is>
      </c>
      <c r="AN457" s="48" t="inlineStr">
        <is>
          <t/>
        </is>
      </c>
      <c r="AO457" s="49" t="inlineStr">
        <is>
          <t>111 36</t>
        </is>
      </c>
      <c r="AP457" s="50" t="inlineStr">
        <is>
          <t>Sweden</t>
        </is>
      </c>
      <c r="AQ457" s="51" t="inlineStr">
        <is>
          <t>+46 (0)8 509 089 00</t>
        </is>
      </c>
      <c r="AR457" s="52" t="inlineStr">
        <is>
          <t/>
        </is>
      </c>
      <c r="AS457" s="53" t="inlineStr">
        <is>
          <t>hello@tink.se</t>
        </is>
      </c>
      <c r="AT457" s="54" t="inlineStr">
        <is>
          <t>Europe</t>
        </is>
      </c>
      <c r="AU457" s="55" t="inlineStr">
        <is>
          <t>Northern Europe</t>
        </is>
      </c>
      <c r="AV457" s="56" t="inlineStr">
        <is>
          <t>The company raised $10.2 million of Series B venture funding in a deal co-led by Creades and SEB Venture Capital on May 19, 2016. Sunstone Capital, ABN Amro Bank and Other undisclosed investors also participated in the round. The funding will be used to help the company expand internationally.</t>
        </is>
      </c>
      <c r="AW457" s="57" t="inlineStr">
        <is>
          <t>ABN AMRO Bank, Creades, Indrek Rahumaa, Nicklas Storakers, Skandinaviska Enskilda Banken, Sunstone Capital, Sven Hagströmer</t>
        </is>
      </c>
      <c r="AX457" s="58" t="n">
        <v>7.0</v>
      </c>
      <c r="AY457" s="59" t="inlineStr">
        <is>
          <t/>
        </is>
      </c>
      <c r="AZ457" s="60" t="inlineStr">
        <is>
          <t/>
        </is>
      </c>
      <c r="BA457" s="61" t="inlineStr">
        <is>
          <t/>
        </is>
      </c>
      <c r="BB457" s="62" t="inlineStr">
        <is>
          <t>ABN AMRO Bank (www.abnamro.com), Creades (www.creades.se), Skandinaviska Enskilda Banken (www.seb.no), Sunstone Capital (www.sunstone.eu)</t>
        </is>
      </c>
      <c r="BC457" s="63" t="inlineStr">
        <is>
          <t/>
        </is>
      </c>
      <c r="BD457" s="64" t="inlineStr">
        <is>
          <t/>
        </is>
      </c>
      <c r="BE457" s="65" t="inlineStr">
        <is>
          <t/>
        </is>
      </c>
      <c r="BF457" s="66" t="inlineStr">
        <is>
          <t/>
        </is>
      </c>
      <c r="BG457" s="67" t="n">
        <v>41275.0</v>
      </c>
      <c r="BH457" s="68" t="n">
        <v>0.6</v>
      </c>
      <c r="BI457" s="69" t="inlineStr">
        <is>
          <t>Actual</t>
        </is>
      </c>
      <c r="BJ457" s="70" t="inlineStr">
        <is>
          <t/>
        </is>
      </c>
      <c r="BK457" s="71" t="inlineStr">
        <is>
          <t/>
        </is>
      </c>
      <c r="BL457" s="72" t="inlineStr">
        <is>
          <t>Seed Round</t>
        </is>
      </c>
      <c r="BM457" s="73" t="inlineStr">
        <is>
          <t>Seed</t>
        </is>
      </c>
      <c r="BN457" s="74" t="inlineStr">
        <is>
          <t/>
        </is>
      </c>
      <c r="BO457" s="75" t="inlineStr">
        <is>
          <t>Venture Capital</t>
        </is>
      </c>
      <c r="BP457" s="76" t="inlineStr">
        <is>
          <t/>
        </is>
      </c>
      <c r="BQ457" s="77" t="inlineStr">
        <is>
          <t/>
        </is>
      </c>
      <c r="BR457" s="78" t="inlineStr">
        <is>
          <t/>
        </is>
      </c>
      <c r="BS457" s="79" t="inlineStr">
        <is>
          <t>Completed</t>
        </is>
      </c>
      <c r="BT457" s="80" t="n">
        <v>42509.0</v>
      </c>
      <c r="BU457" s="81" t="n">
        <v>9.02</v>
      </c>
      <c r="BV457" s="82" t="inlineStr">
        <is>
          <t>Actual</t>
        </is>
      </c>
      <c r="BW457" s="83" t="inlineStr">
        <is>
          <t/>
        </is>
      </c>
      <c r="BX457" s="84" t="inlineStr">
        <is>
          <t/>
        </is>
      </c>
      <c r="BY457" s="85" t="inlineStr">
        <is>
          <t>Early Stage VC</t>
        </is>
      </c>
      <c r="BZ457" s="86" t="inlineStr">
        <is>
          <t>Series B</t>
        </is>
      </c>
      <c r="CA457" s="87" t="inlineStr">
        <is>
          <t/>
        </is>
      </c>
      <c r="CB457" s="88" t="inlineStr">
        <is>
          <t>Venture Capital</t>
        </is>
      </c>
      <c r="CC457" s="89" t="inlineStr">
        <is>
          <t/>
        </is>
      </c>
      <c r="CD457" s="90" t="inlineStr">
        <is>
          <t/>
        </is>
      </c>
      <c r="CE457" s="91" t="inlineStr">
        <is>
          <t/>
        </is>
      </c>
      <c r="CF457" s="92" t="inlineStr">
        <is>
          <t>Completed</t>
        </is>
      </c>
      <c r="CG457" s="93" t="inlineStr">
        <is>
          <t>-0,07%</t>
        </is>
      </c>
      <c r="CH457" s="94" t="inlineStr">
        <is>
          <t>15</t>
        </is>
      </c>
      <c r="CI457" s="95" t="inlineStr">
        <is>
          <t>-0,23%</t>
        </is>
      </c>
      <c r="CJ457" s="96" t="inlineStr">
        <is>
          <t>-145,95%</t>
        </is>
      </c>
      <c r="CK457" s="97" t="inlineStr">
        <is>
          <t>-0,52%</t>
        </is>
      </c>
      <c r="CL457" s="98" t="inlineStr">
        <is>
          <t>12</t>
        </is>
      </c>
      <c r="CM457" s="99" t="inlineStr">
        <is>
          <t>0,37%</t>
        </is>
      </c>
      <c r="CN457" s="100" t="inlineStr">
        <is>
          <t>85</t>
        </is>
      </c>
      <c r="CO457" s="101" t="inlineStr">
        <is>
          <t>-1,76%</t>
        </is>
      </c>
      <c r="CP457" s="102" t="inlineStr">
        <is>
          <t>16</t>
        </is>
      </c>
      <c r="CQ457" s="103" t="inlineStr">
        <is>
          <t>0,72%</t>
        </is>
      </c>
      <c r="CR457" s="104" t="inlineStr">
        <is>
          <t>87</t>
        </is>
      </c>
      <c r="CS457" s="105" t="inlineStr">
        <is>
          <t>0,54%</t>
        </is>
      </c>
      <c r="CT457" s="106" t="inlineStr">
        <is>
          <t>88</t>
        </is>
      </c>
      <c r="CU457" s="107" t="inlineStr">
        <is>
          <t>0,21%</t>
        </is>
      </c>
      <c r="CV457" s="108" t="inlineStr">
        <is>
          <t>79</t>
        </is>
      </c>
      <c r="CW457" s="109" t="inlineStr">
        <is>
          <t>8,79x</t>
        </is>
      </c>
      <c r="CX457" s="110" t="inlineStr">
        <is>
          <t>85</t>
        </is>
      </c>
      <c r="CY457" s="111" t="inlineStr">
        <is>
          <t>-0,01x</t>
        </is>
      </c>
      <c r="CZ457" s="112" t="inlineStr">
        <is>
          <t>-0,13%</t>
        </is>
      </c>
      <c r="DA457" s="113" t="inlineStr">
        <is>
          <t>9,66x</t>
        </is>
      </c>
      <c r="DB457" s="114" t="inlineStr">
        <is>
          <t>87</t>
        </is>
      </c>
      <c r="DC457" s="115" t="inlineStr">
        <is>
          <t>7,92x</t>
        </is>
      </c>
      <c r="DD457" s="116" t="inlineStr">
        <is>
          <t>82</t>
        </is>
      </c>
      <c r="DE457" s="117" t="inlineStr">
        <is>
          <t>13,59x</t>
        </is>
      </c>
      <c r="DF457" s="118" t="inlineStr">
        <is>
          <t>86</t>
        </is>
      </c>
      <c r="DG457" s="119" t="inlineStr">
        <is>
          <t>5,72x</t>
        </is>
      </c>
      <c r="DH457" s="120" t="inlineStr">
        <is>
          <t>80</t>
        </is>
      </c>
      <c r="DI457" s="121" t="inlineStr">
        <is>
          <t>9,21x</t>
        </is>
      </c>
      <c r="DJ457" s="122" t="inlineStr">
        <is>
          <t>81</t>
        </is>
      </c>
      <c r="DK457" s="123" t="inlineStr">
        <is>
          <t>6,64x</t>
        </is>
      </c>
      <c r="DL457" s="124" t="inlineStr">
        <is>
          <t>82</t>
        </is>
      </c>
      <c r="DM457" s="125" t="inlineStr">
        <is>
          <t>8.547</t>
        </is>
      </c>
      <c r="DN457" s="126" t="inlineStr">
        <is>
          <t>-572</t>
        </is>
      </c>
      <c r="DO457" s="127" t="inlineStr">
        <is>
          <t>-6,27%</t>
        </is>
      </c>
      <c r="DP457" s="128" t="inlineStr">
        <is>
          <t>7.352</t>
        </is>
      </c>
      <c r="DQ457" s="129" t="inlineStr">
        <is>
          <t>25</t>
        </is>
      </c>
      <c r="DR457" s="130" t="inlineStr">
        <is>
          <t>0,34%</t>
        </is>
      </c>
      <c r="DS457" s="131" t="inlineStr">
        <is>
          <t>215</t>
        </is>
      </c>
      <c r="DT457" s="132" t="inlineStr">
        <is>
          <t>-14</t>
        </is>
      </c>
      <c r="DU457" s="133" t="inlineStr">
        <is>
          <t>-6,11%</t>
        </is>
      </c>
      <c r="DV457" s="134" t="inlineStr">
        <is>
          <t>2.274</t>
        </is>
      </c>
      <c r="DW457" s="135" t="inlineStr">
        <is>
          <t>5</t>
        </is>
      </c>
      <c r="DX457" s="136" t="inlineStr">
        <is>
          <t>0,22%</t>
        </is>
      </c>
      <c r="DY457" s="137" t="inlineStr">
        <is>
          <t>PitchBook Research</t>
        </is>
      </c>
      <c r="DZ457" s="785">
        <f>HYPERLINK("https://my.pitchbook.com?c=90916-12", "View company online")</f>
      </c>
    </row>
    <row r="458">
      <c r="A458" s="139" t="inlineStr">
        <is>
          <t>60696-55</t>
        </is>
      </c>
      <c r="B458" s="140" t="inlineStr">
        <is>
          <t>Tiqets</t>
        </is>
      </c>
      <c r="C458" s="141" t="inlineStr">
        <is>
          <t/>
        </is>
      </c>
      <c r="D458" s="142" t="inlineStr">
        <is>
          <t/>
        </is>
      </c>
      <c r="E458" s="143" t="inlineStr">
        <is>
          <t>60696-55</t>
        </is>
      </c>
      <c r="F458" s="144" t="inlineStr">
        <is>
          <t>Developer of a ticketing platform designed to revolutionize the way visitors buy tickets for culture and entertainment. The company's mobile ticketing platform, available in seven languages, is used by visitors to find, book and use their phones as admission tickets for museums, shows and other attractions, both at home and abroad, without having to print tickets or wait at the entrance, enabling venue owners and organizers to reach new and difficult-to-target visitors, and deliver a hassle-free experience with tailor-made features.</t>
        </is>
      </c>
      <c r="G458" s="145" t="inlineStr">
        <is>
          <t>Information Technology</t>
        </is>
      </c>
      <c r="H458" s="146" t="inlineStr">
        <is>
          <t>Software</t>
        </is>
      </c>
      <c r="I458" s="147" t="inlineStr">
        <is>
          <t>Social/Platform Software</t>
        </is>
      </c>
      <c r="J458" s="148" t="inlineStr">
        <is>
          <t>Social/Platform Software*; Movies, Music and Entertainment</t>
        </is>
      </c>
      <c r="K458" s="149" t="inlineStr">
        <is>
          <t>Mobile</t>
        </is>
      </c>
      <c r="L458" s="150" t="inlineStr">
        <is>
          <t>Venture Capital-Backed</t>
        </is>
      </c>
      <c r="M458" s="151" t="n">
        <v>20.3</v>
      </c>
      <c r="N458" s="152" t="inlineStr">
        <is>
          <t>Generating Revenue</t>
        </is>
      </c>
      <c r="O458" s="153" t="inlineStr">
        <is>
          <t>Privately Held (backing)</t>
        </is>
      </c>
      <c r="P458" s="154" t="inlineStr">
        <is>
          <t>Venture Capital</t>
        </is>
      </c>
      <c r="Q458" s="155" t="inlineStr">
        <is>
          <t>www.tiqets.com</t>
        </is>
      </c>
      <c r="R458" s="156" t="n">
        <v>75.0</v>
      </c>
      <c r="S458" s="157" t="inlineStr">
        <is>
          <t/>
        </is>
      </c>
      <c r="T458" s="158" t="inlineStr">
        <is>
          <t/>
        </is>
      </c>
      <c r="U458" s="159" t="n">
        <v>2013.0</v>
      </c>
      <c r="V458" s="160" t="inlineStr">
        <is>
          <t/>
        </is>
      </c>
      <c r="W458" s="161" t="inlineStr">
        <is>
          <t/>
        </is>
      </c>
      <c r="X458" s="162" t="inlineStr">
        <is>
          <t/>
        </is>
      </c>
      <c r="Y458" s="163" t="n">
        <v>150.00105</v>
      </c>
      <c r="Z458" s="164" t="inlineStr">
        <is>
          <t/>
        </is>
      </c>
      <c r="AA458" s="165" t="inlineStr">
        <is>
          <t/>
        </is>
      </c>
      <c r="AB458" s="166" t="inlineStr">
        <is>
          <t/>
        </is>
      </c>
      <c r="AC458" s="167" t="inlineStr">
        <is>
          <t/>
        </is>
      </c>
      <c r="AD458" s="168" t="inlineStr">
        <is>
          <t>FY 2015</t>
        </is>
      </c>
      <c r="AE458" s="169" t="inlineStr">
        <is>
          <t>98650-00P</t>
        </is>
      </c>
      <c r="AF458" s="170" t="inlineStr">
        <is>
          <t>Luuc Elzinga</t>
        </is>
      </c>
      <c r="AG458" s="171" t="inlineStr">
        <is>
          <t>Co-Founder &amp; Chief Executive Officer</t>
        </is>
      </c>
      <c r="AH458" s="172" t="inlineStr">
        <is>
          <t>luuc@tiqets.com</t>
        </is>
      </c>
      <c r="AI458" s="173" t="inlineStr">
        <is>
          <t>+31 (0)85 888 4442</t>
        </is>
      </c>
      <c r="AJ458" s="174" t="inlineStr">
        <is>
          <t>Amsterdam, Netherlands</t>
        </is>
      </c>
      <c r="AK458" s="175" t="inlineStr">
        <is>
          <t>James Wattstraat 100</t>
        </is>
      </c>
      <c r="AL458" s="176" t="inlineStr">
        <is>
          <t/>
        </is>
      </c>
      <c r="AM458" s="177" t="inlineStr">
        <is>
          <t>Amsterdam</t>
        </is>
      </c>
      <c r="AN458" s="178" t="inlineStr">
        <is>
          <t/>
        </is>
      </c>
      <c r="AO458" s="179" t="inlineStr">
        <is>
          <t>1097</t>
        </is>
      </c>
      <c r="AP458" s="180" t="inlineStr">
        <is>
          <t>Netherlands</t>
        </is>
      </c>
      <c r="AQ458" s="181" t="inlineStr">
        <is>
          <t>+31 (0)85 888 4442</t>
        </is>
      </c>
      <c r="AR458" s="182" t="inlineStr">
        <is>
          <t/>
        </is>
      </c>
      <c r="AS458" s="183" t="inlineStr">
        <is>
          <t>info@tiqets.com</t>
        </is>
      </c>
      <c r="AT458" s="184" t="inlineStr">
        <is>
          <t>Europe</t>
        </is>
      </c>
      <c r="AU458" s="185" t="inlineStr">
        <is>
          <t>Western Europe</t>
        </is>
      </c>
      <c r="AV458" s="186" t="inlineStr">
        <is>
          <t>The company raised $17 million of Series B venture funding in a deal led by HPE Growth Capital on May 17, 2017. Other undisclosed investors also participated in the round. The company intends to use the funds to scale globally and strengthen their leading position in making culture and entertainment more accessible.</t>
        </is>
      </c>
      <c r="AW458" s="187" t="inlineStr">
        <is>
          <t>AccelerAsia, Capital Mills, HPE Growth Capital, Investion, Startupbootcamp, WoodWing Ventures</t>
        </is>
      </c>
      <c r="AX458" s="188" t="n">
        <v>6.0</v>
      </c>
      <c r="AY458" s="189" t="inlineStr">
        <is>
          <t/>
        </is>
      </c>
      <c r="AZ458" s="190" t="inlineStr">
        <is>
          <t/>
        </is>
      </c>
      <c r="BA458" s="191" t="inlineStr">
        <is>
          <t/>
        </is>
      </c>
      <c r="BB458" s="192" t="inlineStr">
        <is>
          <t>AccelerAsia (www.accelerasia.com), Capital Mills (www.capitalmills.nl), HPE Growth Capital (www.hpegrowthcapital.com), Investion (investion.net), Startupbootcamp (www.startupbootcamp.org), WoodWing Ventures (www.woodwingventures.com)</t>
        </is>
      </c>
      <c r="BC458" s="193" t="inlineStr">
        <is>
          <t/>
        </is>
      </c>
      <c r="BD458" s="194" t="inlineStr">
        <is>
          <t/>
        </is>
      </c>
      <c r="BE458" s="195" t="inlineStr">
        <is>
          <t>Biesheuvel Jansen advocaten (Legal Advisor)</t>
        </is>
      </c>
      <c r="BF458" s="196" t="inlineStr">
        <is>
          <t>Biesheuvel Jansen advocaten (Legal Advisor)</t>
        </is>
      </c>
      <c r="BG458" s="197" t="n">
        <v>41619.0</v>
      </c>
      <c r="BH458" s="198" t="n">
        <v>0.33</v>
      </c>
      <c r="BI458" s="199" t="inlineStr">
        <is>
          <t>Actual</t>
        </is>
      </c>
      <c r="BJ458" s="200" t="inlineStr">
        <is>
          <t/>
        </is>
      </c>
      <c r="BK458" s="201" t="inlineStr">
        <is>
          <t/>
        </is>
      </c>
      <c r="BL458" s="202" t="inlineStr">
        <is>
          <t>Seed Round</t>
        </is>
      </c>
      <c r="BM458" s="203" t="inlineStr">
        <is>
          <t>Seed</t>
        </is>
      </c>
      <c r="BN458" s="204" t="inlineStr">
        <is>
          <t/>
        </is>
      </c>
      <c r="BO458" s="205" t="inlineStr">
        <is>
          <t>Venture Capital</t>
        </is>
      </c>
      <c r="BP458" s="206" t="inlineStr">
        <is>
          <t/>
        </is>
      </c>
      <c r="BQ458" s="207" t="inlineStr">
        <is>
          <t/>
        </is>
      </c>
      <c r="BR458" s="208" t="inlineStr">
        <is>
          <t/>
        </is>
      </c>
      <c r="BS458" s="209" t="inlineStr">
        <is>
          <t>Completed</t>
        </is>
      </c>
      <c r="BT458" s="210" t="n">
        <v>42872.0</v>
      </c>
      <c r="BU458" s="211" t="n">
        <v>15.39</v>
      </c>
      <c r="BV458" s="212" t="inlineStr">
        <is>
          <t>Actual</t>
        </is>
      </c>
      <c r="BW458" s="213" t="inlineStr">
        <is>
          <t/>
        </is>
      </c>
      <c r="BX458" s="214" t="inlineStr">
        <is>
          <t/>
        </is>
      </c>
      <c r="BY458" s="215" t="inlineStr">
        <is>
          <t>Early Stage VC</t>
        </is>
      </c>
      <c r="BZ458" s="216" t="inlineStr">
        <is>
          <t>Series B</t>
        </is>
      </c>
      <c r="CA458" s="217" t="inlineStr">
        <is>
          <t/>
        </is>
      </c>
      <c r="CB458" s="218" t="inlineStr">
        <is>
          <t>Venture Capital</t>
        </is>
      </c>
      <c r="CC458" s="219" t="inlineStr">
        <is>
          <t/>
        </is>
      </c>
      <c r="CD458" s="220" t="inlineStr">
        <is>
          <t/>
        </is>
      </c>
      <c r="CE458" s="221" t="inlineStr">
        <is>
          <t/>
        </is>
      </c>
      <c r="CF458" s="222" t="inlineStr">
        <is>
          <t>Completed</t>
        </is>
      </c>
      <c r="CG458" s="223" t="inlineStr">
        <is>
          <t>1,90%</t>
        </is>
      </c>
      <c r="CH458" s="224" t="inlineStr">
        <is>
          <t>93</t>
        </is>
      </c>
      <c r="CI458" s="225" t="inlineStr">
        <is>
          <t>-0,03%</t>
        </is>
      </c>
      <c r="CJ458" s="226" t="inlineStr">
        <is>
          <t>-1,80%</t>
        </is>
      </c>
      <c r="CK458" s="227" t="inlineStr">
        <is>
          <t>2,52%</t>
        </is>
      </c>
      <c r="CL458" s="228" t="inlineStr">
        <is>
          <t>92</t>
        </is>
      </c>
      <c r="CM458" s="229" t="inlineStr">
        <is>
          <t>1,28%</t>
        </is>
      </c>
      <c r="CN458" s="230" t="inlineStr">
        <is>
          <t>97</t>
        </is>
      </c>
      <c r="CO458" s="231" t="inlineStr">
        <is>
          <t>3,37%</t>
        </is>
      </c>
      <c r="CP458" s="232" t="inlineStr">
        <is>
          <t>93</t>
        </is>
      </c>
      <c r="CQ458" s="233" t="inlineStr">
        <is>
          <t>1,67%</t>
        </is>
      </c>
      <c r="CR458" s="234" t="inlineStr">
        <is>
          <t>90</t>
        </is>
      </c>
      <c r="CS458" s="235" t="inlineStr">
        <is>
          <t>2,22%</t>
        </is>
      </c>
      <c r="CT458" s="236" t="inlineStr">
        <is>
          <t>98</t>
        </is>
      </c>
      <c r="CU458" s="237" t="inlineStr">
        <is>
          <t>0,33%</t>
        </is>
      </c>
      <c r="CV458" s="238" t="inlineStr">
        <is>
          <t>86</t>
        </is>
      </c>
      <c r="CW458" s="239" t="inlineStr">
        <is>
          <t>119,01x</t>
        </is>
      </c>
      <c r="CX458" s="240" t="inlineStr">
        <is>
          <t>98</t>
        </is>
      </c>
      <c r="CY458" s="241" t="inlineStr">
        <is>
          <t>0,31x</t>
        </is>
      </c>
      <c r="CZ458" s="242" t="inlineStr">
        <is>
          <t>0,26%</t>
        </is>
      </c>
      <c r="DA458" s="243" t="inlineStr">
        <is>
          <t>231,97x</t>
        </is>
      </c>
      <c r="DB458" s="244" t="inlineStr">
        <is>
          <t>99</t>
        </is>
      </c>
      <c r="DC458" s="245" t="inlineStr">
        <is>
          <t>6,05x</t>
        </is>
      </c>
      <c r="DD458" s="246" t="inlineStr">
        <is>
          <t>78</t>
        </is>
      </c>
      <c r="DE458" s="247" t="inlineStr">
        <is>
          <t>443,48x</t>
        </is>
      </c>
      <c r="DF458" s="248" t="inlineStr">
        <is>
          <t>99</t>
        </is>
      </c>
      <c r="DG458" s="249" t="inlineStr">
        <is>
          <t>20,47x</t>
        </is>
      </c>
      <c r="DH458" s="250" t="inlineStr">
        <is>
          <t>93</t>
        </is>
      </c>
      <c r="DI458" s="251" t="inlineStr">
        <is>
          <t>10,44x</t>
        </is>
      </c>
      <c r="DJ458" s="252" t="inlineStr">
        <is>
          <t>82</t>
        </is>
      </c>
      <c r="DK458" s="253" t="inlineStr">
        <is>
          <t>1,66x</t>
        </is>
      </c>
      <c r="DL458" s="254" t="inlineStr">
        <is>
          <t>60</t>
        </is>
      </c>
      <c r="DM458" s="255" t="inlineStr">
        <is>
          <t>272.089</t>
        </is>
      </c>
      <c r="DN458" s="256" t="inlineStr">
        <is>
          <t>1.944</t>
        </is>
      </c>
      <c r="DO458" s="257" t="inlineStr">
        <is>
          <t>0,72%</t>
        </is>
      </c>
      <c r="DP458" s="258" t="inlineStr">
        <is>
          <t>8.283</t>
        </is>
      </c>
      <c r="DQ458" s="259" t="inlineStr">
        <is>
          <t>175</t>
        </is>
      </c>
      <c r="DR458" s="260" t="inlineStr">
        <is>
          <t>2,16%</t>
        </is>
      </c>
      <c r="DS458" s="261" t="inlineStr">
        <is>
          <t>733</t>
        </is>
      </c>
      <c r="DT458" s="262" t="inlineStr">
        <is>
          <t>11</t>
        </is>
      </c>
      <c r="DU458" s="263" t="inlineStr">
        <is>
          <t>1,52%</t>
        </is>
      </c>
      <c r="DV458" s="264" t="inlineStr">
        <is>
          <t>571</t>
        </is>
      </c>
      <c r="DW458" s="265" t="inlineStr">
        <is>
          <t>-1</t>
        </is>
      </c>
      <c r="DX458" s="266" t="inlineStr">
        <is>
          <t>-0,17%</t>
        </is>
      </c>
      <c r="DY458" s="267" t="inlineStr">
        <is>
          <t>PitchBook Research</t>
        </is>
      </c>
      <c r="DZ458" s="786">
        <f>HYPERLINK("https://my.pitchbook.com?c=60696-55", "View company online")</f>
      </c>
    </row>
    <row r="459">
      <c r="A459" s="9" t="inlineStr">
        <is>
          <t>148241-53</t>
        </is>
      </c>
      <c r="B459" s="10" t="inlineStr">
        <is>
          <t>ToBox</t>
        </is>
      </c>
      <c r="C459" s="11" t="inlineStr">
        <is>
          <t/>
        </is>
      </c>
      <c r="D459" s="12" t="inlineStr">
        <is>
          <t/>
        </is>
      </c>
      <c r="E459" s="13" t="inlineStr">
        <is>
          <t>148241-53</t>
        </is>
      </c>
      <c r="F459" s="14" t="inlineStr">
        <is>
          <t>Provider of an online shopping platform designed to present customers a wide choice of goods with a good combination of price and quality. The company's online shopping platform helps users to find and buy clothes, apparel, accessories and other products and unites the stores of the social networks, showrooms as well as producers of unique design products, enabling customers to have a wide variety of choices and an enjoyable shopping experience.</t>
        </is>
      </c>
      <c r="G459" s="15" t="inlineStr">
        <is>
          <t>Consumer Products and Services (B2C)</t>
        </is>
      </c>
      <c r="H459" s="16" t="inlineStr">
        <is>
          <t>Retail</t>
        </is>
      </c>
      <c r="I459" s="17" t="inlineStr">
        <is>
          <t>Internet Retail</t>
        </is>
      </c>
      <c r="J459" s="18" t="inlineStr">
        <is>
          <t>Internet Retail*; Application Software</t>
        </is>
      </c>
      <c r="K459" s="19" t="inlineStr">
        <is>
          <t>E-Commerce, Mobile</t>
        </is>
      </c>
      <c r="L459" s="20" t="inlineStr">
        <is>
          <t>Venture Capital-Backed</t>
        </is>
      </c>
      <c r="M459" s="21" t="n">
        <v>46.53</v>
      </c>
      <c r="N459" s="22" t="inlineStr">
        <is>
          <t>Generating Revenue</t>
        </is>
      </c>
      <c r="O459" s="23" t="inlineStr">
        <is>
          <t>Privately Held (backing)</t>
        </is>
      </c>
      <c r="P459" s="24" t="inlineStr">
        <is>
          <t>Venture Capital</t>
        </is>
      </c>
      <c r="Q459" s="25" t="inlineStr">
        <is>
          <t>www.tobox.com</t>
        </is>
      </c>
      <c r="R459" s="26" t="n">
        <v>11.0</v>
      </c>
      <c r="S459" s="27" t="inlineStr">
        <is>
          <t/>
        </is>
      </c>
      <c r="T459" s="28" t="inlineStr">
        <is>
          <t/>
        </is>
      </c>
      <c r="U459" s="29" t="n">
        <v>2014.0</v>
      </c>
      <c r="V459" s="30" t="inlineStr">
        <is>
          <t/>
        </is>
      </c>
      <c r="W459" s="31" t="inlineStr">
        <is>
          <t/>
        </is>
      </c>
      <c r="X459" s="32" t="inlineStr">
        <is>
          <t/>
        </is>
      </c>
      <c r="Y459" s="33" t="inlineStr">
        <is>
          <t/>
        </is>
      </c>
      <c r="Z459" s="34" t="inlineStr">
        <is>
          <t/>
        </is>
      </c>
      <c r="AA459" s="35" t="inlineStr">
        <is>
          <t/>
        </is>
      </c>
      <c r="AB459" s="36" t="inlineStr">
        <is>
          <t/>
        </is>
      </c>
      <c r="AC459" s="37" t="inlineStr">
        <is>
          <t/>
        </is>
      </c>
      <c r="AD459" s="38" t="inlineStr">
        <is>
          <t/>
        </is>
      </c>
      <c r="AE459" s="39" t="inlineStr">
        <is>
          <t>121494-52P</t>
        </is>
      </c>
      <c r="AF459" s="40" t="inlineStr">
        <is>
          <t>Feng Lin</t>
        </is>
      </c>
      <c r="AG459" s="41" t="inlineStr">
        <is>
          <t>Founder &amp; Chief Executive Officer</t>
        </is>
      </c>
      <c r="AH459" s="42" t="inlineStr">
        <is>
          <t>feng.lin@tobox.com</t>
        </is>
      </c>
      <c r="AI459" s="43" t="inlineStr">
        <is>
          <t>+7 (8)499 653 5812</t>
        </is>
      </c>
      <c r="AJ459" s="44" t="inlineStr">
        <is>
          <t>Moscow, Russia</t>
        </is>
      </c>
      <c r="AK459" s="45" t="inlineStr">
        <is>
          <t>Ul. Butlerova, 17</t>
        </is>
      </c>
      <c r="AL459" s="46" t="inlineStr">
        <is>
          <t/>
        </is>
      </c>
      <c r="AM459" s="47" t="inlineStr">
        <is>
          <t>Moscow</t>
        </is>
      </c>
      <c r="AN459" s="48" t="inlineStr">
        <is>
          <t/>
        </is>
      </c>
      <c r="AO459" s="49" t="inlineStr">
        <is>
          <t>117342</t>
        </is>
      </c>
      <c r="AP459" s="50" t="inlineStr">
        <is>
          <t>Russia</t>
        </is>
      </c>
      <c r="AQ459" s="51" t="inlineStr">
        <is>
          <t>+7 (8)499 653 5812</t>
        </is>
      </c>
      <c r="AR459" s="52" t="inlineStr">
        <is>
          <t/>
        </is>
      </c>
      <c r="AS459" s="53" t="inlineStr">
        <is>
          <t/>
        </is>
      </c>
      <c r="AT459" s="54" t="inlineStr">
        <is>
          <t>Europe</t>
        </is>
      </c>
      <c r="AU459" s="55" t="inlineStr">
        <is>
          <t>Eastern Europe</t>
        </is>
      </c>
      <c r="AV459" s="56" t="inlineStr">
        <is>
          <t>The company raised $50 million of venture funding from Shunwei Capital on November 27, 2015. The funding will be used for the advertising and expansion of the Russian team and improving technology. Previously, the company raised an undisclosed amount of venture funding from Shunwei Capital in September 2015.</t>
        </is>
      </c>
      <c r="AW459" s="57" t="inlineStr">
        <is>
          <t>Shunwei Capital</t>
        </is>
      </c>
      <c r="AX459" s="58" t="n">
        <v>1.0</v>
      </c>
      <c r="AY459" s="59" t="inlineStr">
        <is>
          <t/>
        </is>
      </c>
      <c r="AZ459" s="60" t="inlineStr">
        <is>
          <t/>
        </is>
      </c>
      <c r="BA459" s="61" t="inlineStr">
        <is>
          <t/>
        </is>
      </c>
      <c r="BB459" s="62" t="inlineStr">
        <is>
          <t>Shunwei Capital (www.shunwei.com)</t>
        </is>
      </c>
      <c r="BC459" s="63" t="inlineStr">
        <is>
          <t/>
        </is>
      </c>
      <c r="BD459" s="64" t="inlineStr">
        <is>
          <t/>
        </is>
      </c>
      <c r="BE459" s="65" t="inlineStr">
        <is>
          <t/>
        </is>
      </c>
      <c r="BF459" s="66" t="inlineStr">
        <is>
          <t/>
        </is>
      </c>
      <c r="BG459" s="67" t="n">
        <v>42248.0</v>
      </c>
      <c r="BH459" s="68" t="inlineStr">
        <is>
          <t/>
        </is>
      </c>
      <c r="BI459" s="69" t="inlineStr">
        <is>
          <t/>
        </is>
      </c>
      <c r="BJ459" s="70" t="inlineStr">
        <is>
          <t/>
        </is>
      </c>
      <c r="BK459" s="71" t="inlineStr">
        <is>
          <t/>
        </is>
      </c>
      <c r="BL459" s="72" t="inlineStr">
        <is>
          <t>Early Stage VC</t>
        </is>
      </c>
      <c r="BM459" s="73" t="inlineStr">
        <is>
          <t/>
        </is>
      </c>
      <c r="BN459" s="74" t="inlineStr">
        <is>
          <t/>
        </is>
      </c>
      <c r="BO459" s="75" t="inlineStr">
        <is>
          <t>Venture Capital</t>
        </is>
      </c>
      <c r="BP459" s="76" t="inlineStr">
        <is>
          <t/>
        </is>
      </c>
      <c r="BQ459" s="77" t="inlineStr">
        <is>
          <t/>
        </is>
      </c>
      <c r="BR459" s="78" t="inlineStr">
        <is>
          <t/>
        </is>
      </c>
      <c r="BS459" s="79" t="inlineStr">
        <is>
          <t>Completed</t>
        </is>
      </c>
      <c r="BT459" s="80" t="n">
        <v>42335.0</v>
      </c>
      <c r="BU459" s="81" t="n">
        <v>46.53</v>
      </c>
      <c r="BV459" s="82" t="inlineStr">
        <is>
          <t>Actual</t>
        </is>
      </c>
      <c r="BW459" s="83" t="inlineStr">
        <is>
          <t/>
        </is>
      </c>
      <c r="BX459" s="84" t="inlineStr">
        <is>
          <t/>
        </is>
      </c>
      <c r="BY459" s="85" t="inlineStr">
        <is>
          <t>Early Stage VC</t>
        </is>
      </c>
      <c r="BZ459" s="86" t="inlineStr">
        <is>
          <t/>
        </is>
      </c>
      <c r="CA459" s="87" t="inlineStr">
        <is>
          <t/>
        </is>
      </c>
      <c r="CB459" s="88" t="inlineStr">
        <is>
          <t>Venture Capital</t>
        </is>
      </c>
      <c r="CC459" s="89" t="inlineStr">
        <is>
          <t/>
        </is>
      </c>
      <c r="CD459" s="90" t="inlineStr">
        <is>
          <t/>
        </is>
      </c>
      <c r="CE459" s="91" t="inlineStr">
        <is>
          <t/>
        </is>
      </c>
      <c r="CF459" s="92" t="inlineStr">
        <is>
          <t>Completed</t>
        </is>
      </c>
      <c r="CG459" s="93" t="inlineStr">
        <is>
          <t>-0,82%</t>
        </is>
      </c>
      <c r="CH459" s="94" t="inlineStr">
        <is>
          <t>6</t>
        </is>
      </c>
      <c r="CI459" s="95" t="inlineStr">
        <is>
          <t>0,00%</t>
        </is>
      </c>
      <c r="CJ459" s="96" t="inlineStr">
        <is>
          <t>0,00%</t>
        </is>
      </c>
      <c r="CK459" s="97" t="inlineStr">
        <is>
          <t>-1,55%</t>
        </is>
      </c>
      <c r="CL459" s="98" t="inlineStr">
        <is>
          <t>7</t>
        </is>
      </c>
      <c r="CM459" s="99" t="inlineStr">
        <is>
          <t>-0,08%</t>
        </is>
      </c>
      <c r="CN459" s="100" t="inlineStr">
        <is>
          <t>5</t>
        </is>
      </c>
      <c r="CO459" s="101" t="inlineStr">
        <is>
          <t>-3,11%</t>
        </is>
      </c>
      <c r="CP459" s="102" t="inlineStr">
        <is>
          <t>11</t>
        </is>
      </c>
      <c r="CQ459" s="103" t="inlineStr">
        <is>
          <t>0,00%</t>
        </is>
      </c>
      <c r="CR459" s="104" t="inlineStr">
        <is>
          <t>13</t>
        </is>
      </c>
      <c r="CS459" s="105" t="inlineStr">
        <is>
          <t>-0,08%</t>
        </is>
      </c>
      <c r="CT459" s="106" t="inlineStr">
        <is>
          <t>3</t>
        </is>
      </c>
      <c r="CU459" s="107" t="inlineStr">
        <is>
          <t/>
        </is>
      </c>
      <c r="CV459" s="108" t="inlineStr">
        <is>
          <t/>
        </is>
      </c>
      <c r="CW459" s="109" t="inlineStr">
        <is>
          <t>5,33x</t>
        </is>
      </c>
      <c r="CX459" s="110" t="inlineStr">
        <is>
          <t>80</t>
        </is>
      </c>
      <c r="CY459" s="111" t="inlineStr">
        <is>
          <t>0,11x</t>
        </is>
      </c>
      <c r="CZ459" s="112" t="inlineStr">
        <is>
          <t>2,12%</t>
        </is>
      </c>
      <c r="DA459" s="113" t="inlineStr">
        <is>
          <t>1,02x</t>
        </is>
      </c>
      <c r="DB459" s="114" t="inlineStr">
        <is>
          <t>52</t>
        </is>
      </c>
      <c r="DC459" s="115" t="inlineStr">
        <is>
          <t>9,63x</t>
        </is>
      </c>
      <c r="DD459" s="116" t="inlineStr">
        <is>
          <t>84</t>
        </is>
      </c>
      <c r="DE459" s="117" t="inlineStr">
        <is>
          <t>1,52x</t>
        </is>
      </c>
      <c r="DF459" s="118" t="inlineStr">
        <is>
          <t>59</t>
        </is>
      </c>
      <c r="DG459" s="119" t="inlineStr">
        <is>
          <t>0,53x</t>
        </is>
      </c>
      <c r="DH459" s="120" t="inlineStr">
        <is>
          <t>37</t>
        </is>
      </c>
      <c r="DI459" s="121" t="inlineStr">
        <is>
          <t>9,63x</t>
        </is>
      </c>
      <c r="DJ459" s="122" t="inlineStr">
        <is>
          <t>82</t>
        </is>
      </c>
      <c r="DK459" s="123" t="inlineStr">
        <is>
          <t/>
        </is>
      </c>
      <c r="DL459" s="124" t="inlineStr">
        <is>
          <t/>
        </is>
      </c>
      <c r="DM459" s="125" t="inlineStr">
        <is>
          <t>977</t>
        </is>
      </c>
      <c r="DN459" s="126" t="inlineStr">
        <is>
          <t>-135</t>
        </is>
      </c>
      <c r="DO459" s="127" t="inlineStr">
        <is>
          <t>-12,14%</t>
        </is>
      </c>
      <c r="DP459" s="128" t="inlineStr">
        <is>
          <t>7.696</t>
        </is>
      </c>
      <c r="DQ459" s="129" t="inlineStr">
        <is>
          <t>-10</t>
        </is>
      </c>
      <c r="DR459" s="130" t="inlineStr">
        <is>
          <t>-0,13%</t>
        </is>
      </c>
      <c r="DS459" s="131" t="inlineStr">
        <is>
          <t>18</t>
        </is>
      </c>
      <c r="DT459" s="132" t="inlineStr">
        <is>
          <t>0</t>
        </is>
      </c>
      <c r="DU459" s="133" t="inlineStr">
        <is>
          <t>0,00%</t>
        </is>
      </c>
      <c r="DV459" s="134" t="inlineStr">
        <is>
          <t>6.507</t>
        </is>
      </c>
      <c r="DW459" s="135" t="inlineStr">
        <is>
          <t>0</t>
        </is>
      </c>
      <c r="DX459" s="136" t="inlineStr">
        <is>
          <t>0,00%</t>
        </is>
      </c>
      <c r="DY459" s="137" t="inlineStr">
        <is>
          <t>PitchBook Research</t>
        </is>
      </c>
      <c r="DZ459" s="785">
        <f>HYPERLINK("https://my.pitchbook.com?c=148241-53", "View company online")</f>
      </c>
    </row>
    <row r="460">
      <c r="A460" s="139" t="inlineStr">
        <is>
          <t>108956-71</t>
        </is>
      </c>
      <c r="B460" s="140" t="inlineStr">
        <is>
          <t>Tonsser</t>
        </is>
      </c>
      <c r="C460" s="141" t="inlineStr">
        <is>
          <t/>
        </is>
      </c>
      <c r="D460" s="142" t="inlineStr">
        <is>
          <t/>
        </is>
      </c>
      <c r="E460" s="143" t="inlineStr">
        <is>
          <t>108956-71</t>
        </is>
      </c>
      <c r="F460" s="144" t="inlineStr">
        <is>
          <t>Provider of an online social football platform designed to give power to the football player. The company's social football platform is a mobile-based application which enables players to showcase their talent and to unite the football universe with stats and insights, empowering football players to showcase their achievements and determine their success.</t>
        </is>
      </c>
      <c r="G460" s="145" t="inlineStr">
        <is>
          <t>Information Technology</t>
        </is>
      </c>
      <c r="H460" s="146" t="inlineStr">
        <is>
          <t>Software</t>
        </is>
      </c>
      <c r="I460" s="147" t="inlineStr">
        <is>
          <t>Social/Platform Software</t>
        </is>
      </c>
      <c r="J460" s="148" t="inlineStr">
        <is>
          <t>Social/Platform Software*; Application Software</t>
        </is>
      </c>
      <c r="K460" s="149" t="inlineStr">
        <is>
          <t>Mobile</t>
        </is>
      </c>
      <c r="L460" s="150" t="inlineStr">
        <is>
          <t>Venture Capital-Backed</t>
        </is>
      </c>
      <c r="M460" s="151" t="n">
        <v>6.8</v>
      </c>
      <c r="N460" s="152" t="inlineStr">
        <is>
          <t>Generating Revenue</t>
        </is>
      </c>
      <c r="O460" s="153" t="inlineStr">
        <is>
          <t>Privately Held (backing)</t>
        </is>
      </c>
      <c r="P460" s="154" t="inlineStr">
        <is>
          <t>Venture Capital</t>
        </is>
      </c>
      <c r="Q460" s="155" t="inlineStr">
        <is>
          <t>www.tonsser.com</t>
        </is>
      </c>
      <c r="R460" s="156" t="n">
        <v>37.0</v>
      </c>
      <c r="S460" s="157" t="inlineStr">
        <is>
          <t/>
        </is>
      </c>
      <c r="T460" s="158" t="inlineStr">
        <is>
          <t/>
        </is>
      </c>
      <c r="U460" s="159" t="n">
        <v>2013.0</v>
      </c>
      <c r="V460" s="160" t="inlineStr">
        <is>
          <t/>
        </is>
      </c>
      <c r="W460" s="161" t="inlineStr">
        <is>
          <t/>
        </is>
      </c>
      <c r="X460" s="162" t="inlineStr">
        <is>
          <t/>
        </is>
      </c>
      <c r="Y460" s="163" t="inlineStr">
        <is>
          <t/>
        </is>
      </c>
      <c r="Z460" s="164" t="n">
        <v>-0.08269</v>
      </c>
      <c r="AA460" s="165" t="n">
        <v>-0.22968</v>
      </c>
      <c r="AB460" s="166" t="inlineStr">
        <is>
          <t/>
        </is>
      </c>
      <c r="AC460" s="167" t="n">
        <v>-0.147</v>
      </c>
      <c r="AD460" s="168" t="inlineStr">
        <is>
          <t>FY 2015</t>
        </is>
      </c>
      <c r="AE460" s="169" t="inlineStr">
        <is>
          <t>137362-33P</t>
        </is>
      </c>
      <c r="AF460" s="170" t="inlineStr">
        <is>
          <t>Peter Holm</t>
        </is>
      </c>
      <c r="AG460" s="171" t="inlineStr">
        <is>
          <t>Co-Founder and Chief Executive Officer</t>
        </is>
      </c>
      <c r="AH460" s="172" t="inlineStr">
        <is>
          <t>peter@tonsser.com</t>
        </is>
      </c>
      <c r="AI460" s="173" t="inlineStr">
        <is>
          <t>+45 2625 2435</t>
        </is>
      </c>
      <c r="AJ460" s="174" t="inlineStr">
        <is>
          <t>Copenhagen, Denmark</t>
        </is>
      </c>
      <c r="AK460" s="175" t="inlineStr">
        <is>
          <t>Asger Rygs Gade 5 - 7</t>
        </is>
      </c>
      <c r="AL460" s="176" t="inlineStr">
        <is>
          <t>København V</t>
        </is>
      </c>
      <c r="AM460" s="177" t="inlineStr">
        <is>
          <t>Copenhagen</t>
        </is>
      </c>
      <c r="AN460" s="178" t="inlineStr">
        <is>
          <t/>
        </is>
      </c>
      <c r="AO460" s="179" t="inlineStr">
        <is>
          <t>1727</t>
        </is>
      </c>
      <c r="AP460" s="180" t="inlineStr">
        <is>
          <t>Denmark</t>
        </is>
      </c>
      <c r="AQ460" s="181" t="inlineStr">
        <is>
          <t>+45 2625 2435</t>
        </is>
      </c>
      <c r="AR460" s="182" t="inlineStr">
        <is>
          <t/>
        </is>
      </c>
      <c r="AS460" s="183" t="inlineStr">
        <is>
          <t>info@tonsser.com</t>
        </is>
      </c>
      <c r="AT460" s="184" t="inlineStr">
        <is>
          <t>Europe</t>
        </is>
      </c>
      <c r="AU460" s="185" t="inlineStr">
        <is>
          <t>Northern Europe</t>
        </is>
      </c>
      <c r="AV460" s="186" t="inlineStr">
        <is>
          <t>The company raised EUR 2.5 million of venture funding from Wellington Partners, SEED Capital Denmark and Arthur Kosten on July 6, 2017. Other undisclosed angel investors also participated in this round. The company intends to use the funding to expand to the U.K., home to the English Premier League and a huge potential youth football market for the startup. Earlier, the company raised EUR 1.8 million of venture funding in a deal led by Wellington Partners and SEED Capital Denmark on June 10, 2016.</t>
        </is>
      </c>
      <c r="AW460" s="187" t="inlineStr">
        <is>
          <t>Arthur Kosten, Guillaume Durao, Kasper Hulthin, Phillip Chambers, SEED Capital Denmark, Wellington Partners</t>
        </is>
      </c>
      <c r="AX460" s="188" t="n">
        <v>6.0</v>
      </c>
      <c r="AY460" s="189" t="inlineStr">
        <is>
          <t/>
        </is>
      </c>
      <c r="AZ460" s="190" t="inlineStr">
        <is>
          <t/>
        </is>
      </c>
      <c r="BA460" s="191" t="inlineStr">
        <is>
          <t/>
        </is>
      </c>
      <c r="BB460" s="192" t="inlineStr">
        <is>
          <t>SEED Capital Denmark (www.seedcapital.dk), Wellington Partners (www.wellington-partners.com)</t>
        </is>
      </c>
      <c r="BC460" s="193" t="inlineStr">
        <is>
          <t/>
        </is>
      </c>
      <c r="BD460" s="194" t="inlineStr">
        <is>
          <t/>
        </is>
      </c>
      <c r="BE460" s="195" t="inlineStr">
        <is>
          <t>Deloitte (Auditor)</t>
        </is>
      </c>
      <c r="BF460" s="196" t="inlineStr">
        <is>
          <t/>
        </is>
      </c>
      <c r="BG460" s="197" t="n">
        <v>41696.0</v>
      </c>
      <c r="BH460" s="198" t="inlineStr">
        <is>
          <t/>
        </is>
      </c>
      <c r="BI460" s="199" t="inlineStr">
        <is>
          <t/>
        </is>
      </c>
      <c r="BJ460" s="200" t="inlineStr">
        <is>
          <t/>
        </is>
      </c>
      <c r="BK460" s="201" t="inlineStr">
        <is>
          <t/>
        </is>
      </c>
      <c r="BL460" s="202" t="inlineStr">
        <is>
          <t>Angel (individual)</t>
        </is>
      </c>
      <c r="BM460" s="203" t="inlineStr">
        <is>
          <t>Angel</t>
        </is>
      </c>
      <c r="BN460" s="204" t="inlineStr">
        <is>
          <t/>
        </is>
      </c>
      <c r="BO460" s="205" t="inlineStr">
        <is>
          <t>Individual</t>
        </is>
      </c>
      <c r="BP460" s="206" t="inlineStr">
        <is>
          <t/>
        </is>
      </c>
      <c r="BQ460" s="207" t="inlineStr">
        <is>
          <t/>
        </is>
      </c>
      <c r="BR460" s="208" t="inlineStr">
        <is>
          <t/>
        </is>
      </c>
      <c r="BS460" s="209" t="inlineStr">
        <is>
          <t>Completed</t>
        </is>
      </c>
      <c r="BT460" s="210" t="n">
        <v>42922.0</v>
      </c>
      <c r="BU460" s="211" t="n">
        <v>2.5</v>
      </c>
      <c r="BV460" s="212" t="inlineStr">
        <is>
          <t>Actual</t>
        </is>
      </c>
      <c r="BW460" s="213" t="inlineStr">
        <is>
          <t/>
        </is>
      </c>
      <c r="BX460" s="214" t="inlineStr">
        <is>
          <t/>
        </is>
      </c>
      <c r="BY460" s="215" t="inlineStr">
        <is>
          <t>Early Stage VC</t>
        </is>
      </c>
      <c r="BZ460" s="216" t="inlineStr">
        <is>
          <t/>
        </is>
      </c>
      <c r="CA460" s="217" t="inlineStr">
        <is>
          <t/>
        </is>
      </c>
      <c r="CB460" s="218" t="inlineStr">
        <is>
          <t>Venture Capital</t>
        </is>
      </c>
      <c r="CC460" s="219" t="inlineStr">
        <is>
          <t/>
        </is>
      </c>
      <c r="CD460" s="220" t="inlineStr">
        <is>
          <t/>
        </is>
      </c>
      <c r="CE460" s="221" t="inlineStr">
        <is>
          <t/>
        </is>
      </c>
      <c r="CF460" s="222" t="inlineStr">
        <is>
          <t>Completed</t>
        </is>
      </c>
      <c r="CG460" s="223" t="inlineStr">
        <is>
          <t>1,25%</t>
        </is>
      </c>
      <c r="CH460" s="224" t="inlineStr">
        <is>
          <t>90</t>
        </is>
      </c>
      <c r="CI460" s="225" t="inlineStr">
        <is>
          <t>-0,30%</t>
        </is>
      </c>
      <c r="CJ460" s="226" t="inlineStr">
        <is>
          <t>-19,64%</t>
        </is>
      </c>
      <c r="CK460" s="227" t="inlineStr">
        <is>
          <t>1,65%</t>
        </is>
      </c>
      <c r="CL460" s="228" t="inlineStr">
        <is>
          <t>90</t>
        </is>
      </c>
      <c r="CM460" s="229" t="inlineStr">
        <is>
          <t>0,85%</t>
        </is>
      </c>
      <c r="CN460" s="230" t="inlineStr">
        <is>
          <t>95</t>
        </is>
      </c>
      <c r="CO460" s="231" t="inlineStr">
        <is>
          <t>3,29%</t>
        </is>
      </c>
      <c r="CP460" s="232" t="inlineStr">
        <is>
          <t>93</t>
        </is>
      </c>
      <c r="CQ460" s="233" t="inlineStr">
        <is>
          <t>0,00%</t>
        </is>
      </c>
      <c r="CR460" s="234" t="inlineStr">
        <is>
          <t>13</t>
        </is>
      </c>
      <c r="CS460" s="235" t="inlineStr">
        <is>
          <t>0,97%</t>
        </is>
      </c>
      <c r="CT460" s="236" t="inlineStr">
        <is>
          <t>94</t>
        </is>
      </c>
      <c r="CU460" s="237" t="inlineStr">
        <is>
          <t>0,73%</t>
        </is>
      </c>
      <c r="CV460" s="238" t="inlineStr">
        <is>
          <t>95</t>
        </is>
      </c>
      <c r="CW460" s="239" t="inlineStr">
        <is>
          <t>17,22x</t>
        </is>
      </c>
      <c r="CX460" s="240" t="inlineStr">
        <is>
          <t>91</t>
        </is>
      </c>
      <c r="CY460" s="241" t="inlineStr">
        <is>
          <t>0,48x</t>
        </is>
      </c>
      <c r="CZ460" s="242" t="inlineStr">
        <is>
          <t>2,87%</t>
        </is>
      </c>
      <c r="DA460" s="243" t="inlineStr">
        <is>
          <t>3,30x</t>
        </is>
      </c>
      <c r="DB460" s="244" t="inlineStr">
        <is>
          <t>75</t>
        </is>
      </c>
      <c r="DC460" s="245" t="inlineStr">
        <is>
          <t>31,14x</t>
        </is>
      </c>
      <c r="DD460" s="246" t="inlineStr">
        <is>
          <t>92</t>
        </is>
      </c>
      <c r="DE460" s="247" t="inlineStr">
        <is>
          <t>5,88x</t>
        </is>
      </c>
      <c r="DF460" s="248" t="inlineStr">
        <is>
          <t>78</t>
        </is>
      </c>
      <c r="DG460" s="249" t="inlineStr">
        <is>
          <t>0,72x</t>
        </is>
      </c>
      <c r="DH460" s="250" t="inlineStr">
        <is>
          <t>43</t>
        </is>
      </c>
      <c r="DI460" s="251" t="inlineStr">
        <is>
          <t>59,94x</t>
        </is>
      </c>
      <c r="DJ460" s="252" t="inlineStr">
        <is>
          <t>94</t>
        </is>
      </c>
      <c r="DK460" s="253" t="inlineStr">
        <is>
          <t>2,34x</t>
        </is>
      </c>
      <c r="DL460" s="254" t="inlineStr">
        <is>
          <t>66</t>
        </is>
      </c>
      <c r="DM460" s="255" t="inlineStr">
        <is>
          <t>3.627</t>
        </is>
      </c>
      <c r="DN460" s="256" t="inlineStr">
        <is>
          <t>-40</t>
        </is>
      </c>
      <c r="DO460" s="257" t="inlineStr">
        <is>
          <t>-1,09%</t>
        </is>
      </c>
      <c r="DP460" s="258" t="inlineStr">
        <is>
          <t>47.580</t>
        </is>
      </c>
      <c r="DQ460" s="259" t="inlineStr">
        <is>
          <t>270</t>
        </is>
      </c>
      <c r="DR460" s="260" t="inlineStr">
        <is>
          <t>0,57%</t>
        </is>
      </c>
      <c r="DS460" s="261" t="inlineStr">
        <is>
          <t>26</t>
        </is>
      </c>
      <c r="DT460" s="262" t="inlineStr">
        <is>
          <t>0</t>
        </is>
      </c>
      <c r="DU460" s="263" t="inlineStr">
        <is>
          <t>0,00%</t>
        </is>
      </c>
      <c r="DV460" s="264" t="inlineStr">
        <is>
          <t>798</t>
        </is>
      </c>
      <c r="DW460" s="265" t="inlineStr">
        <is>
          <t>6</t>
        </is>
      </c>
      <c r="DX460" s="266" t="inlineStr">
        <is>
          <t>0,76%</t>
        </is>
      </c>
      <c r="DY460" s="267" t="inlineStr">
        <is>
          <t>PitchBook Research</t>
        </is>
      </c>
      <c r="DZ460" s="786">
        <f>HYPERLINK("https://my.pitchbook.com?c=108956-71", "View company online")</f>
      </c>
    </row>
    <row r="461">
      <c r="A461" s="9" t="inlineStr">
        <is>
          <t>155836-27</t>
        </is>
      </c>
      <c r="B461" s="10" t="inlineStr">
        <is>
          <t>Topas Therapeutics</t>
        </is>
      </c>
      <c r="C461" s="11" t="inlineStr">
        <is>
          <t/>
        </is>
      </c>
      <c r="D461" s="12" t="inlineStr">
        <is>
          <t/>
        </is>
      </c>
      <c r="E461" s="13" t="inlineStr">
        <is>
          <t>155836-27</t>
        </is>
      </c>
      <c r="F461" s="14" t="inlineStr">
        <is>
          <t>Developer of nanoparticle-based therapeutics to treat immunological disorders. The company develops nanoparticle technology to target autoimmune and inflammatory diseases via the induction of antigen specific immune tolerance in the liver.</t>
        </is>
      </c>
      <c r="G461" s="15" t="inlineStr">
        <is>
          <t>Healthcare</t>
        </is>
      </c>
      <c r="H461" s="16" t="inlineStr">
        <is>
          <t>Pharmaceuticals and Biotechnology</t>
        </is>
      </c>
      <c r="I461" s="17" t="inlineStr">
        <is>
          <t>Biotechnology</t>
        </is>
      </c>
      <c r="J461" s="18" t="inlineStr">
        <is>
          <t>Biotechnology*</t>
        </is>
      </c>
      <c r="K461" s="19" t="inlineStr">
        <is>
          <t>Life Sciences, Nanotechnology</t>
        </is>
      </c>
      <c r="L461" s="20" t="inlineStr">
        <is>
          <t>Venture Capital-Backed</t>
        </is>
      </c>
      <c r="M461" s="21" t="n">
        <v>14.0</v>
      </c>
      <c r="N461" s="22" t="inlineStr">
        <is>
          <t>Startup</t>
        </is>
      </c>
      <c r="O461" s="23" t="inlineStr">
        <is>
          <t>Privately Held (backing)</t>
        </is>
      </c>
      <c r="P461" s="24" t="inlineStr">
        <is>
          <t>Venture Capital</t>
        </is>
      </c>
      <c r="Q461" s="25" t="inlineStr">
        <is>
          <t>www.topas-therapeutics.com</t>
        </is>
      </c>
      <c r="R461" s="26" t="inlineStr">
        <is>
          <t/>
        </is>
      </c>
      <c r="S461" s="27" t="inlineStr">
        <is>
          <t/>
        </is>
      </c>
      <c r="T461" s="28" t="inlineStr">
        <is>
          <t/>
        </is>
      </c>
      <c r="U461" s="29" t="n">
        <v>2016.0</v>
      </c>
      <c r="V461" s="30" t="inlineStr">
        <is>
          <t/>
        </is>
      </c>
      <c r="W461" s="31" t="inlineStr">
        <is>
          <t/>
        </is>
      </c>
      <c r="X461" s="32" t="inlineStr">
        <is>
          <t/>
        </is>
      </c>
      <c r="Y461" s="33" t="inlineStr">
        <is>
          <t/>
        </is>
      </c>
      <c r="Z461" s="34" t="inlineStr">
        <is>
          <t/>
        </is>
      </c>
      <c r="AA461" s="35" t="inlineStr">
        <is>
          <t/>
        </is>
      </c>
      <c r="AB461" s="36" t="inlineStr">
        <is>
          <t/>
        </is>
      </c>
      <c r="AC461" s="37" t="inlineStr">
        <is>
          <t/>
        </is>
      </c>
      <c r="AD461" s="38" t="inlineStr">
        <is>
          <t/>
        </is>
      </c>
      <c r="AE461" s="39" t="inlineStr">
        <is>
          <t>69837-04P</t>
        </is>
      </c>
      <c r="AF461" s="40" t="inlineStr">
        <is>
          <t>Timm-H Jessen</t>
        </is>
      </c>
      <c r="AG461" s="41" t="inlineStr">
        <is>
          <t>Board Member and Chief Executive Officer</t>
        </is>
      </c>
      <c r="AH461" s="42" t="inlineStr">
        <is>
          <t/>
        </is>
      </c>
      <c r="AI461" s="43" t="inlineStr">
        <is>
          <t>+49 (0)40 5608 1467</t>
        </is>
      </c>
      <c r="AJ461" s="44" t="inlineStr">
        <is>
          <t>Hamburg, Germany</t>
        </is>
      </c>
      <c r="AK461" s="45" t="inlineStr">
        <is>
          <t>Falkenried 88, Haus B</t>
        </is>
      </c>
      <c r="AL461" s="46" t="inlineStr">
        <is>
          <t/>
        </is>
      </c>
      <c r="AM461" s="47" t="inlineStr">
        <is>
          <t>Hamburg</t>
        </is>
      </c>
      <c r="AN461" s="48" t="inlineStr">
        <is>
          <t/>
        </is>
      </c>
      <c r="AO461" s="49" t="inlineStr">
        <is>
          <t>20251</t>
        </is>
      </c>
      <c r="AP461" s="50" t="inlineStr">
        <is>
          <t>Germany</t>
        </is>
      </c>
      <c r="AQ461" s="51" t="inlineStr">
        <is>
          <t>+49 (0)40 5608 1467</t>
        </is>
      </c>
      <c r="AR461" s="52" t="inlineStr">
        <is>
          <t/>
        </is>
      </c>
      <c r="AS461" s="53" t="inlineStr">
        <is>
          <t>info@topas-therapeutics.de</t>
        </is>
      </c>
      <c r="AT461" s="54" t="inlineStr">
        <is>
          <t>Europe</t>
        </is>
      </c>
      <c r="AU461" s="55" t="inlineStr">
        <is>
          <t>Western Europe</t>
        </is>
      </c>
      <c r="AV461" s="56" t="inlineStr">
        <is>
          <t>The company raised EUR 14 million of Series A venture funding in a deal led by Epidarex Capital on March 22, 2016. EMBL Ventures, Evotec and Gimv also participated in the round. The funding will be used to accelerate its proprietary tolerance induction platform and to progress with its product development to POC stage in multiple autoimmune and inflammatory indications including multiple sclerosis. Evotec will keep a majority stake in the company after the transaction.</t>
        </is>
      </c>
      <c r="AW461" s="57" t="inlineStr">
        <is>
          <t>EMBL Ventures, Epidarex Capital, Evotec, Gimv</t>
        </is>
      </c>
      <c r="AX461" s="58" t="n">
        <v>4.0</v>
      </c>
      <c r="AY461" s="59" t="inlineStr">
        <is>
          <t/>
        </is>
      </c>
      <c r="AZ461" s="60" t="inlineStr">
        <is>
          <t/>
        </is>
      </c>
      <c r="BA461" s="61" t="inlineStr">
        <is>
          <t/>
        </is>
      </c>
      <c r="BB461" s="62" t="inlineStr">
        <is>
          <t>EMBL Ventures (www.embl-ventures.com), Epidarex Capital (www.epidarex.com), Evotec (www.evotec.com), Gimv (www.gimv.com)</t>
        </is>
      </c>
      <c r="BC461" s="63" t="inlineStr">
        <is>
          <t/>
        </is>
      </c>
      <c r="BD461" s="64" t="inlineStr">
        <is>
          <t/>
        </is>
      </c>
      <c r="BE461" s="65" t="inlineStr">
        <is>
          <t/>
        </is>
      </c>
      <c r="BF461" s="66" t="inlineStr">
        <is>
          <t/>
        </is>
      </c>
      <c r="BG461" s="67" t="n">
        <v>42451.0</v>
      </c>
      <c r="BH461" s="68" t="n">
        <v>14.0</v>
      </c>
      <c r="BI461" s="69" t="inlineStr">
        <is>
          <t>Actual</t>
        </is>
      </c>
      <c r="BJ461" s="70" t="inlineStr">
        <is>
          <t/>
        </is>
      </c>
      <c r="BK461" s="71" t="inlineStr">
        <is>
          <t/>
        </is>
      </c>
      <c r="BL461" s="72" t="inlineStr">
        <is>
          <t>Early Stage VC</t>
        </is>
      </c>
      <c r="BM461" s="73" t="inlineStr">
        <is>
          <t>Series A</t>
        </is>
      </c>
      <c r="BN461" s="74" t="inlineStr">
        <is>
          <t/>
        </is>
      </c>
      <c r="BO461" s="75" t="inlineStr">
        <is>
          <t>Venture Capital</t>
        </is>
      </c>
      <c r="BP461" s="76" t="inlineStr">
        <is>
          <t/>
        </is>
      </c>
      <c r="BQ461" s="77" t="inlineStr">
        <is>
          <t/>
        </is>
      </c>
      <c r="BR461" s="78" t="inlineStr">
        <is>
          <t/>
        </is>
      </c>
      <c r="BS461" s="79" t="inlineStr">
        <is>
          <t>Completed</t>
        </is>
      </c>
      <c r="BT461" s="80" t="n">
        <v>42451.0</v>
      </c>
      <c r="BU461" s="81" t="n">
        <v>14.0</v>
      </c>
      <c r="BV461" s="82" t="inlineStr">
        <is>
          <t>Actual</t>
        </is>
      </c>
      <c r="BW461" s="83" t="inlineStr">
        <is>
          <t/>
        </is>
      </c>
      <c r="BX461" s="84" t="inlineStr">
        <is>
          <t/>
        </is>
      </c>
      <c r="BY461" s="85" t="inlineStr">
        <is>
          <t>Early Stage VC</t>
        </is>
      </c>
      <c r="BZ461" s="86" t="inlineStr">
        <is>
          <t>Series A</t>
        </is>
      </c>
      <c r="CA461" s="87" t="inlineStr">
        <is>
          <t/>
        </is>
      </c>
      <c r="CB461" s="88" t="inlineStr">
        <is>
          <t>Venture Capital</t>
        </is>
      </c>
      <c r="CC461" s="89" t="inlineStr">
        <is>
          <t/>
        </is>
      </c>
      <c r="CD461" s="90" t="inlineStr">
        <is>
          <t/>
        </is>
      </c>
      <c r="CE461" s="91" t="inlineStr">
        <is>
          <t/>
        </is>
      </c>
      <c r="CF461" s="92" t="inlineStr">
        <is>
          <t>Completed</t>
        </is>
      </c>
      <c r="CG461" s="93" t="inlineStr">
        <is>
          <t/>
        </is>
      </c>
      <c r="CH461" s="94" t="inlineStr">
        <is>
          <t/>
        </is>
      </c>
      <c r="CI461" s="95" t="inlineStr">
        <is>
          <t/>
        </is>
      </c>
      <c r="CJ461" s="96" t="inlineStr">
        <is>
          <t/>
        </is>
      </c>
      <c r="CK461" s="97" t="inlineStr">
        <is>
          <t/>
        </is>
      </c>
      <c r="CL461" s="98" t="inlineStr">
        <is>
          <t/>
        </is>
      </c>
      <c r="CM461" s="99" t="inlineStr">
        <is>
          <t/>
        </is>
      </c>
      <c r="CN461" s="100" t="inlineStr">
        <is>
          <t/>
        </is>
      </c>
      <c r="CO461" s="101" t="inlineStr">
        <is>
          <t/>
        </is>
      </c>
      <c r="CP461" s="102" t="inlineStr">
        <is>
          <t/>
        </is>
      </c>
      <c r="CQ461" s="103" t="inlineStr">
        <is>
          <t/>
        </is>
      </c>
      <c r="CR461" s="104" t="inlineStr">
        <is>
          <t/>
        </is>
      </c>
      <c r="CS461" s="105" t="inlineStr">
        <is>
          <t/>
        </is>
      </c>
      <c r="CT461" s="106" t="inlineStr">
        <is>
          <t/>
        </is>
      </c>
      <c r="CU461" s="107" t="inlineStr">
        <is>
          <t/>
        </is>
      </c>
      <c r="CV461" s="108" t="inlineStr">
        <is>
          <t/>
        </is>
      </c>
      <c r="CW461" s="109" t="inlineStr">
        <is>
          <t/>
        </is>
      </c>
      <c r="CX461" s="110" t="inlineStr">
        <is>
          <t/>
        </is>
      </c>
      <c r="CY461" s="111" t="inlineStr">
        <is>
          <t/>
        </is>
      </c>
      <c r="CZ461" s="112" t="inlineStr">
        <is>
          <t/>
        </is>
      </c>
      <c r="DA461" s="113" t="inlineStr">
        <is>
          <t/>
        </is>
      </c>
      <c r="DB461" s="114" t="inlineStr">
        <is>
          <t/>
        </is>
      </c>
      <c r="DC461" s="115" t="inlineStr">
        <is>
          <t/>
        </is>
      </c>
      <c r="DD461" s="116" t="inlineStr">
        <is>
          <t/>
        </is>
      </c>
      <c r="DE461" s="117" t="inlineStr">
        <is>
          <t/>
        </is>
      </c>
      <c r="DF461" s="118" t="inlineStr">
        <is>
          <t/>
        </is>
      </c>
      <c r="DG461" s="119" t="inlineStr">
        <is>
          <t/>
        </is>
      </c>
      <c r="DH461" s="120" t="inlineStr">
        <is>
          <t/>
        </is>
      </c>
      <c r="DI461" s="121" t="inlineStr">
        <is>
          <t/>
        </is>
      </c>
      <c r="DJ461" s="122" t="inlineStr">
        <is>
          <t/>
        </is>
      </c>
      <c r="DK461" s="123" t="inlineStr">
        <is>
          <t/>
        </is>
      </c>
      <c r="DL461" s="124" t="inlineStr">
        <is>
          <t/>
        </is>
      </c>
      <c r="DM461" s="125" t="inlineStr">
        <is>
          <t/>
        </is>
      </c>
      <c r="DN461" s="126" t="inlineStr">
        <is>
          <t/>
        </is>
      </c>
      <c r="DO461" s="127" t="inlineStr">
        <is>
          <t/>
        </is>
      </c>
      <c r="DP461" s="128" t="inlineStr">
        <is>
          <t/>
        </is>
      </c>
      <c r="DQ461" s="129" t="inlineStr">
        <is>
          <t/>
        </is>
      </c>
      <c r="DR461" s="130" t="inlineStr">
        <is>
          <t/>
        </is>
      </c>
      <c r="DS461" s="131" t="inlineStr">
        <is>
          <t/>
        </is>
      </c>
      <c r="DT461" s="132" t="inlineStr">
        <is>
          <t/>
        </is>
      </c>
      <c r="DU461" s="133" t="inlineStr">
        <is>
          <t/>
        </is>
      </c>
      <c r="DV461" s="134" t="inlineStr">
        <is>
          <t/>
        </is>
      </c>
      <c r="DW461" s="135" t="inlineStr">
        <is>
          <t/>
        </is>
      </c>
      <c r="DX461" s="136" t="inlineStr">
        <is>
          <t/>
        </is>
      </c>
      <c r="DY461" s="137" t="inlineStr">
        <is>
          <t>PitchBook Research</t>
        </is>
      </c>
      <c r="DZ461" s="785">
        <f>HYPERLINK("https://my.pitchbook.com?c=155836-27", "View company online")</f>
      </c>
    </row>
    <row r="462">
      <c r="A462" s="139" t="inlineStr">
        <is>
          <t>113083-21</t>
        </is>
      </c>
      <c r="B462" s="140" t="inlineStr">
        <is>
          <t>Tractable</t>
        </is>
      </c>
      <c r="C462" s="141" t="inlineStr">
        <is>
          <t/>
        </is>
      </c>
      <c r="D462" s="142" t="inlineStr">
        <is>
          <t/>
        </is>
      </c>
      <c r="E462" s="143" t="inlineStr">
        <is>
          <t>113083-21</t>
        </is>
      </c>
      <c r="F462" s="144" t="inlineStr">
        <is>
          <t>Provider of a deep learning automation platform created to visualize image recognition and text understanding. The company's deep learning automation platform receives image and video, performs analysis and shares return results to any connected device within a short span of time, enabling organizations to unlock disruptive applications and provide accuracy on image recognition tasks.</t>
        </is>
      </c>
      <c r="G462" s="145" t="inlineStr">
        <is>
          <t>Information Technology</t>
        </is>
      </c>
      <c r="H462" s="146" t="inlineStr">
        <is>
          <t>Software</t>
        </is>
      </c>
      <c r="I462" s="147" t="inlineStr">
        <is>
          <t>Automation/Workflow Software</t>
        </is>
      </c>
      <c r="J462" s="148" t="inlineStr">
        <is>
          <t>Automation/Workflow Software*; Social/Platform Software</t>
        </is>
      </c>
      <c r="K462" s="149" t="inlineStr">
        <is>
          <t>Artificial Intelligence &amp; Machine Learning, EdTech, Mobile</t>
        </is>
      </c>
      <c r="L462" s="150" t="inlineStr">
        <is>
          <t>Venture Capital-Backed</t>
        </is>
      </c>
      <c r="M462" s="151" t="n">
        <v>9.1</v>
      </c>
      <c r="N462" s="152" t="inlineStr">
        <is>
          <t>Startup</t>
        </is>
      </c>
      <c r="O462" s="153" t="inlineStr">
        <is>
          <t>Privately Held (backing)</t>
        </is>
      </c>
      <c r="P462" s="154" t="inlineStr">
        <is>
          <t>Venture Capital</t>
        </is>
      </c>
      <c r="Q462" s="155" t="inlineStr">
        <is>
          <t>www.tractable.ai</t>
        </is>
      </c>
      <c r="R462" s="156" t="n">
        <v>15.0</v>
      </c>
      <c r="S462" s="157" t="inlineStr">
        <is>
          <t/>
        </is>
      </c>
      <c r="T462" s="158" t="inlineStr">
        <is>
          <t/>
        </is>
      </c>
      <c r="U462" s="159" t="n">
        <v>2014.0</v>
      </c>
      <c r="V462" s="160" t="inlineStr">
        <is>
          <t/>
        </is>
      </c>
      <c r="W462" s="161" t="inlineStr">
        <is>
          <t/>
        </is>
      </c>
      <c r="X462" s="162" t="inlineStr">
        <is>
          <t/>
        </is>
      </c>
      <c r="Y462" s="163" t="inlineStr">
        <is>
          <t/>
        </is>
      </c>
      <c r="Z462" s="164" t="inlineStr">
        <is>
          <t/>
        </is>
      </c>
      <c r="AA462" s="165" t="inlineStr">
        <is>
          <t/>
        </is>
      </c>
      <c r="AB462" s="166" t="inlineStr">
        <is>
          <t/>
        </is>
      </c>
      <c r="AC462" s="167" t="inlineStr">
        <is>
          <t/>
        </is>
      </c>
      <c r="AD462" s="168" t="inlineStr">
        <is>
          <t/>
        </is>
      </c>
      <c r="AE462" s="169" t="inlineStr">
        <is>
          <t>100555-75P</t>
        </is>
      </c>
      <c r="AF462" s="170" t="inlineStr">
        <is>
          <t>Razvan Ranca</t>
        </is>
      </c>
      <c r="AG462" s="171" t="inlineStr">
        <is>
          <t>Co-Founder, Chief Technology Officer &amp; Board Member</t>
        </is>
      </c>
      <c r="AH462" s="172" t="inlineStr">
        <is>
          <t>razvan.ranca@tractable.io</t>
        </is>
      </c>
      <c r="AI462" s="173" t="inlineStr">
        <is>
          <t>+44 (0)77 9403 3992</t>
        </is>
      </c>
      <c r="AJ462" s="174" t="inlineStr">
        <is>
          <t>London, United Kingdom</t>
        </is>
      </c>
      <c r="AK462" s="175" t="inlineStr">
        <is>
          <t>25-27 Horsell Road</t>
        </is>
      </c>
      <c r="AL462" s="176" t="inlineStr">
        <is>
          <t/>
        </is>
      </c>
      <c r="AM462" s="177" t="inlineStr">
        <is>
          <t>London</t>
        </is>
      </c>
      <c r="AN462" s="178" t="inlineStr">
        <is>
          <t>England</t>
        </is>
      </c>
      <c r="AO462" s="179" t="inlineStr">
        <is>
          <t>N5 1XL</t>
        </is>
      </c>
      <c r="AP462" s="180" t="inlineStr">
        <is>
          <t>United Kingdom</t>
        </is>
      </c>
      <c r="AQ462" s="181" t="inlineStr">
        <is>
          <t>+44 (0)77 9403 3992</t>
        </is>
      </c>
      <c r="AR462" s="182" t="inlineStr">
        <is>
          <t/>
        </is>
      </c>
      <c r="AS462" s="183" t="inlineStr">
        <is>
          <t>information@tractable.io</t>
        </is>
      </c>
      <c r="AT462" s="184" t="inlineStr">
        <is>
          <t>Europe</t>
        </is>
      </c>
      <c r="AU462" s="185" t="inlineStr">
        <is>
          <t>Western Europe</t>
        </is>
      </c>
      <c r="AV462" s="186" t="inlineStr">
        <is>
          <t>The company raised $8 million of Series A venture funding in a deal led by Ignition Venture Partners on April 1, 2017. Microsoft Ventures, Zetta Venture Partners, 415 Investments, Silicon Valley Venture Group and 5 angel investors also participated in the round. Previously, the company joined Microsoft Accelerator as a part of its Batch 5 on March 17, 2017.</t>
        </is>
      </c>
      <c r="AW462" s="187" t="inlineStr">
        <is>
          <t>415 Investments, Acequia Capital, Andy Homer, Entrepreneur First, Greg Gladwell, Ignition Venture Partners, Microsoft Accelerator, Microsoft Ventures, Scott Roza, Silicon Valley Venture Group, Stuart Barlett, Tony Emms</t>
        </is>
      </c>
      <c r="AX462" s="188" t="n">
        <v>12.0</v>
      </c>
      <c r="AY462" s="189" t="inlineStr">
        <is>
          <t/>
        </is>
      </c>
      <c r="AZ462" s="190" t="inlineStr">
        <is>
          <t/>
        </is>
      </c>
      <c r="BA462" s="191" t="inlineStr">
        <is>
          <t/>
        </is>
      </c>
      <c r="BB462" s="192" t="inlineStr">
        <is>
          <t>415 Investments (www.415.com), Acequia Capital (www.acecap.com), Entrepreneur First (www.joinef.com), Ignition Venture Partners (www.ignitionpartners.com), Microsoft Accelerator (www.microsoftaccelerator.com), Microsoft Ventures (www.microsoftventures.com), Silicon Valley Venture Group (www.svvgroup.com)</t>
        </is>
      </c>
      <c r="BC462" s="193" t="inlineStr">
        <is>
          <t/>
        </is>
      </c>
      <c r="BD462" s="194" t="inlineStr">
        <is>
          <t/>
        </is>
      </c>
      <c r="BE462" s="195" t="inlineStr">
        <is>
          <t>Orrick Herrington &amp; Sutcliffe (Legal Advisor)</t>
        </is>
      </c>
      <c r="BF462" s="196" t="inlineStr">
        <is>
          <t>Orrick Herrington &amp; Sutcliffe (Legal Advisor)</t>
        </is>
      </c>
      <c r="BG462" s="197" t="n">
        <v>41974.0</v>
      </c>
      <c r="BH462" s="198" t="inlineStr">
        <is>
          <t/>
        </is>
      </c>
      <c r="BI462" s="199" t="inlineStr">
        <is>
          <t/>
        </is>
      </c>
      <c r="BJ462" s="200" t="inlineStr">
        <is>
          <t/>
        </is>
      </c>
      <c r="BK462" s="201" t="inlineStr">
        <is>
          <t/>
        </is>
      </c>
      <c r="BL462" s="202" t="inlineStr">
        <is>
          <t>Accelerator/Incubator</t>
        </is>
      </c>
      <c r="BM462" s="203" t="inlineStr">
        <is>
          <t/>
        </is>
      </c>
      <c r="BN462" s="204" t="inlineStr">
        <is>
          <t/>
        </is>
      </c>
      <c r="BO462" s="205" t="inlineStr">
        <is>
          <t>Other</t>
        </is>
      </c>
      <c r="BP462" s="206" t="inlineStr">
        <is>
          <t/>
        </is>
      </c>
      <c r="BQ462" s="207" t="inlineStr">
        <is>
          <t/>
        </is>
      </c>
      <c r="BR462" s="208" t="inlineStr">
        <is>
          <t/>
        </is>
      </c>
      <c r="BS462" s="209" t="inlineStr">
        <is>
          <t>Completed</t>
        </is>
      </c>
      <c r="BT462" s="210" t="n">
        <v>42826.0</v>
      </c>
      <c r="BU462" s="211" t="n">
        <v>7.48</v>
      </c>
      <c r="BV462" s="212" t="inlineStr">
        <is>
          <t>Actual</t>
        </is>
      </c>
      <c r="BW462" s="213" t="inlineStr">
        <is>
          <t/>
        </is>
      </c>
      <c r="BX462" s="214" t="inlineStr">
        <is>
          <t/>
        </is>
      </c>
      <c r="BY462" s="215" t="inlineStr">
        <is>
          <t>Early Stage VC</t>
        </is>
      </c>
      <c r="BZ462" s="216" t="inlineStr">
        <is>
          <t>Series A</t>
        </is>
      </c>
      <c r="CA462" s="217" t="inlineStr">
        <is>
          <t/>
        </is>
      </c>
      <c r="CB462" s="218" t="inlineStr">
        <is>
          <t>Venture Capital</t>
        </is>
      </c>
      <c r="CC462" s="219" t="inlineStr">
        <is>
          <t/>
        </is>
      </c>
      <c r="CD462" s="220" t="inlineStr">
        <is>
          <t/>
        </is>
      </c>
      <c r="CE462" s="221" t="inlineStr">
        <is>
          <t/>
        </is>
      </c>
      <c r="CF462" s="222" t="inlineStr">
        <is>
          <t>Completed</t>
        </is>
      </c>
      <c r="CG462" s="223" t="inlineStr">
        <is>
          <t/>
        </is>
      </c>
      <c r="CH462" s="224" t="inlineStr">
        <is>
          <t/>
        </is>
      </c>
      <c r="CI462" s="225" t="inlineStr">
        <is>
          <t/>
        </is>
      </c>
      <c r="CJ462" s="226" t="inlineStr">
        <is>
          <t/>
        </is>
      </c>
      <c r="CK462" s="227" t="inlineStr">
        <is>
          <t/>
        </is>
      </c>
      <c r="CL462" s="228" t="inlineStr">
        <is>
          <t/>
        </is>
      </c>
      <c r="CM462" s="229" t="inlineStr">
        <is>
          <t/>
        </is>
      </c>
      <c r="CN462" s="230" t="inlineStr">
        <is>
          <t/>
        </is>
      </c>
      <c r="CO462" s="231" t="inlineStr">
        <is>
          <t/>
        </is>
      </c>
      <c r="CP462" s="232" t="inlineStr">
        <is>
          <t/>
        </is>
      </c>
      <c r="CQ462" s="233" t="inlineStr">
        <is>
          <t/>
        </is>
      </c>
      <c r="CR462" s="234" t="inlineStr">
        <is>
          <t/>
        </is>
      </c>
      <c r="CS462" s="235" t="inlineStr">
        <is>
          <t/>
        </is>
      </c>
      <c r="CT462" s="236" t="inlineStr">
        <is>
          <t/>
        </is>
      </c>
      <c r="CU462" s="237" t="inlineStr">
        <is>
          <t/>
        </is>
      </c>
      <c r="CV462" s="238" t="inlineStr">
        <is>
          <t/>
        </is>
      </c>
      <c r="CW462" s="239" t="inlineStr">
        <is>
          <t/>
        </is>
      </c>
      <c r="CX462" s="240" t="inlineStr">
        <is>
          <t/>
        </is>
      </c>
      <c r="CY462" s="241" t="inlineStr">
        <is>
          <t/>
        </is>
      </c>
      <c r="CZ462" s="242" t="inlineStr">
        <is>
          <t/>
        </is>
      </c>
      <c r="DA462" s="243" t="inlineStr">
        <is>
          <t/>
        </is>
      </c>
      <c r="DB462" s="244" t="inlineStr">
        <is>
          <t/>
        </is>
      </c>
      <c r="DC462" s="245" t="inlineStr">
        <is>
          <t/>
        </is>
      </c>
      <c r="DD462" s="246" t="inlineStr">
        <is>
          <t/>
        </is>
      </c>
      <c r="DE462" s="247" t="inlineStr">
        <is>
          <t/>
        </is>
      </c>
      <c r="DF462" s="248" t="inlineStr">
        <is>
          <t/>
        </is>
      </c>
      <c r="DG462" s="249" t="inlineStr">
        <is>
          <t/>
        </is>
      </c>
      <c r="DH462" s="250" t="inlineStr">
        <is>
          <t/>
        </is>
      </c>
      <c r="DI462" s="251" t="inlineStr">
        <is>
          <t/>
        </is>
      </c>
      <c r="DJ462" s="252" t="inlineStr">
        <is>
          <t/>
        </is>
      </c>
      <c r="DK462" s="253" t="inlineStr">
        <is>
          <t/>
        </is>
      </c>
      <c r="DL462" s="254" t="inlineStr">
        <is>
          <t/>
        </is>
      </c>
      <c r="DM462" s="255" t="inlineStr">
        <is>
          <t/>
        </is>
      </c>
      <c r="DN462" s="256" t="inlineStr">
        <is>
          <t/>
        </is>
      </c>
      <c r="DO462" s="257" t="inlineStr">
        <is>
          <t/>
        </is>
      </c>
      <c r="DP462" s="258" t="inlineStr">
        <is>
          <t/>
        </is>
      </c>
      <c r="DQ462" s="259" t="inlineStr">
        <is>
          <t/>
        </is>
      </c>
      <c r="DR462" s="260" t="inlineStr">
        <is>
          <t/>
        </is>
      </c>
      <c r="DS462" s="261" t="inlineStr">
        <is>
          <t/>
        </is>
      </c>
      <c r="DT462" s="262" t="inlineStr">
        <is>
          <t/>
        </is>
      </c>
      <c r="DU462" s="263" t="inlineStr">
        <is>
          <t/>
        </is>
      </c>
      <c r="DV462" s="264" t="inlineStr">
        <is>
          <t/>
        </is>
      </c>
      <c r="DW462" s="265" t="inlineStr">
        <is>
          <t/>
        </is>
      </c>
      <c r="DX462" s="266" t="inlineStr">
        <is>
          <t/>
        </is>
      </c>
      <c r="DY462" s="267" t="inlineStr">
        <is>
          <t>PitchBook Research</t>
        </is>
      </c>
      <c r="DZ462" s="786">
        <f>HYPERLINK("https://my.pitchbook.com?c=113083-21", "View company online")</f>
      </c>
    </row>
    <row r="463">
      <c r="A463" s="9" t="inlineStr">
        <is>
          <t>143478-64</t>
        </is>
      </c>
      <c r="B463" s="10" t="inlineStr">
        <is>
          <t>TrakCel</t>
        </is>
      </c>
      <c r="C463" s="11" t="inlineStr">
        <is>
          <t/>
        </is>
      </c>
      <c r="D463" s="12" t="inlineStr">
        <is>
          <t/>
        </is>
      </c>
      <c r="E463" s="13" t="inlineStr">
        <is>
          <t>143478-64</t>
        </is>
      </c>
      <c r="F463" s="14" t="inlineStr">
        <is>
          <t>Provider of cell, gene and immunotherapy management services. The company develops cell therapy process management and supply chain integration technology to meet data management, reporting and analysis needs of clinical trials.</t>
        </is>
      </c>
      <c r="G463" s="15" t="inlineStr">
        <is>
          <t>Healthcare</t>
        </is>
      </c>
      <c r="H463" s="16" t="inlineStr">
        <is>
          <t>Healthcare Services</t>
        </is>
      </c>
      <c r="I463" s="17" t="inlineStr">
        <is>
          <t>Other Healthcare Services</t>
        </is>
      </c>
      <c r="J463" s="18" t="inlineStr">
        <is>
          <t>Other Healthcare Services*; Biotechnology</t>
        </is>
      </c>
      <c r="K463" s="19" t="inlineStr">
        <is>
          <t>Life Sciences</t>
        </is>
      </c>
      <c r="L463" s="20" t="inlineStr">
        <is>
          <t>Venture Capital-Backed</t>
        </is>
      </c>
      <c r="M463" s="21" t="n">
        <v>7.04</v>
      </c>
      <c r="N463" s="22" t="inlineStr">
        <is>
          <t>Startup</t>
        </is>
      </c>
      <c r="O463" s="23" t="inlineStr">
        <is>
          <t>Privately Held (backing)</t>
        </is>
      </c>
      <c r="P463" s="24" t="inlineStr">
        <is>
          <t>Venture Capital, Private Equity</t>
        </is>
      </c>
      <c r="Q463" s="25" t="inlineStr">
        <is>
          <t>www.trakcel.com</t>
        </is>
      </c>
      <c r="R463" s="26" t="inlineStr">
        <is>
          <t/>
        </is>
      </c>
      <c r="S463" s="27" t="inlineStr">
        <is>
          <t/>
        </is>
      </c>
      <c r="T463" s="28" t="inlineStr">
        <is>
          <t/>
        </is>
      </c>
      <c r="U463" s="29" t="n">
        <v>2012.0</v>
      </c>
      <c r="V463" s="30" t="inlineStr">
        <is>
          <t/>
        </is>
      </c>
      <c r="W463" s="31" t="inlineStr">
        <is>
          <t/>
        </is>
      </c>
      <c r="X463" s="32" t="inlineStr">
        <is>
          <t/>
        </is>
      </c>
      <c r="Y463" s="33" t="inlineStr">
        <is>
          <t/>
        </is>
      </c>
      <c r="Z463" s="34" t="inlineStr">
        <is>
          <t/>
        </is>
      </c>
      <c r="AA463" s="35" t="inlineStr">
        <is>
          <t/>
        </is>
      </c>
      <c r="AB463" s="36" t="inlineStr">
        <is>
          <t/>
        </is>
      </c>
      <c r="AC463" s="37" t="inlineStr">
        <is>
          <t/>
        </is>
      </c>
      <c r="AD463" s="38" t="inlineStr">
        <is>
          <t/>
        </is>
      </c>
      <c r="AE463" s="39" t="inlineStr">
        <is>
          <t>101588-77P</t>
        </is>
      </c>
      <c r="AF463" s="40" t="inlineStr">
        <is>
          <t>Jon Curley</t>
        </is>
      </c>
      <c r="AG463" s="41" t="inlineStr">
        <is>
          <t>Chief Technology Officer</t>
        </is>
      </c>
      <c r="AH463" s="42" t="inlineStr">
        <is>
          <t>jon.curley@trakcel.com</t>
        </is>
      </c>
      <c r="AI463" s="43" t="inlineStr">
        <is>
          <t>+44 (0)29 2048 3729</t>
        </is>
      </c>
      <c r="AJ463" s="44" t="inlineStr">
        <is>
          <t>Cardiff, United Kingdom</t>
        </is>
      </c>
      <c r="AK463" s="45" t="inlineStr">
        <is>
          <t>11 Raleigh Walk</t>
        </is>
      </c>
      <c r="AL463" s="46" t="inlineStr">
        <is>
          <t>Waterfront 2000</t>
        </is>
      </c>
      <c r="AM463" s="47" t="inlineStr">
        <is>
          <t>Cardiff</t>
        </is>
      </c>
      <c r="AN463" s="48" t="inlineStr">
        <is>
          <t>Wales</t>
        </is>
      </c>
      <c r="AO463" s="49" t="inlineStr">
        <is>
          <t>CF10 4LN</t>
        </is>
      </c>
      <c r="AP463" s="50" t="inlineStr">
        <is>
          <t>United Kingdom</t>
        </is>
      </c>
      <c r="AQ463" s="51" t="inlineStr">
        <is>
          <t>+44 (0)29 2048 3729</t>
        </is>
      </c>
      <c r="AR463" s="52" t="inlineStr">
        <is>
          <t/>
        </is>
      </c>
      <c r="AS463" s="53" t="inlineStr">
        <is>
          <t>enquiry@trakcel.com</t>
        </is>
      </c>
      <c r="AT463" s="54" t="inlineStr">
        <is>
          <t>Europe</t>
        </is>
      </c>
      <c r="AU463" s="55" t="inlineStr">
        <is>
          <t>Western Europe</t>
        </is>
      </c>
      <c r="AV463" s="56" t="inlineStr">
        <is>
          <t>The company raised GBP 5.3 million of growth funding from Telegraph Hill Partners on October 17, 2016, putting the pre-money valuation at GBP 7.17 million. The company will use the funds to further enhance its technology platform and catalyze its global growth plans.</t>
        </is>
      </c>
      <c r="AW463" s="57" t="inlineStr">
        <is>
          <t>European Commission, Medical Technologies Launchpad, Telegraph Hill Partners, Welsh Government</t>
        </is>
      </c>
      <c r="AX463" s="58" t="n">
        <v>4.0</v>
      </c>
      <c r="AY463" s="59" t="inlineStr">
        <is>
          <t/>
        </is>
      </c>
      <c r="AZ463" s="60" t="inlineStr">
        <is>
          <t/>
        </is>
      </c>
      <c r="BA463" s="61" t="inlineStr">
        <is>
          <t/>
        </is>
      </c>
      <c r="BB463" s="62" t="inlineStr">
        <is>
          <t>European Commission (ec.europa.eu), Telegraph Hill Partners (www.thpartners.net), Welsh Government (www.gov.wales)</t>
        </is>
      </c>
      <c r="BC463" s="63" t="inlineStr">
        <is>
          <t/>
        </is>
      </c>
      <c r="BD463" s="64" t="inlineStr">
        <is>
          <t/>
        </is>
      </c>
      <c r="BE463" s="65" t="inlineStr">
        <is>
          <t/>
        </is>
      </c>
      <c r="BF463" s="66" t="inlineStr">
        <is>
          <t>Greenaway Scott (Legal Advisor), RCA Corporate Advisors (Advisor)</t>
        </is>
      </c>
      <c r="BG463" s="67" t="n">
        <v>42380.0</v>
      </c>
      <c r="BH463" s="68" t="n">
        <v>0.42</v>
      </c>
      <c r="BI463" s="69" t="inlineStr">
        <is>
          <t>Actual</t>
        </is>
      </c>
      <c r="BJ463" s="70" t="inlineStr">
        <is>
          <t/>
        </is>
      </c>
      <c r="BK463" s="71" t="inlineStr">
        <is>
          <t/>
        </is>
      </c>
      <c r="BL463" s="72" t="inlineStr">
        <is>
          <t>Grant</t>
        </is>
      </c>
      <c r="BM463" s="73" t="inlineStr">
        <is>
          <t/>
        </is>
      </c>
      <c r="BN463" s="74" t="inlineStr">
        <is>
          <t/>
        </is>
      </c>
      <c r="BO463" s="75" t="inlineStr">
        <is>
          <t>Other</t>
        </is>
      </c>
      <c r="BP463" s="76" t="inlineStr">
        <is>
          <t/>
        </is>
      </c>
      <c r="BQ463" s="77" t="inlineStr">
        <is>
          <t/>
        </is>
      </c>
      <c r="BR463" s="78" t="inlineStr">
        <is>
          <t/>
        </is>
      </c>
      <c r="BS463" s="79" t="inlineStr">
        <is>
          <t>Completed</t>
        </is>
      </c>
      <c r="BT463" s="80" t="n">
        <v>42660.0</v>
      </c>
      <c r="BU463" s="81" t="n">
        <v>5.95</v>
      </c>
      <c r="BV463" s="82" t="inlineStr">
        <is>
          <t>Actual</t>
        </is>
      </c>
      <c r="BW463" s="83" t="n">
        <v>13.99</v>
      </c>
      <c r="BX463" s="84" t="inlineStr">
        <is>
          <t>Actual</t>
        </is>
      </c>
      <c r="BY463" s="85" t="inlineStr">
        <is>
          <t>PE Growth/Expansion</t>
        </is>
      </c>
      <c r="BZ463" s="86" t="inlineStr">
        <is>
          <t/>
        </is>
      </c>
      <c r="CA463" s="87" t="inlineStr">
        <is>
          <t/>
        </is>
      </c>
      <c r="CB463" s="88" t="inlineStr">
        <is>
          <t>Private Equity</t>
        </is>
      </c>
      <c r="CC463" s="89" t="inlineStr">
        <is>
          <t/>
        </is>
      </c>
      <c r="CD463" s="90" t="inlineStr">
        <is>
          <t/>
        </is>
      </c>
      <c r="CE463" s="91" t="inlineStr">
        <is>
          <t/>
        </is>
      </c>
      <c r="CF463" s="92" t="inlineStr">
        <is>
          <t>Completed</t>
        </is>
      </c>
      <c r="CG463" s="93" t="inlineStr">
        <is>
          <t>0,39%</t>
        </is>
      </c>
      <c r="CH463" s="94" t="inlineStr">
        <is>
          <t>82</t>
        </is>
      </c>
      <c r="CI463" s="95" t="inlineStr">
        <is>
          <t>0,05%</t>
        </is>
      </c>
      <c r="CJ463" s="96" t="inlineStr">
        <is>
          <t>16,42%</t>
        </is>
      </c>
      <c r="CK463" s="97" t="inlineStr">
        <is>
          <t>0,00%</t>
        </is>
      </c>
      <c r="CL463" s="98" t="inlineStr">
        <is>
          <t>18</t>
        </is>
      </c>
      <c r="CM463" s="99" t="inlineStr">
        <is>
          <t>0,77%</t>
        </is>
      </c>
      <c r="CN463" s="100" t="inlineStr">
        <is>
          <t>94</t>
        </is>
      </c>
      <c r="CO463" s="101" t="inlineStr">
        <is>
          <t>0,00%</t>
        </is>
      </c>
      <c r="CP463" s="102" t="inlineStr">
        <is>
          <t>26</t>
        </is>
      </c>
      <c r="CQ463" s="103" t="inlineStr">
        <is>
          <t>0,00%</t>
        </is>
      </c>
      <c r="CR463" s="104" t="inlineStr">
        <is>
          <t>13</t>
        </is>
      </c>
      <c r="CS463" s="105" t="inlineStr">
        <is>
          <t/>
        </is>
      </c>
      <c r="CT463" s="106" t="inlineStr">
        <is>
          <t/>
        </is>
      </c>
      <c r="CU463" s="107" t="inlineStr">
        <is>
          <t>0,77%</t>
        </is>
      </c>
      <c r="CV463" s="108" t="inlineStr">
        <is>
          <t>96</t>
        </is>
      </c>
      <c r="CW463" s="109" t="inlineStr">
        <is>
          <t>0,90x</t>
        </is>
      </c>
      <c r="CX463" s="110" t="inlineStr">
        <is>
          <t>47</t>
        </is>
      </c>
      <c r="CY463" s="111" t="inlineStr">
        <is>
          <t>0,02x</t>
        </is>
      </c>
      <c r="CZ463" s="112" t="inlineStr">
        <is>
          <t>2,43%</t>
        </is>
      </c>
      <c r="DA463" s="113" t="inlineStr">
        <is>
          <t>0,46x</t>
        </is>
      </c>
      <c r="DB463" s="114" t="inlineStr">
        <is>
          <t>35</t>
        </is>
      </c>
      <c r="DC463" s="115" t="inlineStr">
        <is>
          <t>1,33x</t>
        </is>
      </c>
      <c r="DD463" s="116" t="inlineStr">
        <is>
          <t>54</t>
        </is>
      </c>
      <c r="DE463" s="117" t="inlineStr">
        <is>
          <t>0,23x</t>
        </is>
      </c>
      <c r="DF463" s="118" t="inlineStr">
        <is>
          <t>21</t>
        </is>
      </c>
      <c r="DG463" s="119" t="inlineStr">
        <is>
          <t>0,69x</t>
        </is>
      </c>
      <c r="DH463" s="120" t="inlineStr">
        <is>
          <t>43</t>
        </is>
      </c>
      <c r="DI463" s="121" t="inlineStr">
        <is>
          <t/>
        </is>
      </c>
      <c r="DJ463" s="122" t="inlineStr">
        <is>
          <t/>
        </is>
      </c>
      <c r="DK463" s="123" t="inlineStr">
        <is>
          <t>1,33x</t>
        </is>
      </c>
      <c r="DL463" s="124" t="inlineStr">
        <is>
          <t>56</t>
        </is>
      </c>
      <c r="DM463" s="125" t="inlineStr">
        <is>
          <t>190</t>
        </is>
      </c>
      <c r="DN463" s="126" t="inlineStr">
        <is>
          <t>-151</t>
        </is>
      </c>
      <c r="DO463" s="127" t="inlineStr">
        <is>
          <t>-44,28%</t>
        </is>
      </c>
      <c r="DP463" s="128" t="inlineStr">
        <is>
          <t/>
        </is>
      </c>
      <c r="DQ463" s="129" t="inlineStr">
        <is>
          <t/>
        </is>
      </c>
      <c r="DR463" s="130" t="inlineStr">
        <is>
          <t/>
        </is>
      </c>
      <c r="DS463" s="131" t="inlineStr">
        <is>
          <t>25</t>
        </is>
      </c>
      <c r="DT463" s="132" t="inlineStr">
        <is>
          <t>-1</t>
        </is>
      </c>
      <c r="DU463" s="133" t="inlineStr">
        <is>
          <t>-3,85%</t>
        </is>
      </c>
      <c r="DV463" s="134" t="inlineStr">
        <is>
          <t>453</t>
        </is>
      </c>
      <c r="DW463" s="135" t="inlineStr">
        <is>
          <t>6</t>
        </is>
      </c>
      <c r="DX463" s="136" t="inlineStr">
        <is>
          <t>1,34%</t>
        </is>
      </c>
      <c r="DY463" s="137" t="inlineStr">
        <is>
          <t>PitchBook Research</t>
        </is>
      </c>
      <c r="DZ463" s="785">
        <f>HYPERLINK("https://my.pitchbook.com?c=143478-64", "View company online")</f>
      </c>
    </row>
    <row r="464">
      <c r="A464" s="139" t="inlineStr">
        <is>
          <t>56977-48</t>
        </is>
      </c>
      <c r="B464" s="140" t="inlineStr">
        <is>
          <t>TransferGo</t>
        </is>
      </c>
      <c r="C464" s="141" t="inlineStr">
        <is>
          <t/>
        </is>
      </c>
      <c r="D464" s="142" t="inlineStr">
        <is>
          <t/>
        </is>
      </c>
      <c r="E464" s="143" t="inlineStr">
        <is>
          <t>56977-48</t>
        </is>
      </c>
      <c r="F464" s="144" t="inlineStr">
        <is>
          <t>Provider of an online payment services designed to help in international money transfers. The company's online payment services register, enter recipient details, make a booking for certain amount and then make a local transfer of that amount to the company, enabling users to transfer money in a hassle free way.</t>
        </is>
      </c>
      <c r="G464" s="145" t="inlineStr">
        <is>
          <t>Information Technology</t>
        </is>
      </c>
      <c r="H464" s="146" t="inlineStr">
        <is>
          <t>Software</t>
        </is>
      </c>
      <c r="I464" s="147" t="inlineStr">
        <is>
          <t>Financial Software</t>
        </is>
      </c>
      <c r="J464" s="148" t="inlineStr">
        <is>
          <t>Financial Software*; Other Financial Services; Application Software</t>
        </is>
      </c>
      <c r="K464" s="149" t="inlineStr">
        <is>
          <t>FinTech, SaaS</t>
        </is>
      </c>
      <c r="L464" s="150" t="inlineStr">
        <is>
          <t>Venture Capital-Backed</t>
        </is>
      </c>
      <c r="M464" s="151" t="n">
        <v>6.02</v>
      </c>
      <c r="N464" s="152" t="inlineStr">
        <is>
          <t>Generating Revenue</t>
        </is>
      </c>
      <c r="O464" s="153" t="inlineStr">
        <is>
          <t>Privately Held (backing)</t>
        </is>
      </c>
      <c r="P464" s="154" t="inlineStr">
        <is>
          <t>Venture Capital</t>
        </is>
      </c>
      <c r="Q464" s="155" t="inlineStr">
        <is>
          <t>www.transfergo.com</t>
        </is>
      </c>
      <c r="R464" s="156" t="n">
        <v>30.0</v>
      </c>
      <c r="S464" s="157" t="inlineStr">
        <is>
          <t/>
        </is>
      </c>
      <c r="T464" s="158" t="inlineStr">
        <is>
          <t/>
        </is>
      </c>
      <c r="U464" s="159" t="n">
        <v>2012.0</v>
      </c>
      <c r="V464" s="160" t="inlineStr">
        <is>
          <t/>
        </is>
      </c>
      <c r="W464" s="161" t="inlineStr">
        <is>
          <t/>
        </is>
      </c>
      <c r="X464" s="162" t="inlineStr">
        <is>
          <t/>
        </is>
      </c>
      <c r="Y464" s="163" t="n">
        <v>69.24707</v>
      </c>
      <c r="Z464" s="164" t="inlineStr">
        <is>
          <t/>
        </is>
      </c>
      <c r="AA464" s="165" t="inlineStr">
        <is>
          <t/>
        </is>
      </c>
      <c r="AB464" s="166" t="inlineStr">
        <is>
          <t/>
        </is>
      </c>
      <c r="AC464" s="167" t="inlineStr">
        <is>
          <t/>
        </is>
      </c>
      <c r="AD464" s="168" t="inlineStr">
        <is>
          <t>FY 2016</t>
        </is>
      </c>
      <c r="AE464" s="169" t="inlineStr">
        <is>
          <t>53868-25P</t>
        </is>
      </c>
      <c r="AF464" s="170" t="inlineStr">
        <is>
          <t>Justinas Lasevicius</t>
        </is>
      </c>
      <c r="AG464" s="171" t="inlineStr">
        <is>
          <t>Co-Founder, Board Member &amp; Chief Financial Officer</t>
        </is>
      </c>
      <c r="AH464" s="172" t="inlineStr">
        <is>
          <t>justinas@transfergo.com</t>
        </is>
      </c>
      <c r="AI464" s="173" t="inlineStr">
        <is>
          <t/>
        </is>
      </c>
      <c r="AJ464" s="174" t="inlineStr">
        <is>
          <t>London, United Kingdom</t>
        </is>
      </c>
      <c r="AK464" s="175" t="inlineStr">
        <is>
          <t>Level 42</t>
        </is>
      </c>
      <c r="AL464" s="176" t="inlineStr">
        <is>
          <t>One Canada Square, Canary Wharf</t>
        </is>
      </c>
      <c r="AM464" s="177" t="inlineStr">
        <is>
          <t>London</t>
        </is>
      </c>
      <c r="AN464" s="178" t="inlineStr">
        <is>
          <t>England</t>
        </is>
      </c>
      <c r="AO464" s="179" t="inlineStr">
        <is>
          <t>E14 5AB</t>
        </is>
      </c>
      <c r="AP464" s="180" t="inlineStr">
        <is>
          <t>United Kingdom</t>
        </is>
      </c>
      <c r="AQ464" s="181" t="inlineStr">
        <is>
          <t/>
        </is>
      </c>
      <c r="AR464" s="182" t="inlineStr">
        <is>
          <t/>
        </is>
      </c>
      <c r="AS464" s="183" t="inlineStr">
        <is>
          <t>hello@transfergo.com</t>
        </is>
      </c>
      <c r="AT464" s="184" t="inlineStr">
        <is>
          <t>Europe</t>
        </is>
      </c>
      <c r="AU464" s="185" t="inlineStr">
        <is>
          <t>Western Europe</t>
        </is>
      </c>
      <c r="AV464" s="186" t="inlineStr">
        <is>
          <t>The company raised $3.4 million of Series A venture funding from Vostok Emerging Finance on June 27, 2016. The funding will be used to accelerate their international expansion and for product development. Previously, the company raised $2.5 of seed funding in a deal led by Mark Ransford, Clive Kahn and Richard Tudor on December 16, 2015. Voria Fattahi also co-led the round with participation from Practica Capital.</t>
        </is>
      </c>
      <c r="AW464" s="187" t="inlineStr">
        <is>
          <t>Clive Kahn, Donatas Keras, Mark Ransford, Olga Dorofeeva, Practica Capital, Richard Tudor, Voria Fattahi, Vostok Emerging Finance</t>
        </is>
      </c>
      <c r="AX464" s="188" t="n">
        <v>8.0</v>
      </c>
      <c r="AY464" s="189" t="inlineStr">
        <is>
          <t/>
        </is>
      </c>
      <c r="AZ464" s="190" t="inlineStr">
        <is>
          <t/>
        </is>
      </c>
      <c r="BA464" s="191" t="inlineStr">
        <is>
          <t/>
        </is>
      </c>
      <c r="BB464" s="192" t="inlineStr">
        <is>
          <t>Practica Capital (www.practica.lt), Vostok Emerging Finance (www.vostokemergingfinance.com)</t>
        </is>
      </c>
      <c r="BC464" s="193" t="inlineStr">
        <is>
          <t/>
        </is>
      </c>
      <c r="BD464" s="194" t="inlineStr">
        <is>
          <t/>
        </is>
      </c>
      <c r="BE464" s="195" t="inlineStr">
        <is>
          <t>Orrick Herrington &amp; Sutcliffe (Legal Advisor), TRINITI (Legal Advisor)</t>
        </is>
      </c>
      <c r="BF464" s="196" t="inlineStr">
        <is>
          <t>Orrick Herrington &amp; Sutcliffe (Legal Advisor), TRINITI (Legal Advisor)</t>
        </is>
      </c>
      <c r="BG464" s="197" t="n">
        <v>41264.0</v>
      </c>
      <c r="BH464" s="198" t="n">
        <v>0.5</v>
      </c>
      <c r="BI464" s="199" t="inlineStr">
        <is>
          <t>Actual</t>
        </is>
      </c>
      <c r="BJ464" s="200" t="inlineStr">
        <is>
          <t/>
        </is>
      </c>
      <c r="BK464" s="201" t="inlineStr">
        <is>
          <t/>
        </is>
      </c>
      <c r="BL464" s="202" t="inlineStr">
        <is>
          <t>Seed Round</t>
        </is>
      </c>
      <c r="BM464" s="203" t="inlineStr">
        <is>
          <t>Seed</t>
        </is>
      </c>
      <c r="BN464" s="204" t="inlineStr">
        <is>
          <t/>
        </is>
      </c>
      <c r="BO464" s="205" t="inlineStr">
        <is>
          <t>Venture Capital</t>
        </is>
      </c>
      <c r="BP464" s="206" t="inlineStr">
        <is>
          <t/>
        </is>
      </c>
      <c r="BQ464" s="207" t="inlineStr">
        <is>
          <t/>
        </is>
      </c>
      <c r="BR464" s="208" t="inlineStr">
        <is>
          <t/>
        </is>
      </c>
      <c r="BS464" s="209" t="inlineStr">
        <is>
          <t>Completed</t>
        </is>
      </c>
      <c r="BT464" s="210" t="n">
        <v>42548.0</v>
      </c>
      <c r="BU464" s="211" t="n">
        <v>3.02</v>
      </c>
      <c r="BV464" s="212" t="inlineStr">
        <is>
          <t>Actual</t>
        </is>
      </c>
      <c r="BW464" s="213" t="inlineStr">
        <is>
          <t/>
        </is>
      </c>
      <c r="BX464" s="214" t="inlineStr">
        <is>
          <t/>
        </is>
      </c>
      <c r="BY464" s="215" t="inlineStr">
        <is>
          <t>Early Stage VC</t>
        </is>
      </c>
      <c r="BZ464" s="216" t="inlineStr">
        <is>
          <t>Series A</t>
        </is>
      </c>
      <c r="CA464" s="217" t="inlineStr">
        <is>
          <t/>
        </is>
      </c>
      <c r="CB464" s="218" t="inlineStr">
        <is>
          <t>Venture Capital</t>
        </is>
      </c>
      <c r="CC464" s="219" t="inlineStr">
        <is>
          <t/>
        </is>
      </c>
      <c r="CD464" s="220" t="inlineStr">
        <is>
          <t/>
        </is>
      </c>
      <c r="CE464" s="221" t="inlineStr">
        <is>
          <t/>
        </is>
      </c>
      <c r="CF464" s="222" t="inlineStr">
        <is>
          <t>Completed</t>
        </is>
      </c>
      <c r="CG464" s="223" t="inlineStr">
        <is>
          <t>0,49%</t>
        </is>
      </c>
      <c r="CH464" s="224" t="inlineStr">
        <is>
          <t>84</t>
        </is>
      </c>
      <c r="CI464" s="225" t="inlineStr">
        <is>
          <t>0,03%</t>
        </is>
      </c>
      <c r="CJ464" s="226" t="inlineStr">
        <is>
          <t>6,31%</t>
        </is>
      </c>
      <c r="CK464" s="227" t="inlineStr">
        <is>
          <t>0,69%</t>
        </is>
      </c>
      <c r="CL464" s="228" t="inlineStr">
        <is>
          <t>85</t>
        </is>
      </c>
      <c r="CM464" s="229" t="inlineStr">
        <is>
          <t>0,28%</t>
        </is>
      </c>
      <c r="CN464" s="230" t="inlineStr">
        <is>
          <t>80</t>
        </is>
      </c>
      <c r="CO464" s="231" t="inlineStr">
        <is>
          <t>0,95%</t>
        </is>
      </c>
      <c r="CP464" s="232" t="inlineStr">
        <is>
          <t>84</t>
        </is>
      </c>
      <c r="CQ464" s="233" t="inlineStr">
        <is>
          <t>0,42%</t>
        </is>
      </c>
      <c r="CR464" s="234" t="inlineStr">
        <is>
          <t>86</t>
        </is>
      </c>
      <c r="CS464" s="235" t="inlineStr">
        <is>
          <t>0,25%</t>
        </is>
      </c>
      <c r="CT464" s="236" t="inlineStr">
        <is>
          <t>75</t>
        </is>
      </c>
      <c r="CU464" s="237" t="inlineStr">
        <is>
          <t>0,32%</t>
        </is>
      </c>
      <c r="CV464" s="238" t="inlineStr">
        <is>
          <t>86</t>
        </is>
      </c>
      <c r="CW464" s="239" t="inlineStr">
        <is>
          <t>52,17x</t>
        </is>
      </c>
      <c r="CX464" s="240" t="inlineStr">
        <is>
          <t>96</t>
        </is>
      </c>
      <c r="CY464" s="241" t="inlineStr">
        <is>
          <t>0,41x</t>
        </is>
      </c>
      <c r="CZ464" s="242" t="inlineStr">
        <is>
          <t>0,79%</t>
        </is>
      </c>
      <c r="DA464" s="243" t="inlineStr">
        <is>
          <t>84,63x</t>
        </is>
      </c>
      <c r="DB464" s="244" t="inlineStr">
        <is>
          <t>98</t>
        </is>
      </c>
      <c r="DC464" s="245" t="inlineStr">
        <is>
          <t>19,72x</t>
        </is>
      </c>
      <c r="DD464" s="246" t="inlineStr">
        <is>
          <t>90</t>
        </is>
      </c>
      <c r="DE464" s="247" t="inlineStr">
        <is>
          <t>148,28x</t>
        </is>
      </c>
      <c r="DF464" s="248" t="inlineStr">
        <is>
          <t>97</t>
        </is>
      </c>
      <c r="DG464" s="249" t="inlineStr">
        <is>
          <t>20,97x</t>
        </is>
      </c>
      <c r="DH464" s="250" t="inlineStr">
        <is>
          <t>93</t>
        </is>
      </c>
      <c r="DI464" s="251" t="inlineStr">
        <is>
          <t>35,05x</t>
        </is>
      </c>
      <c r="DJ464" s="252" t="inlineStr">
        <is>
          <t>91</t>
        </is>
      </c>
      <c r="DK464" s="253" t="inlineStr">
        <is>
          <t>4,38x</t>
        </is>
      </c>
      <c r="DL464" s="254" t="inlineStr">
        <is>
          <t>76</t>
        </is>
      </c>
      <c r="DM464" s="255" t="inlineStr">
        <is>
          <t>90.944</t>
        </is>
      </c>
      <c r="DN464" s="256" t="inlineStr">
        <is>
          <t>746</t>
        </is>
      </c>
      <c r="DO464" s="257" t="inlineStr">
        <is>
          <t>0,83%</t>
        </is>
      </c>
      <c r="DP464" s="258" t="inlineStr">
        <is>
          <t>27.995</t>
        </is>
      </c>
      <c r="DQ464" s="259" t="inlineStr">
        <is>
          <t>57</t>
        </is>
      </c>
      <c r="DR464" s="260" t="inlineStr">
        <is>
          <t>0,20%</t>
        </is>
      </c>
      <c r="DS464" s="261" t="inlineStr">
        <is>
          <t>751</t>
        </is>
      </c>
      <c r="DT464" s="262" t="inlineStr">
        <is>
          <t>7</t>
        </is>
      </c>
      <c r="DU464" s="263" t="inlineStr">
        <is>
          <t>0,94%</t>
        </is>
      </c>
      <c r="DV464" s="264" t="inlineStr">
        <is>
          <t>1.503</t>
        </is>
      </c>
      <c r="DW464" s="265" t="inlineStr">
        <is>
          <t>2</t>
        </is>
      </c>
      <c r="DX464" s="266" t="inlineStr">
        <is>
          <t>0,13%</t>
        </is>
      </c>
      <c r="DY464" s="267" t="inlineStr">
        <is>
          <t>PitchBook Research</t>
        </is>
      </c>
      <c r="DZ464" s="786">
        <f>HYPERLINK("https://my.pitchbook.com?c=56977-48", "View company online")</f>
      </c>
    </row>
    <row r="465">
      <c r="A465" s="9" t="inlineStr">
        <is>
          <t>97962-67</t>
        </is>
      </c>
      <c r="B465" s="10" t="inlineStr">
        <is>
          <t>Travador</t>
        </is>
      </c>
      <c r="C465" s="11" t="inlineStr">
        <is>
          <t/>
        </is>
      </c>
      <c r="D465" s="12" t="inlineStr">
        <is>
          <t/>
        </is>
      </c>
      <c r="E465" s="13" t="inlineStr">
        <is>
          <t>97962-67</t>
        </is>
      </c>
      <c r="F465" s="14" t="inlineStr">
        <is>
          <t>Provider of a travel platform designed to focus on short haul travel experiences. The company's travel platform presents plans for short and adventure travel in a well-organized and carefully researched manner, enabling travelers to have a relaxing wellness holiday.</t>
        </is>
      </c>
      <c r="G465" s="15" t="inlineStr">
        <is>
          <t>Consumer Products and Services (B2C)</t>
        </is>
      </c>
      <c r="H465" s="16" t="inlineStr">
        <is>
          <t>Media</t>
        </is>
      </c>
      <c r="I465" s="17" t="inlineStr">
        <is>
          <t>Social Content</t>
        </is>
      </c>
      <c r="J465" s="18" t="inlineStr">
        <is>
          <t>Social Content*; Other Restaurants, Hotels and Leisure; Application Software</t>
        </is>
      </c>
      <c r="K465" s="19" t="inlineStr">
        <is>
          <t/>
        </is>
      </c>
      <c r="L465" s="20" t="inlineStr">
        <is>
          <t>Venture Capital-Backed</t>
        </is>
      </c>
      <c r="M465" s="21" t="n">
        <v>7.97</v>
      </c>
      <c r="N465" s="22" t="inlineStr">
        <is>
          <t>Startup</t>
        </is>
      </c>
      <c r="O465" s="23" t="inlineStr">
        <is>
          <t>Privately Held (backing)</t>
        </is>
      </c>
      <c r="P465" s="24" t="inlineStr">
        <is>
          <t>Venture Capital</t>
        </is>
      </c>
      <c r="Q465" s="25" t="inlineStr">
        <is>
          <t>www.travador.com</t>
        </is>
      </c>
      <c r="R465" s="26" t="n">
        <v>36.0</v>
      </c>
      <c r="S465" s="27" t="inlineStr">
        <is>
          <t/>
        </is>
      </c>
      <c r="T465" s="28" t="inlineStr">
        <is>
          <t/>
        </is>
      </c>
      <c r="U465" s="29" t="n">
        <v>2013.0</v>
      </c>
      <c r="V465" s="30" t="inlineStr">
        <is>
          <t/>
        </is>
      </c>
      <c r="W465" s="31" t="inlineStr">
        <is>
          <t/>
        </is>
      </c>
      <c r="X465" s="32" t="inlineStr">
        <is>
          <t/>
        </is>
      </c>
      <c r="Y465" s="33" t="inlineStr">
        <is>
          <t/>
        </is>
      </c>
      <c r="Z465" s="34" t="inlineStr">
        <is>
          <t/>
        </is>
      </c>
      <c r="AA465" s="35" t="inlineStr">
        <is>
          <t/>
        </is>
      </c>
      <c r="AB465" s="36" t="inlineStr">
        <is>
          <t/>
        </is>
      </c>
      <c r="AC465" s="37" t="inlineStr">
        <is>
          <t/>
        </is>
      </c>
      <c r="AD465" s="38" t="inlineStr">
        <is>
          <t/>
        </is>
      </c>
      <c r="AE465" s="39" t="inlineStr">
        <is>
          <t>80707-69P</t>
        </is>
      </c>
      <c r="AF465" s="40" t="inlineStr">
        <is>
          <t>Sebastian Schmidt</t>
        </is>
      </c>
      <c r="AG465" s="41" t="inlineStr">
        <is>
          <t>Co-Founder &amp; Managing Director</t>
        </is>
      </c>
      <c r="AH465" s="42" t="inlineStr">
        <is>
          <t>sebastian.schmidt@travador.com</t>
        </is>
      </c>
      <c r="AI465" s="43" t="inlineStr">
        <is>
          <t>+49 (0)89 9047 5222 2</t>
        </is>
      </c>
      <c r="AJ465" s="44" t="inlineStr">
        <is>
          <t>Munich, Germany</t>
        </is>
      </c>
      <c r="AK465" s="45" t="inlineStr">
        <is>
          <t>Flößergasse 2</t>
        </is>
      </c>
      <c r="AL465" s="46" t="inlineStr">
        <is>
          <t/>
        </is>
      </c>
      <c r="AM465" s="47" t="inlineStr">
        <is>
          <t>Munich</t>
        </is>
      </c>
      <c r="AN465" s="48" t="inlineStr">
        <is>
          <t/>
        </is>
      </c>
      <c r="AO465" s="49" t="inlineStr">
        <is>
          <t>81369</t>
        </is>
      </c>
      <c r="AP465" s="50" t="inlineStr">
        <is>
          <t>Germany</t>
        </is>
      </c>
      <c r="AQ465" s="51" t="inlineStr">
        <is>
          <t>+49 (0)89 9047 5222 2</t>
        </is>
      </c>
      <c r="AR465" s="52" t="inlineStr">
        <is>
          <t>+49 (0)89 7675 4427</t>
        </is>
      </c>
      <c r="AS465" s="53" t="inlineStr">
        <is>
          <t>info@travador.com</t>
        </is>
      </c>
      <c r="AT465" s="54" t="inlineStr">
        <is>
          <t>Europe</t>
        </is>
      </c>
      <c r="AU465" s="55" t="inlineStr">
        <is>
          <t>Western Europe</t>
        </is>
      </c>
      <c r="AV465" s="56" t="inlineStr">
        <is>
          <t>The company raised $7 million of Series A venture funding from XAnge Private Equity, Siparex Group and Capnamic Ventures on October 1, 2014. Iris Capital Management also participated in this round. Previously, the company raised $3.3 million of seed funding from Capnamic Ventures and Irish Capital Management on November 1, 2013.</t>
        </is>
      </c>
      <c r="AW465" s="57" t="inlineStr">
        <is>
          <t>Capnamic Ventures, Iris Capital Management, Siparex Group, XAnge Private Equity</t>
        </is>
      </c>
      <c r="AX465" s="58" t="n">
        <v>4.0</v>
      </c>
      <c r="AY465" s="59" t="inlineStr">
        <is>
          <t/>
        </is>
      </c>
      <c r="AZ465" s="60" t="inlineStr">
        <is>
          <t/>
        </is>
      </c>
      <c r="BA465" s="61" t="inlineStr">
        <is>
          <t/>
        </is>
      </c>
      <c r="BB465" s="62" t="inlineStr">
        <is>
          <t>Capnamic Ventures (www.capnamic.com), Iris Capital Management (www.iriscapital.com), Siparex Group (www.siparex.com), XAnge Private Equity (www.xange.fr)</t>
        </is>
      </c>
      <c r="BC465" s="63" t="inlineStr">
        <is>
          <t/>
        </is>
      </c>
      <c r="BD465" s="64" t="inlineStr">
        <is>
          <t/>
        </is>
      </c>
      <c r="BE465" s="65" t="inlineStr">
        <is>
          <t/>
        </is>
      </c>
      <c r="BF465" s="66" t="inlineStr">
        <is>
          <t/>
        </is>
      </c>
      <c r="BG465" s="67" t="n">
        <v>41579.0</v>
      </c>
      <c r="BH465" s="68" t="n">
        <v>2.45</v>
      </c>
      <c r="BI465" s="69" t="inlineStr">
        <is>
          <t>Actual</t>
        </is>
      </c>
      <c r="BJ465" s="70" t="inlineStr">
        <is>
          <t/>
        </is>
      </c>
      <c r="BK465" s="71" t="inlineStr">
        <is>
          <t/>
        </is>
      </c>
      <c r="BL465" s="72" t="inlineStr">
        <is>
          <t>Seed Round</t>
        </is>
      </c>
      <c r="BM465" s="73" t="inlineStr">
        <is>
          <t>Seed</t>
        </is>
      </c>
      <c r="BN465" s="74" t="inlineStr">
        <is>
          <t/>
        </is>
      </c>
      <c r="BO465" s="75" t="inlineStr">
        <is>
          <t>Venture Capital</t>
        </is>
      </c>
      <c r="BP465" s="76" t="inlineStr">
        <is>
          <t/>
        </is>
      </c>
      <c r="BQ465" s="77" t="inlineStr">
        <is>
          <t/>
        </is>
      </c>
      <c r="BR465" s="78" t="inlineStr">
        <is>
          <t/>
        </is>
      </c>
      <c r="BS465" s="79" t="inlineStr">
        <is>
          <t>Completed</t>
        </is>
      </c>
      <c r="BT465" s="80" t="n">
        <v>41913.0</v>
      </c>
      <c r="BU465" s="81" t="n">
        <v>5.52</v>
      </c>
      <c r="BV465" s="82" t="inlineStr">
        <is>
          <t>Actual</t>
        </is>
      </c>
      <c r="BW465" s="83" t="inlineStr">
        <is>
          <t/>
        </is>
      </c>
      <c r="BX465" s="84" t="inlineStr">
        <is>
          <t/>
        </is>
      </c>
      <c r="BY465" s="85" t="inlineStr">
        <is>
          <t>Early Stage VC</t>
        </is>
      </c>
      <c r="BZ465" s="86" t="inlineStr">
        <is>
          <t>Series A</t>
        </is>
      </c>
      <c r="CA465" s="87" t="inlineStr">
        <is>
          <t/>
        </is>
      </c>
      <c r="CB465" s="88" t="inlineStr">
        <is>
          <t>Venture Capital</t>
        </is>
      </c>
      <c r="CC465" s="89" t="inlineStr">
        <is>
          <t/>
        </is>
      </c>
      <c r="CD465" s="90" t="inlineStr">
        <is>
          <t/>
        </is>
      </c>
      <c r="CE465" s="91" t="inlineStr">
        <is>
          <t/>
        </is>
      </c>
      <c r="CF465" s="92" t="inlineStr">
        <is>
          <t>Completed</t>
        </is>
      </c>
      <c r="CG465" s="93" t="inlineStr">
        <is>
          <t>0,84%</t>
        </is>
      </c>
      <c r="CH465" s="94" t="inlineStr">
        <is>
          <t>87</t>
        </is>
      </c>
      <c r="CI465" s="95" t="inlineStr">
        <is>
          <t>0,02%</t>
        </is>
      </c>
      <c r="CJ465" s="96" t="inlineStr">
        <is>
          <t>2,04%</t>
        </is>
      </c>
      <c r="CK465" s="97" t="inlineStr">
        <is>
          <t>1,15%</t>
        </is>
      </c>
      <c r="CL465" s="98" t="inlineStr">
        <is>
          <t>87</t>
        </is>
      </c>
      <c r="CM465" s="99" t="inlineStr">
        <is>
          <t>0,52%</t>
        </is>
      </c>
      <c r="CN465" s="100" t="inlineStr">
        <is>
          <t>90</t>
        </is>
      </c>
      <c r="CO465" s="101" t="inlineStr">
        <is>
          <t>1,15%</t>
        </is>
      </c>
      <c r="CP465" s="102" t="inlineStr">
        <is>
          <t>85</t>
        </is>
      </c>
      <c r="CQ465" s="103" t="inlineStr">
        <is>
          <t/>
        </is>
      </c>
      <c r="CR465" s="104" t="inlineStr">
        <is>
          <t/>
        </is>
      </c>
      <c r="CS465" s="105" t="inlineStr">
        <is>
          <t>0,52%</t>
        </is>
      </c>
      <c r="CT465" s="106" t="inlineStr">
        <is>
          <t>88</t>
        </is>
      </c>
      <c r="CU465" s="107" t="inlineStr">
        <is>
          <t/>
        </is>
      </c>
      <c r="CV465" s="108" t="inlineStr">
        <is>
          <t/>
        </is>
      </c>
      <c r="CW465" s="109" t="inlineStr">
        <is>
          <t>221,03x</t>
        </is>
      </c>
      <c r="CX465" s="110" t="inlineStr">
        <is>
          <t>99</t>
        </is>
      </c>
      <c r="CY465" s="111" t="inlineStr">
        <is>
          <t>4,13x</t>
        </is>
      </c>
      <c r="CZ465" s="112" t="inlineStr">
        <is>
          <t>1,90%</t>
        </is>
      </c>
      <c r="DA465" s="113" t="inlineStr">
        <is>
          <t>98,25x</t>
        </is>
      </c>
      <c r="DB465" s="114" t="inlineStr">
        <is>
          <t>98</t>
        </is>
      </c>
      <c r="DC465" s="115" t="inlineStr">
        <is>
          <t>343,81x</t>
        </is>
      </c>
      <c r="DD465" s="116" t="inlineStr">
        <is>
          <t>99</t>
        </is>
      </c>
      <c r="DE465" s="117" t="inlineStr">
        <is>
          <t>98,25x</t>
        </is>
      </c>
      <c r="DF465" s="118" t="inlineStr">
        <is>
          <t>96</t>
        </is>
      </c>
      <c r="DG465" s="119" t="inlineStr">
        <is>
          <t/>
        </is>
      </c>
      <c r="DH465" s="120" t="inlineStr">
        <is>
          <t/>
        </is>
      </c>
      <c r="DI465" s="121" t="inlineStr">
        <is>
          <t>343,81x</t>
        </is>
      </c>
      <c r="DJ465" s="122" t="inlineStr">
        <is>
          <t>98</t>
        </is>
      </c>
      <c r="DK465" s="123" t="inlineStr">
        <is>
          <t/>
        </is>
      </c>
      <c r="DL465" s="124" t="inlineStr">
        <is>
          <t/>
        </is>
      </c>
      <c r="DM465" s="125" t="inlineStr">
        <is>
          <t>61.053</t>
        </is>
      </c>
      <c r="DN465" s="126" t="inlineStr">
        <is>
          <t>-1.892</t>
        </is>
      </c>
      <c r="DO465" s="127" t="inlineStr">
        <is>
          <t>-3,01%</t>
        </is>
      </c>
      <c r="DP465" s="128" t="inlineStr">
        <is>
          <t>274.323</t>
        </is>
      </c>
      <c r="DQ465" s="129" t="inlineStr">
        <is>
          <t>1.004</t>
        </is>
      </c>
      <c r="DR465" s="130" t="inlineStr">
        <is>
          <t>0,37%</t>
        </is>
      </c>
      <c r="DS465" s="131" t="inlineStr">
        <is>
          <t/>
        </is>
      </c>
      <c r="DT465" s="132" t="inlineStr">
        <is>
          <t/>
        </is>
      </c>
      <c r="DU465" s="133" t="inlineStr">
        <is>
          <t/>
        </is>
      </c>
      <c r="DV465" s="134" t="inlineStr">
        <is>
          <t/>
        </is>
      </c>
      <c r="DW465" s="135" t="inlineStr">
        <is>
          <t/>
        </is>
      </c>
      <c r="DX465" s="136" t="inlineStr">
        <is>
          <t/>
        </is>
      </c>
      <c r="DY465" s="137" t="inlineStr">
        <is>
          <t>PitchBook Research</t>
        </is>
      </c>
      <c r="DZ465" s="785">
        <f>HYPERLINK("https://my.pitchbook.com?c=97962-67", "View company online")</f>
      </c>
    </row>
    <row r="466">
      <c r="A466" s="139" t="inlineStr">
        <is>
          <t>65861-83</t>
        </is>
      </c>
      <c r="B466" s="140" t="inlineStr">
        <is>
          <t>TravelCar</t>
        </is>
      </c>
      <c r="C466" s="141" t="inlineStr">
        <is>
          <t>TravelerCar</t>
        </is>
      </c>
      <c r="D466" s="142" t="inlineStr">
        <is>
          <t>TravelerPark</t>
        </is>
      </c>
      <c r="E466" s="143" t="inlineStr">
        <is>
          <t>65861-83</t>
        </is>
      </c>
      <c r="F466" s="144" t="inlineStr">
        <is>
          <t>Provider of a peer-to-peer car sharing platform created for train and flight travelers. The company's peer-to-peer car sharing platform enables travelers to rent their vehicles while they are away. It also provides necessary insurance and support for drivers and vehicles that have been rented through its system, enabling users to save money on parking fees at airports, train stations and ports and earn money by renting out their vehicles while they're on the road.</t>
        </is>
      </c>
      <c r="G466" s="145" t="inlineStr">
        <is>
          <t>Information Technology</t>
        </is>
      </c>
      <c r="H466" s="146" t="inlineStr">
        <is>
          <t>Software</t>
        </is>
      </c>
      <c r="I466" s="147" t="inlineStr">
        <is>
          <t>Application Software</t>
        </is>
      </c>
      <c r="J466" s="148" t="inlineStr">
        <is>
          <t>Application Software*; Other Services (B2C Non-Financial); Automotive</t>
        </is>
      </c>
      <c r="K466" s="149" t="inlineStr">
        <is>
          <t>LOHAS &amp; Wellness</t>
        </is>
      </c>
      <c r="L466" s="150" t="inlineStr">
        <is>
          <t>Venture Capital-Backed</t>
        </is>
      </c>
      <c r="M466" s="151" t="n">
        <v>15.75</v>
      </c>
      <c r="N466" s="152" t="inlineStr">
        <is>
          <t>Startup</t>
        </is>
      </c>
      <c r="O466" s="153" t="inlineStr">
        <is>
          <t>Privately Held (backing)</t>
        </is>
      </c>
      <c r="P466" s="154" t="inlineStr">
        <is>
          <t>Venture Capital</t>
        </is>
      </c>
      <c r="Q466" s="155" t="inlineStr">
        <is>
          <t>www.travelcar.com</t>
        </is>
      </c>
      <c r="R466" s="156" t="n">
        <v>15.0</v>
      </c>
      <c r="S466" s="157" t="inlineStr">
        <is>
          <t/>
        </is>
      </c>
      <c r="T466" s="158" t="inlineStr">
        <is>
          <t/>
        </is>
      </c>
      <c r="U466" s="159" t="n">
        <v>2012.0</v>
      </c>
      <c r="V466" s="160" t="inlineStr">
        <is>
          <t/>
        </is>
      </c>
      <c r="W466" s="161" t="inlineStr">
        <is>
          <t/>
        </is>
      </c>
      <c r="X466" s="162" t="inlineStr">
        <is>
          <t/>
        </is>
      </c>
      <c r="Y466" s="163" t="inlineStr">
        <is>
          <t/>
        </is>
      </c>
      <c r="Z466" s="164" t="inlineStr">
        <is>
          <t/>
        </is>
      </c>
      <c r="AA466" s="165" t="inlineStr">
        <is>
          <t/>
        </is>
      </c>
      <c r="AB466" s="166" t="inlineStr">
        <is>
          <t/>
        </is>
      </c>
      <c r="AC466" s="167" t="inlineStr">
        <is>
          <t/>
        </is>
      </c>
      <c r="AD466" s="168" t="inlineStr">
        <is>
          <t/>
        </is>
      </c>
      <c r="AE466" s="169" t="inlineStr">
        <is>
          <t>96874-03P</t>
        </is>
      </c>
      <c r="AF466" s="170" t="inlineStr">
        <is>
          <t>Ahmed Mhiri</t>
        </is>
      </c>
      <c r="AG466" s="171" t="inlineStr">
        <is>
          <t>Chief Executive Officer and Co-Founder</t>
        </is>
      </c>
      <c r="AH466" s="172" t="inlineStr">
        <is>
          <t>ahmed.mhiri@travelercar.com</t>
        </is>
      </c>
      <c r="AI466" s="173" t="inlineStr">
        <is>
          <t>+33 (0)9 77 55 50 11</t>
        </is>
      </c>
      <c r="AJ466" s="174" t="inlineStr">
        <is>
          <t>Paris, France</t>
        </is>
      </c>
      <c r="AK466" s="175" t="inlineStr">
        <is>
          <t>45 rue de la Chaussée d'Antin</t>
        </is>
      </c>
      <c r="AL466" s="176" t="inlineStr">
        <is>
          <t/>
        </is>
      </c>
      <c r="AM466" s="177" t="inlineStr">
        <is>
          <t>Paris</t>
        </is>
      </c>
      <c r="AN466" s="178" t="inlineStr">
        <is>
          <t/>
        </is>
      </c>
      <c r="AO466" s="179" t="inlineStr">
        <is>
          <t>75009</t>
        </is>
      </c>
      <c r="AP466" s="180" t="inlineStr">
        <is>
          <t>France</t>
        </is>
      </c>
      <c r="AQ466" s="181" t="inlineStr">
        <is>
          <t>+33 (0)9 77 55 50 11</t>
        </is>
      </c>
      <c r="AR466" s="182" t="inlineStr">
        <is>
          <t/>
        </is>
      </c>
      <c r="AS466" s="183" t="inlineStr">
        <is>
          <t>contact@travelercar.com</t>
        </is>
      </c>
      <c r="AT466" s="184" t="inlineStr">
        <is>
          <t>Europe</t>
        </is>
      </c>
      <c r="AU466" s="185" t="inlineStr">
        <is>
          <t>Western Europe</t>
        </is>
      </c>
      <c r="AV466" s="186" t="inlineStr">
        <is>
          <t>The company received EUR 15 million of Series B venture funding from MAIF and PSA Group on February 22, 2017. The company will use the funds to introduce the concept in the US, with Los Angeles and San Francisco identified as its launch locations.</t>
        </is>
      </c>
      <c r="AW466" s="187" t="inlineStr">
        <is>
          <t>Founder Institute, MAIF Avenir, Network Finances, Pierre-Antoine Durgeat, PSA Groupe</t>
        </is>
      </c>
      <c r="AX466" s="188" t="n">
        <v>5.0</v>
      </c>
      <c r="AY466" s="189" t="inlineStr">
        <is>
          <t/>
        </is>
      </c>
      <c r="AZ466" s="190" t="inlineStr">
        <is>
          <t/>
        </is>
      </c>
      <c r="BA466" s="191" t="inlineStr">
        <is>
          <t/>
        </is>
      </c>
      <c r="BB466" s="192" t="inlineStr">
        <is>
          <t>Founder Institute (www.fi.co), MAIF Avenir (www.maif-avenir.fr), Network Finances (www.network-finances.com), PSA Groupe (www.groupe-psa.com)</t>
        </is>
      </c>
      <c r="BC466" s="193" t="inlineStr">
        <is>
          <t/>
        </is>
      </c>
      <c r="BD466" s="194" t="inlineStr">
        <is>
          <t/>
        </is>
      </c>
      <c r="BE466" s="195" t="inlineStr">
        <is>
          <t/>
        </is>
      </c>
      <c r="BF466" s="196" t="inlineStr">
        <is>
          <t>Drake Star Partners (Advisor), LD&amp;A Jupiter (Advisor)</t>
        </is>
      </c>
      <c r="BG466" s="197" t="n">
        <v>41183.0</v>
      </c>
      <c r="BH466" s="198" t="inlineStr">
        <is>
          <t/>
        </is>
      </c>
      <c r="BI466" s="199" t="inlineStr">
        <is>
          <t/>
        </is>
      </c>
      <c r="BJ466" s="200" t="inlineStr">
        <is>
          <t/>
        </is>
      </c>
      <c r="BK466" s="201" t="inlineStr">
        <is>
          <t/>
        </is>
      </c>
      <c r="BL466" s="202" t="inlineStr">
        <is>
          <t>Accelerator/Incubator</t>
        </is>
      </c>
      <c r="BM466" s="203" t="inlineStr">
        <is>
          <t/>
        </is>
      </c>
      <c r="BN466" s="204" t="inlineStr">
        <is>
          <t/>
        </is>
      </c>
      <c r="BO466" s="205" t="inlineStr">
        <is>
          <t>Other</t>
        </is>
      </c>
      <c r="BP466" s="206" t="inlineStr">
        <is>
          <t/>
        </is>
      </c>
      <c r="BQ466" s="207" t="inlineStr">
        <is>
          <t/>
        </is>
      </c>
      <c r="BR466" s="208" t="inlineStr">
        <is>
          <t/>
        </is>
      </c>
      <c r="BS466" s="209" t="inlineStr">
        <is>
          <t>Completed</t>
        </is>
      </c>
      <c r="BT466" s="210" t="n">
        <v>42788.0</v>
      </c>
      <c r="BU466" s="211" t="n">
        <v>15.0</v>
      </c>
      <c r="BV466" s="212" t="inlineStr">
        <is>
          <t>Actual</t>
        </is>
      </c>
      <c r="BW466" s="213" t="inlineStr">
        <is>
          <t/>
        </is>
      </c>
      <c r="BX466" s="214" t="inlineStr">
        <is>
          <t/>
        </is>
      </c>
      <c r="BY466" s="215" t="inlineStr">
        <is>
          <t>Early Stage VC</t>
        </is>
      </c>
      <c r="BZ466" s="216" t="inlineStr">
        <is>
          <t>Series B</t>
        </is>
      </c>
      <c r="CA466" s="217" t="inlineStr">
        <is>
          <t/>
        </is>
      </c>
      <c r="CB466" s="218" t="inlineStr">
        <is>
          <t>Venture Capital</t>
        </is>
      </c>
      <c r="CC466" s="219" t="inlineStr">
        <is>
          <t/>
        </is>
      </c>
      <c r="CD466" s="220" t="inlineStr">
        <is>
          <t/>
        </is>
      </c>
      <c r="CE466" s="221" t="inlineStr">
        <is>
          <t/>
        </is>
      </c>
      <c r="CF466" s="222" t="inlineStr">
        <is>
          <t>Completed</t>
        </is>
      </c>
      <c r="CG466" s="223" t="inlineStr">
        <is>
          <t>2,81%</t>
        </is>
      </c>
      <c r="CH466" s="224" t="inlineStr">
        <is>
          <t>95</t>
        </is>
      </c>
      <c r="CI466" s="225" t="inlineStr">
        <is>
          <t>-0,04%</t>
        </is>
      </c>
      <c r="CJ466" s="226" t="inlineStr">
        <is>
          <t>-1,44%</t>
        </is>
      </c>
      <c r="CK466" s="227" t="inlineStr">
        <is>
          <t>5,31%</t>
        </is>
      </c>
      <c r="CL466" s="228" t="inlineStr">
        <is>
          <t>96</t>
        </is>
      </c>
      <c r="CM466" s="229" t="inlineStr">
        <is>
          <t>0,30%</t>
        </is>
      </c>
      <c r="CN466" s="230" t="inlineStr">
        <is>
          <t>81</t>
        </is>
      </c>
      <c r="CO466" s="231" t="inlineStr">
        <is>
          <t>10,46%</t>
        </is>
      </c>
      <c r="CP466" s="232" t="inlineStr">
        <is>
          <t>100</t>
        </is>
      </c>
      <c r="CQ466" s="233" t="inlineStr">
        <is>
          <t>0,16%</t>
        </is>
      </c>
      <c r="CR466" s="234" t="inlineStr">
        <is>
          <t>84</t>
        </is>
      </c>
      <c r="CS466" s="235" t="inlineStr">
        <is>
          <t>0,09%</t>
        </is>
      </c>
      <c r="CT466" s="236" t="inlineStr">
        <is>
          <t>56</t>
        </is>
      </c>
      <c r="CU466" s="237" t="inlineStr">
        <is>
          <t>0,52%</t>
        </is>
      </c>
      <c r="CV466" s="238" t="inlineStr">
        <is>
          <t>92</t>
        </is>
      </c>
      <c r="CW466" s="239" t="inlineStr">
        <is>
          <t>40,22x</t>
        </is>
      </c>
      <c r="CX466" s="240" t="inlineStr">
        <is>
          <t>95</t>
        </is>
      </c>
      <c r="CY466" s="241" t="inlineStr">
        <is>
          <t>0,18x</t>
        </is>
      </c>
      <c r="CZ466" s="242" t="inlineStr">
        <is>
          <t>0,46%</t>
        </is>
      </c>
      <c r="DA466" s="243" t="inlineStr">
        <is>
          <t>69,00x</t>
        </is>
      </c>
      <c r="DB466" s="244" t="inlineStr">
        <is>
          <t>97</t>
        </is>
      </c>
      <c r="DC466" s="245" t="inlineStr">
        <is>
          <t>11,44x</t>
        </is>
      </c>
      <c r="DD466" s="246" t="inlineStr">
        <is>
          <t>85</t>
        </is>
      </c>
      <c r="DE466" s="247" t="inlineStr">
        <is>
          <t>132,86x</t>
        </is>
      </c>
      <c r="DF466" s="248" t="inlineStr">
        <is>
          <t>97</t>
        </is>
      </c>
      <c r="DG466" s="249" t="inlineStr">
        <is>
          <t>5,14x</t>
        </is>
      </c>
      <c r="DH466" s="250" t="inlineStr">
        <is>
          <t>79</t>
        </is>
      </c>
      <c r="DI466" s="251" t="inlineStr">
        <is>
          <t>16,53x</t>
        </is>
      </c>
      <c r="DJ466" s="252" t="inlineStr">
        <is>
          <t>86</t>
        </is>
      </c>
      <c r="DK466" s="253" t="inlineStr">
        <is>
          <t>6,35x</t>
        </is>
      </c>
      <c r="DL466" s="254" t="inlineStr">
        <is>
          <t>81</t>
        </is>
      </c>
      <c r="DM466" s="255" t="inlineStr">
        <is>
          <t>80.153</t>
        </is>
      </c>
      <c r="DN466" s="256" t="inlineStr">
        <is>
          <t>4.665</t>
        </is>
      </c>
      <c r="DO466" s="257" t="inlineStr">
        <is>
          <t>6,18%</t>
        </is>
      </c>
      <c r="DP466" s="258" t="inlineStr">
        <is>
          <t>13.196</t>
        </is>
      </c>
      <c r="DQ466" s="259" t="inlineStr">
        <is>
          <t>23</t>
        </is>
      </c>
      <c r="DR466" s="260" t="inlineStr">
        <is>
          <t>0,17%</t>
        </is>
      </c>
      <c r="DS466" s="261" t="inlineStr">
        <is>
          <t>184</t>
        </is>
      </c>
      <c r="DT466" s="262" t="inlineStr">
        <is>
          <t>0</t>
        </is>
      </c>
      <c r="DU466" s="263" t="inlineStr">
        <is>
          <t>0,00%</t>
        </is>
      </c>
      <c r="DV466" s="264" t="inlineStr">
        <is>
          <t>2.169</t>
        </is>
      </c>
      <c r="DW466" s="265" t="inlineStr">
        <is>
          <t>13</t>
        </is>
      </c>
      <c r="DX466" s="266" t="inlineStr">
        <is>
          <t>0,60%</t>
        </is>
      </c>
      <c r="DY466" s="267" t="inlineStr">
        <is>
          <t>PitchBook Research</t>
        </is>
      </c>
      <c r="DZ466" s="786">
        <f>HYPERLINK("https://my.pitchbook.com?c=65861-83", "View company online")</f>
      </c>
    </row>
    <row r="467">
      <c r="A467" s="9" t="inlineStr">
        <is>
          <t>113643-01</t>
        </is>
      </c>
      <c r="B467" s="10" t="inlineStr">
        <is>
          <t>TravelPerk</t>
        </is>
      </c>
      <c r="C467" s="11" t="inlineStr">
        <is>
          <t/>
        </is>
      </c>
      <c r="D467" s="12" t="inlineStr">
        <is>
          <t/>
        </is>
      </c>
      <c r="E467" s="13" t="inlineStr">
        <is>
          <t>113643-01</t>
        </is>
      </c>
      <c r="F467" s="14" t="inlineStr">
        <is>
          <t>Provider of an online platform to book and manage business travel. The company provides all-in-one online platform that allows companies to budget, book and manage business travel.</t>
        </is>
      </c>
      <c r="G467" s="15" t="inlineStr">
        <is>
          <t>Information Technology</t>
        </is>
      </c>
      <c r="H467" s="16" t="inlineStr">
        <is>
          <t>Software</t>
        </is>
      </c>
      <c r="I467" s="17" t="inlineStr">
        <is>
          <t>Application Software</t>
        </is>
      </c>
      <c r="J467" s="18" t="inlineStr">
        <is>
          <t>Application Software*; Air; Business/Productivity Software</t>
        </is>
      </c>
      <c r="K467" s="19" t="inlineStr">
        <is>
          <t/>
        </is>
      </c>
      <c r="L467" s="20" t="inlineStr">
        <is>
          <t>Venture Capital-Backed</t>
        </is>
      </c>
      <c r="M467" s="21" t="n">
        <v>8.8</v>
      </c>
      <c r="N467" s="22" t="inlineStr">
        <is>
          <t>Startup</t>
        </is>
      </c>
      <c r="O467" s="23" t="inlineStr">
        <is>
          <t>Privately Held (backing)</t>
        </is>
      </c>
      <c r="P467" s="24" t="inlineStr">
        <is>
          <t>Venture Capital</t>
        </is>
      </c>
      <c r="Q467" s="25" t="inlineStr">
        <is>
          <t>www.travelperk.com</t>
        </is>
      </c>
      <c r="R467" s="26" t="n">
        <v>16.0</v>
      </c>
      <c r="S467" s="27" t="inlineStr">
        <is>
          <t/>
        </is>
      </c>
      <c r="T467" s="28" t="inlineStr">
        <is>
          <t/>
        </is>
      </c>
      <c r="U467" s="29" t="n">
        <v>2015.0</v>
      </c>
      <c r="V467" s="30" t="inlineStr">
        <is>
          <t/>
        </is>
      </c>
      <c r="W467" s="31" t="inlineStr">
        <is>
          <t/>
        </is>
      </c>
      <c r="X467" s="32" t="inlineStr">
        <is>
          <t/>
        </is>
      </c>
      <c r="Y467" s="33" t="inlineStr">
        <is>
          <t/>
        </is>
      </c>
      <c r="Z467" s="34" t="inlineStr">
        <is>
          <t/>
        </is>
      </c>
      <c r="AA467" s="35" t="inlineStr">
        <is>
          <t/>
        </is>
      </c>
      <c r="AB467" s="36" t="inlineStr">
        <is>
          <t/>
        </is>
      </c>
      <c r="AC467" s="37" t="inlineStr">
        <is>
          <t/>
        </is>
      </c>
      <c r="AD467" s="38" t="inlineStr">
        <is>
          <t/>
        </is>
      </c>
      <c r="AE467" s="39" t="inlineStr">
        <is>
          <t>130672-72P</t>
        </is>
      </c>
      <c r="AF467" s="40" t="inlineStr">
        <is>
          <t>Ron Levin</t>
        </is>
      </c>
      <c r="AG467" s="41" t="inlineStr">
        <is>
          <t>Co-Founder &amp; Advisor</t>
        </is>
      </c>
      <c r="AH467" s="42" t="inlineStr">
        <is>
          <t>ron@travelperk.com</t>
        </is>
      </c>
      <c r="AI467" s="43" t="inlineStr">
        <is>
          <t>+34 72 262 7015</t>
        </is>
      </c>
      <c r="AJ467" s="44" t="inlineStr">
        <is>
          <t>Barcelona, Spain</t>
        </is>
      </c>
      <c r="AK467" s="45" t="inlineStr">
        <is>
          <t>Carrer dels Tallers 22, 3º 6ª</t>
        </is>
      </c>
      <c r="AL467" s="46" t="inlineStr">
        <is>
          <t/>
        </is>
      </c>
      <c r="AM467" s="47" t="inlineStr">
        <is>
          <t>Barcelona</t>
        </is>
      </c>
      <c r="AN467" s="48" t="inlineStr">
        <is>
          <t/>
        </is>
      </c>
      <c r="AO467" s="49" t="inlineStr">
        <is>
          <t>08001</t>
        </is>
      </c>
      <c r="AP467" s="50" t="inlineStr">
        <is>
          <t>Spain</t>
        </is>
      </c>
      <c r="AQ467" s="51" t="inlineStr">
        <is>
          <t>+34 72 262 7015</t>
        </is>
      </c>
      <c r="AR467" s="52" t="inlineStr">
        <is>
          <t/>
        </is>
      </c>
      <c r="AS467" s="53" t="inlineStr">
        <is>
          <t>hello@travelperk.com</t>
        </is>
      </c>
      <c r="AT467" s="54" t="inlineStr">
        <is>
          <t>Europe</t>
        </is>
      </c>
      <c r="AU467" s="55" t="inlineStr">
        <is>
          <t>Southern Europe</t>
        </is>
      </c>
      <c r="AV467" s="56" t="inlineStr">
        <is>
          <t>The company raised $8.37 million of Series A venture funding in a deal led by Spark Capital on June 7, 2016. Local Globe and Sun stone Capital also participated in the round. The funding will be used to triple its personnel in the Barcelona headquarters, develop its product and expand globally. Previously, the company raised $1.5 million of seed funding from Start Capital, Local Globe and Aryeh Mergi on March 1, 2016.</t>
        </is>
      </c>
      <c r="AW467" s="57" t="inlineStr">
        <is>
          <t>Aryeh Mergi, Elizabeth G Riley, Jeffrey Del Papa, LocalGlobe, Mario Ricciardelli, Patrick Sader, Roland Zeller, Spark Capital, Start Capital, Sunstone Capital, Uriel Ben David, Uriel Ben Dayan, Yorai Linenberg</t>
        </is>
      </c>
      <c r="AX467" s="58" t="n">
        <v>13.0</v>
      </c>
      <c r="AY467" s="59" t="inlineStr">
        <is>
          <t/>
        </is>
      </c>
      <c r="AZ467" s="60" t="inlineStr">
        <is>
          <t/>
        </is>
      </c>
      <c r="BA467" s="61" t="inlineStr">
        <is>
          <t/>
        </is>
      </c>
      <c r="BB467" s="62" t="inlineStr">
        <is>
          <t>LocalGlobe (www.localglobe.vc), Spark Capital (www.sparkcapital.com), Start Capital (www.start-capital.com), Sunstone Capital (www.sunstone.eu)</t>
        </is>
      </c>
      <c r="BC467" s="63" t="inlineStr">
        <is>
          <t/>
        </is>
      </c>
      <c r="BD467" s="64" t="inlineStr">
        <is>
          <t/>
        </is>
      </c>
      <c r="BE467" s="65" t="inlineStr">
        <is>
          <t>Latham &amp; Watkins (Legal Advisor)</t>
        </is>
      </c>
      <c r="BF467" s="66" t="inlineStr">
        <is>
          <t>Latham &amp; Watkins (Legal Advisor)</t>
        </is>
      </c>
      <c r="BG467" s="67" t="n">
        <v>42430.0</v>
      </c>
      <c r="BH467" s="68" t="n">
        <v>1.35</v>
      </c>
      <c r="BI467" s="69" t="inlineStr">
        <is>
          <t>Actual</t>
        </is>
      </c>
      <c r="BJ467" s="70" t="inlineStr">
        <is>
          <t/>
        </is>
      </c>
      <c r="BK467" s="71" t="inlineStr">
        <is>
          <t/>
        </is>
      </c>
      <c r="BL467" s="72" t="inlineStr">
        <is>
          <t>Seed Round</t>
        </is>
      </c>
      <c r="BM467" s="73" t="inlineStr">
        <is>
          <t>Seed</t>
        </is>
      </c>
      <c r="BN467" s="74" t="inlineStr">
        <is>
          <t/>
        </is>
      </c>
      <c r="BO467" s="75" t="inlineStr">
        <is>
          <t>Venture Capital</t>
        </is>
      </c>
      <c r="BP467" s="76" t="inlineStr">
        <is>
          <t/>
        </is>
      </c>
      <c r="BQ467" s="77" t="inlineStr">
        <is>
          <t/>
        </is>
      </c>
      <c r="BR467" s="78" t="inlineStr">
        <is>
          <t/>
        </is>
      </c>
      <c r="BS467" s="79" t="inlineStr">
        <is>
          <t>Completed</t>
        </is>
      </c>
      <c r="BT467" s="80" t="n">
        <v>42528.0</v>
      </c>
      <c r="BU467" s="81" t="n">
        <v>7.45</v>
      </c>
      <c r="BV467" s="82" t="inlineStr">
        <is>
          <t>Actual</t>
        </is>
      </c>
      <c r="BW467" s="83" t="inlineStr">
        <is>
          <t/>
        </is>
      </c>
      <c r="BX467" s="84" t="inlineStr">
        <is>
          <t/>
        </is>
      </c>
      <c r="BY467" s="85" t="inlineStr">
        <is>
          <t>Early Stage VC</t>
        </is>
      </c>
      <c r="BZ467" s="86" t="inlineStr">
        <is>
          <t>Series A</t>
        </is>
      </c>
      <c r="CA467" s="87" t="inlineStr">
        <is>
          <t/>
        </is>
      </c>
      <c r="CB467" s="88" t="inlineStr">
        <is>
          <t>Venture Capital</t>
        </is>
      </c>
      <c r="CC467" s="89" t="inlineStr">
        <is>
          <t/>
        </is>
      </c>
      <c r="CD467" s="90" t="inlineStr">
        <is>
          <t/>
        </is>
      </c>
      <c r="CE467" s="91" t="inlineStr">
        <is>
          <t/>
        </is>
      </c>
      <c r="CF467" s="92" t="inlineStr">
        <is>
          <t>Completed</t>
        </is>
      </c>
      <c r="CG467" s="93" t="inlineStr">
        <is>
          <t>-0,43%</t>
        </is>
      </c>
      <c r="CH467" s="94" t="inlineStr">
        <is>
          <t>9</t>
        </is>
      </c>
      <c r="CI467" s="95" t="inlineStr">
        <is>
          <t>-0,11%</t>
        </is>
      </c>
      <c r="CJ467" s="96" t="inlineStr">
        <is>
          <t>-35,49%</t>
        </is>
      </c>
      <c r="CK467" s="97" t="inlineStr">
        <is>
          <t>-3,65%</t>
        </is>
      </c>
      <c r="CL467" s="98" t="inlineStr">
        <is>
          <t>2</t>
        </is>
      </c>
      <c r="CM467" s="99" t="inlineStr">
        <is>
          <t>2,79%</t>
        </is>
      </c>
      <c r="CN467" s="100" t="inlineStr">
        <is>
          <t>99</t>
        </is>
      </c>
      <c r="CO467" s="101" t="inlineStr">
        <is>
          <t>-7,30%</t>
        </is>
      </c>
      <c r="CP467" s="102" t="inlineStr">
        <is>
          <t>4</t>
        </is>
      </c>
      <c r="CQ467" s="103" t="inlineStr">
        <is>
          <t>0,00%</t>
        </is>
      </c>
      <c r="CR467" s="104" t="inlineStr">
        <is>
          <t>13</t>
        </is>
      </c>
      <c r="CS467" s="105" t="inlineStr">
        <is>
          <t>3,40%</t>
        </is>
      </c>
      <c r="CT467" s="106" t="inlineStr">
        <is>
          <t>99</t>
        </is>
      </c>
      <c r="CU467" s="107" t="inlineStr">
        <is>
          <t>2,18%</t>
        </is>
      </c>
      <c r="CV467" s="108" t="inlineStr">
        <is>
          <t>99</t>
        </is>
      </c>
      <c r="CW467" s="109" t="inlineStr">
        <is>
          <t>2,85x</t>
        </is>
      </c>
      <c r="CX467" s="110" t="inlineStr">
        <is>
          <t>70</t>
        </is>
      </c>
      <c r="CY467" s="111" t="inlineStr">
        <is>
          <t>0,07x</t>
        </is>
      </c>
      <c r="CZ467" s="112" t="inlineStr">
        <is>
          <t>2,37%</t>
        </is>
      </c>
      <c r="DA467" s="113" t="inlineStr">
        <is>
          <t>3,39x</t>
        </is>
      </c>
      <c r="DB467" s="114" t="inlineStr">
        <is>
          <t>75</t>
        </is>
      </c>
      <c r="DC467" s="115" t="inlineStr">
        <is>
          <t>2,31x</t>
        </is>
      </c>
      <c r="DD467" s="116" t="inlineStr">
        <is>
          <t>64</t>
        </is>
      </c>
      <c r="DE467" s="117" t="inlineStr">
        <is>
          <t>5,64x</t>
        </is>
      </c>
      <c r="DF467" s="118" t="inlineStr">
        <is>
          <t>78</t>
        </is>
      </c>
      <c r="DG467" s="119" t="inlineStr">
        <is>
          <t>1,14x</t>
        </is>
      </c>
      <c r="DH467" s="120" t="inlineStr">
        <is>
          <t>53</t>
        </is>
      </c>
      <c r="DI467" s="121" t="inlineStr">
        <is>
          <t>3,10x</t>
        </is>
      </c>
      <c r="DJ467" s="122" t="inlineStr">
        <is>
          <t>69</t>
        </is>
      </c>
      <c r="DK467" s="123" t="inlineStr">
        <is>
          <t>1,53x</t>
        </is>
      </c>
      <c r="DL467" s="124" t="inlineStr">
        <is>
          <t>58</t>
        </is>
      </c>
      <c r="DM467" s="125" t="inlineStr">
        <is>
          <t>3.876</t>
        </is>
      </c>
      <c r="DN467" s="126" t="inlineStr">
        <is>
          <t>-1.228</t>
        </is>
      </c>
      <c r="DO467" s="127" t="inlineStr">
        <is>
          <t>-24,06%</t>
        </is>
      </c>
      <c r="DP467" s="128" t="inlineStr">
        <is>
          <t>2.455</t>
        </is>
      </c>
      <c r="DQ467" s="129" t="inlineStr">
        <is>
          <t>69</t>
        </is>
      </c>
      <c r="DR467" s="130" t="inlineStr">
        <is>
          <t>2,89%</t>
        </is>
      </c>
      <c r="DS467" s="131" t="inlineStr">
        <is>
          <t>40</t>
        </is>
      </c>
      <c r="DT467" s="132" t="inlineStr">
        <is>
          <t>1</t>
        </is>
      </c>
      <c r="DU467" s="133" t="inlineStr">
        <is>
          <t>2,56%</t>
        </is>
      </c>
      <c r="DV467" s="134" t="inlineStr">
        <is>
          <t>515</t>
        </is>
      </c>
      <c r="DW467" s="135" t="inlineStr">
        <is>
          <t>8</t>
        </is>
      </c>
      <c r="DX467" s="136" t="inlineStr">
        <is>
          <t>1,58%</t>
        </is>
      </c>
      <c r="DY467" s="137" t="inlineStr">
        <is>
          <t>PitchBook Research</t>
        </is>
      </c>
      <c r="DZ467" s="785">
        <f>HYPERLINK("https://my.pitchbook.com?c=113643-01", "View company online")</f>
      </c>
    </row>
    <row r="468">
      <c r="A468" s="139" t="inlineStr">
        <is>
          <t>57702-79</t>
        </is>
      </c>
      <c r="B468" s="140" t="inlineStr">
        <is>
          <t>Tray.io</t>
        </is>
      </c>
      <c r="C468" s="141" t="inlineStr">
        <is>
          <t/>
        </is>
      </c>
      <c r="D468" s="142" t="inlineStr">
        <is>
          <t/>
        </is>
      </c>
      <c r="E468" s="143" t="inlineStr">
        <is>
          <t>57702-79</t>
        </is>
      </c>
      <c r="F468" s="144" t="inlineStr">
        <is>
          <t>Provider of a cloud-based software integration platform. The company operates a platform that provides a set of components to discover, create and deploy integrations between different software platforms.</t>
        </is>
      </c>
      <c r="G468" s="145" t="inlineStr">
        <is>
          <t>Information Technology</t>
        </is>
      </c>
      <c r="H468" s="146" t="inlineStr">
        <is>
          <t>Software</t>
        </is>
      </c>
      <c r="I468" s="147" t="inlineStr">
        <is>
          <t>Social/Platform Software</t>
        </is>
      </c>
      <c r="J468" s="148" t="inlineStr">
        <is>
          <t>Social/Platform Software*; Application Software; Software Development Applications</t>
        </is>
      </c>
      <c r="K468" s="149" t="inlineStr">
        <is>
          <t>SaaS</t>
        </is>
      </c>
      <c r="L468" s="150" t="inlineStr">
        <is>
          <t>Venture Capital-Backed</t>
        </is>
      </c>
      <c r="M468" s="151" t="n">
        <v>7.72</v>
      </c>
      <c r="N468" s="152" t="inlineStr">
        <is>
          <t>Generating Revenue</t>
        </is>
      </c>
      <c r="O468" s="153" t="inlineStr">
        <is>
          <t>Privately Held (backing)</t>
        </is>
      </c>
      <c r="P468" s="154" t="inlineStr">
        <is>
          <t>Venture Capital</t>
        </is>
      </c>
      <c r="Q468" s="155" t="inlineStr">
        <is>
          <t>www.tray.io</t>
        </is>
      </c>
      <c r="R468" s="156" t="n">
        <v>10.0</v>
      </c>
      <c r="S468" s="157" t="inlineStr">
        <is>
          <t/>
        </is>
      </c>
      <c r="T468" s="158" t="inlineStr">
        <is>
          <t/>
        </is>
      </c>
      <c r="U468" s="159" t="n">
        <v>2012.0</v>
      </c>
      <c r="V468" s="160" t="inlineStr">
        <is>
          <t/>
        </is>
      </c>
      <c r="W468" s="161" t="inlineStr">
        <is>
          <t/>
        </is>
      </c>
      <c r="X468" s="162" t="inlineStr">
        <is>
          <t/>
        </is>
      </c>
      <c r="Y468" s="163" t="inlineStr">
        <is>
          <t/>
        </is>
      </c>
      <c r="Z468" s="164" t="inlineStr">
        <is>
          <t/>
        </is>
      </c>
      <c r="AA468" s="165" t="inlineStr">
        <is>
          <t/>
        </is>
      </c>
      <c r="AB468" s="166" t="inlineStr">
        <is>
          <t/>
        </is>
      </c>
      <c r="AC468" s="167" t="inlineStr">
        <is>
          <t/>
        </is>
      </c>
      <c r="AD468" s="168" t="inlineStr">
        <is>
          <t/>
        </is>
      </c>
      <c r="AE468" s="169" t="inlineStr">
        <is>
          <t>51004-72P</t>
        </is>
      </c>
      <c r="AF468" s="170" t="inlineStr">
        <is>
          <t>Dominic Lewis</t>
        </is>
      </c>
      <c r="AG468" s="171" t="inlineStr">
        <is>
          <t>Co-Founder</t>
        </is>
      </c>
      <c r="AH468" s="172" t="inlineStr">
        <is>
          <t>dominic@tray.io</t>
        </is>
      </c>
      <c r="AI468" s="173" t="inlineStr">
        <is>
          <t>+44 (0)77 9323 4684</t>
        </is>
      </c>
      <c r="AJ468" s="174" t="inlineStr">
        <is>
          <t>London, United Kingdom</t>
        </is>
      </c>
      <c r="AK468" s="175" t="inlineStr">
        <is>
          <t>62 Shoreditch High Street</t>
        </is>
      </c>
      <c r="AL468" s="176" t="inlineStr">
        <is>
          <t/>
        </is>
      </c>
      <c r="AM468" s="177" t="inlineStr">
        <is>
          <t>London</t>
        </is>
      </c>
      <c r="AN468" s="178" t="inlineStr">
        <is>
          <t>England</t>
        </is>
      </c>
      <c r="AO468" s="179" t="inlineStr">
        <is>
          <t>E1 6JJ</t>
        </is>
      </c>
      <c r="AP468" s="180" t="inlineStr">
        <is>
          <t>United Kingdom</t>
        </is>
      </c>
      <c r="AQ468" s="181" t="inlineStr">
        <is>
          <t>+44 (0)77 9323 4684</t>
        </is>
      </c>
      <c r="AR468" s="182" t="inlineStr">
        <is>
          <t/>
        </is>
      </c>
      <c r="AS468" s="183" t="inlineStr">
        <is>
          <t>info@tray.io</t>
        </is>
      </c>
      <c r="AT468" s="184" t="inlineStr">
        <is>
          <t>Europe</t>
        </is>
      </c>
      <c r="AU468" s="185" t="inlineStr">
        <is>
          <t>Western Europe</t>
        </is>
      </c>
      <c r="AV468" s="186" t="inlineStr">
        <is>
          <t>The company raised $5.76 million of Series A venture funding in a deal led by Mosaic Ventures on January 5, 2017. True Ventures, Redpoint Ventures, Passion Capital, Angelpad, Andy Mcloughlin and other undisclosed investors also participated. The company intends to use the funds to further scale its workflow platform, tooling and connector framework, whilst growing the teams in San Francisco &amp; London. As a part of this transaction, New Model Venture Capital sold its stake in the company.</t>
        </is>
      </c>
      <c r="AW468" s="187" t="inlineStr">
        <is>
          <t>Andy McLoughlin, AngelPad, Anil Hansjee, Ballpark Ventures, Firestartr, HardGamma Ventures, John Sinclair, Jonathan Bradford, Matt Miller, Mosaic Ventures, Passion Capital, Playfair Capital, Redpoint Ventures, Richard Fearn, Richard Muirhead, Robert Dighero, Thomas Korte, Tom Hulme, True Ventures</t>
        </is>
      </c>
      <c r="AX468" s="188" t="n">
        <v>19.0</v>
      </c>
      <c r="AY468" s="189" t="inlineStr">
        <is>
          <t/>
        </is>
      </c>
      <c r="AZ468" s="190" t="inlineStr">
        <is>
          <t>New Model Venture Capital</t>
        </is>
      </c>
      <c r="BA468" s="191" t="inlineStr">
        <is>
          <t/>
        </is>
      </c>
      <c r="BB468" s="192" t="inlineStr">
        <is>
          <t>Andy McLoughlin (www.andymcloughlin.co), AngelPad (www.angelpad.org), Anil Hansjee (about.me/ahansjee), Ballpark Ventures (www.ballparkventures.com), Firestartr (www.firestartr.co), HardGamma Ventures (www.hardgamma.com), Mosaic Ventures (www.mosaicventures.com), Passion Capital (www.passioncapital.com), Playfair Capital (www.playfaircapital.com), Redpoint Ventures (www.redpoint.com), Thomas Korte (www.thomaskorte.com), True Ventures (www.trueventures.com)</t>
        </is>
      </c>
      <c r="BC468" s="193" t="inlineStr">
        <is>
          <t>New Model Venture Capital (www.newmodel.vc)</t>
        </is>
      </c>
      <c r="BD468" s="194" t="inlineStr">
        <is>
          <t/>
        </is>
      </c>
      <c r="BE468" s="195" t="inlineStr">
        <is>
          <t>Orrick Herrington &amp; Sutcliffe (Legal Advisor)</t>
        </is>
      </c>
      <c r="BF468" s="196" t="inlineStr">
        <is>
          <t>Orrick Herrington &amp; Sutcliffe (Legal Advisor)</t>
        </is>
      </c>
      <c r="BG468" s="197" t="n">
        <v>41242.0</v>
      </c>
      <c r="BH468" s="198" t="inlineStr">
        <is>
          <t/>
        </is>
      </c>
      <c r="BI468" s="199" t="inlineStr">
        <is>
          <t/>
        </is>
      </c>
      <c r="BJ468" s="200" t="inlineStr">
        <is>
          <t/>
        </is>
      </c>
      <c r="BK468" s="201" t="inlineStr">
        <is>
          <t/>
        </is>
      </c>
      <c r="BL468" s="202" t="inlineStr">
        <is>
          <t>Seed Round</t>
        </is>
      </c>
      <c r="BM468" s="203" t="inlineStr">
        <is>
          <t>Seed</t>
        </is>
      </c>
      <c r="BN468" s="204" t="inlineStr">
        <is>
          <t/>
        </is>
      </c>
      <c r="BO468" s="205" t="inlineStr">
        <is>
          <t>Venture Capital</t>
        </is>
      </c>
      <c r="BP468" s="206" t="inlineStr">
        <is>
          <t/>
        </is>
      </c>
      <c r="BQ468" s="207" t="inlineStr">
        <is>
          <t/>
        </is>
      </c>
      <c r="BR468" s="208" t="inlineStr">
        <is>
          <t/>
        </is>
      </c>
      <c r="BS468" s="209" t="inlineStr">
        <is>
          <t>Completed</t>
        </is>
      </c>
      <c r="BT468" s="210" t="n">
        <v>42740.0</v>
      </c>
      <c r="BU468" s="211" t="n">
        <v>5.43</v>
      </c>
      <c r="BV468" s="212" t="inlineStr">
        <is>
          <t>Actual</t>
        </is>
      </c>
      <c r="BW468" s="213" t="inlineStr">
        <is>
          <t/>
        </is>
      </c>
      <c r="BX468" s="214" t="inlineStr">
        <is>
          <t/>
        </is>
      </c>
      <c r="BY468" s="215" t="inlineStr">
        <is>
          <t>Early Stage VC</t>
        </is>
      </c>
      <c r="BZ468" s="216" t="inlineStr">
        <is>
          <t>Series A</t>
        </is>
      </c>
      <c r="CA468" s="217" t="inlineStr">
        <is>
          <t/>
        </is>
      </c>
      <c r="CB468" s="218" t="inlineStr">
        <is>
          <t>Venture Capital</t>
        </is>
      </c>
      <c r="CC468" s="219" t="inlineStr">
        <is>
          <t/>
        </is>
      </c>
      <c r="CD468" s="220" t="inlineStr">
        <is>
          <t/>
        </is>
      </c>
      <c r="CE468" s="221" t="inlineStr">
        <is>
          <t/>
        </is>
      </c>
      <c r="CF468" s="222" t="inlineStr">
        <is>
          <t>Completed</t>
        </is>
      </c>
      <c r="CG468" s="223" t="inlineStr">
        <is>
          <t>-1,11%</t>
        </is>
      </c>
      <c r="CH468" s="224" t="inlineStr">
        <is>
          <t>5</t>
        </is>
      </c>
      <c r="CI468" s="225" t="inlineStr">
        <is>
          <t>-0,01%</t>
        </is>
      </c>
      <c r="CJ468" s="226" t="inlineStr">
        <is>
          <t>-0,66%</t>
        </is>
      </c>
      <c r="CK468" s="227" t="inlineStr">
        <is>
          <t>-2,73%</t>
        </is>
      </c>
      <c r="CL468" s="228" t="inlineStr">
        <is>
          <t>4</t>
        </is>
      </c>
      <c r="CM468" s="229" t="inlineStr">
        <is>
          <t>0,51%</t>
        </is>
      </c>
      <c r="CN468" s="230" t="inlineStr">
        <is>
          <t>90</t>
        </is>
      </c>
      <c r="CO468" s="231" t="inlineStr">
        <is>
          <t>-5,47%</t>
        </is>
      </c>
      <c r="CP468" s="232" t="inlineStr">
        <is>
          <t>6</t>
        </is>
      </c>
      <c r="CQ468" s="233" t="inlineStr">
        <is>
          <t>0,00%</t>
        </is>
      </c>
      <c r="CR468" s="234" t="inlineStr">
        <is>
          <t>13</t>
        </is>
      </c>
      <c r="CS468" s="235" t="inlineStr">
        <is>
          <t>0,66%</t>
        </is>
      </c>
      <c r="CT468" s="236" t="inlineStr">
        <is>
          <t>91</t>
        </is>
      </c>
      <c r="CU468" s="237" t="inlineStr">
        <is>
          <t>0,36%</t>
        </is>
      </c>
      <c r="CV468" s="238" t="inlineStr">
        <is>
          <t>87</t>
        </is>
      </c>
      <c r="CW468" s="239" t="inlineStr">
        <is>
          <t>3,77x</t>
        </is>
      </c>
      <c r="CX468" s="240" t="inlineStr">
        <is>
          <t>75</t>
        </is>
      </c>
      <c r="CY468" s="241" t="inlineStr">
        <is>
          <t>0,03x</t>
        </is>
      </c>
      <c r="CZ468" s="242" t="inlineStr">
        <is>
          <t>0,77%</t>
        </is>
      </c>
      <c r="DA468" s="243" t="inlineStr">
        <is>
          <t>5,34x</t>
        </is>
      </c>
      <c r="DB468" s="244" t="inlineStr">
        <is>
          <t>81</t>
        </is>
      </c>
      <c r="DC468" s="245" t="inlineStr">
        <is>
          <t>2,19x</t>
        </is>
      </c>
      <c r="DD468" s="246" t="inlineStr">
        <is>
          <t>63</t>
        </is>
      </c>
      <c r="DE468" s="247" t="inlineStr">
        <is>
          <t>9,94x</t>
        </is>
      </c>
      <c r="DF468" s="248" t="inlineStr">
        <is>
          <t>83</t>
        </is>
      </c>
      <c r="DG468" s="249" t="inlineStr">
        <is>
          <t>0,75x</t>
        </is>
      </c>
      <c r="DH468" s="250" t="inlineStr">
        <is>
          <t>44</t>
        </is>
      </c>
      <c r="DI468" s="251" t="inlineStr">
        <is>
          <t>0,42x</t>
        </is>
      </c>
      <c r="DJ468" s="252" t="inlineStr">
        <is>
          <t>36</t>
        </is>
      </c>
      <c r="DK468" s="253" t="inlineStr">
        <is>
          <t>3,97x</t>
        </is>
      </c>
      <c r="DL468" s="254" t="inlineStr">
        <is>
          <t>75</t>
        </is>
      </c>
      <c r="DM468" s="255" t="inlineStr">
        <is>
          <t>6.175</t>
        </is>
      </c>
      <c r="DN468" s="256" t="inlineStr">
        <is>
          <t>-189</t>
        </is>
      </c>
      <c r="DO468" s="257" t="inlineStr">
        <is>
          <t>-2,97%</t>
        </is>
      </c>
      <c r="DP468" s="258" t="inlineStr">
        <is>
          <t>334</t>
        </is>
      </c>
      <c r="DQ468" s="259" t="inlineStr">
        <is>
          <t>2</t>
        </is>
      </c>
      <c r="DR468" s="260" t="inlineStr">
        <is>
          <t>0,60%</t>
        </is>
      </c>
      <c r="DS468" s="261" t="inlineStr">
        <is>
          <t>27</t>
        </is>
      </c>
      <c r="DT468" s="262" t="inlineStr">
        <is>
          <t>0</t>
        </is>
      </c>
      <c r="DU468" s="263" t="inlineStr">
        <is>
          <t>0,00%</t>
        </is>
      </c>
      <c r="DV468" s="264" t="inlineStr">
        <is>
          <t>1.361</t>
        </is>
      </c>
      <c r="DW468" s="265" t="inlineStr">
        <is>
          <t>7</t>
        </is>
      </c>
      <c r="DX468" s="266" t="inlineStr">
        <is>
          <t>0,52%</t>
        </is>
      </c>
      <c r="DY468" s="267" t="inlineStr">
        <is>
          <t>PitchBook Research</t>
        </is>
      </c>
      <c r="DZ468" s="786">
        <f>HYPERLINK("https://my.pitchbook.com?c=57702-79", "View company online")</f>
      </c>
    </row>
    <row r="469">
      <c r="A469" s="9" t="inlineStr">
        <is>
          <t>170517-97</t>
        </is>
      </c>
      <c r="B469" s="10" t="inlineStr">
        <is>
          <t>Treos Bio</t>
        </is>
      </c>
      <c r="C469" s="11" t="inlineStr">
        <is>
          <t/>
        </is>
      </c>
      <c r="D469" s="12" t="inlineStr">
        <is>
          <t/>
        </is>
      </c>
      <c r="E469" s="13" t="inlineStr">
        <is>
          <t>170517-97</t>
        </is>
      </c>
      <c r="F469" s="14" t="inlineStr">
        <is>
          <t>Developer of immunotherapy vaccines intended for the cancer cell destruction. The company's immunotherapy vaccines predicts in silico likely responders to cancer immunotherapies and designs in silico next generation targeted immunotherapies, enabling cancer patients to treat cancer through vaccines and diagnostic tests.</t>
        </is>
      </c>
      <c r="G469" s="15" t="inlineStr">
        <is>
          <t>Healthcare</t>
        </is>
      </c>
      <c r="H469" s="16" t="inlineStr">
        <is>
          <t>Pharmaceuticals and Biotechnology</t>
        </is>
      </c>
      <c r="I469" s="17" t="inlineStr">
        <is>
          <t>Drug Discovery</t>
        </is>
      </c>
      <c r="J469" s="18" t="inlineStr">
        <is>
          <t>Drug Discovery*; Diagnostic Equipment; Biotechnology</t>
        </is>
      </c>
      <c r="K469" s="19" t="inlineStr">
        <is>
          <t>Life Sciences, Oncology</t>
        </is>
      </c>
      <c r="L469" s="20" t="inlineStr">
        <is>
          <t>Venture Capital-Backed</t>
        </is>
      </c>
      <c r="M469" s="21" t="n">
        <v>7.51</v>
      </c>
      <c r="N469" s="22" t="inlineStr">
        <is>
          <t>Startup</t>
        </is>
      </c>
      <c r="O469" s="23" t="inlineStr">
        <is>
          <t>Privately Held (backing)</t>
        </is>
      </c>
      <c r="P469" s="24" t="inlineStr">
        <is>
          <t>Venture Capital</t>
        </is>
      </c>
      <c r="Q469" s="25" t="inlineStr">
        <is>
          <t>www.treosbio.com</t>
        </is>
      </c>
      <c r="R469" s="26" t="n">
        <v>6.0</v>
      </c>
      <c r="S469" s="27" t="inlineStr">
        <is>
          <t/>
        </is>
      </c>
      <c r="T469" s="28" t="inlineStr">
        <is>
          <t/>
        </is>
      </c>
      <c r="U469" s="29" t="n">
        <v>2013.0</v>
      </c>
      <c r="V469" s="30" t="inlineStr">
        <is>
          <t/>
        </is>
      </c>
      <c r="W469" s="31" t="inlineStr">
        <is>
          <t/>
        </is>
      </c>
      <c r="X469" s="32" t="inlineStr">
        <is>
          <t/>
        </is>
      </c>
      <c r="Y469" s="33" t="inlineStr">
        <is>
          <t/>
        </is>
      </c>
      <c r="Z469" s="34" t="inlineStr">
        <is>
          <t/>
        </is>
      </c>
      <c r="AA469" s="35" t="inlineStr">
        <is>
          <t/>
        </is>
      </c>
      <c r="AB469" s="36" t="inlineStr">
        <is>
          <t/>
        </is>
      </c>
      <c r="AC469" s="37" t="inlineStr">
        <is>
          <t/>
        </is>
      </c>
      <c r="AD469" s="38" t="inlineStr">
        <is>
          <t/>
        </is>
      </c>
      <c r="AE469" s="39" t="inlineStr">
        <is>
          <t>42897-43P</t>
        </is>
      </c>
      <c r="AF469" s="40" t="inlineStr">
        <is>
          <t>Menghis Bairu</t>
        </is>
      </c>
      <c r="AG469" s="41" t="inlineStr">
        <is>
          <t>Executive Chairman</t>
        </is>
      </c>
      <c r="AH469" s="42" t="inlineStr">
        <is>
          <t>menghis@treosbio.com</t>
        </is>
      </c>
      <c r="AI469" s="43" t="inlineStr">
        <is>
          <t>+44 (0)20 3141 7370</t>
        </is>
      </c>
      <c r="AJ469" s="44" t="inlineStr">
        <is>
          <t>London, United Kingdom</t>
        </is>
      </c>
      <c r="AK469" s="45" t="inlineStr">
        <is>
          <t>Marble Arch House</t>
        </is>
      </c>
      <c r="AL469" s="46" t="inlineStr">
        <is>
          <t>66-68 Seymour Street</t>
        </is>
      </c>
      <c r="AM469" s="47" t="inlineStr">
        <is>
          <t>London</t>
        </is>
      </c>
      <c r="AN469" s="48" t="inlineStr">
        <is>
          <t>England</t>
        </is>
      </c>
      <c r="AO469" s="49" t="inlineStr">
        <is>
          <t>W1H 5BT</t>
        </is>
      </c>
      <c r="AP469" s="50" t="inlineStr">
        <is>
          <t>United Kingdom</t>
        </is>
      </c>
      <c r="AQ469" s="51" t="inlineStr">
        <is>
          <t>+44 (0)20 3141 7370</t>
        </is>
      </c>
      <c r="AR469" s="52" t="inlineStr">
        <is>
          <t/>
        </is>
      </c>
      <c r="AS469" s="53" t="inlineStr">
        <is>
          <t>info@treosbio.com</t>
        </is>
      </c>
      <c r="AT469" s="54" t="inlineStr">
        <is>
          <t>Europe</t>
        </is>
      </c>
      <c r="AU469" s="55" t="inlineStr">
        <is>
          <t>Western Europe</t>
        </is>
      </c>
      <c r="AV469" s="56" t="inlineStr">
        <is>
          <t>The company raised $8 million of venture funding from BXR Group and other undisclosed investors on February 13, 2017. The company intends to use the funds for early-stage human clinical trial of its PolyPEPI™ Immunotherapy Cancer Vaccine for colorectal cancer.</t>
        </is>
      </c>
      <c r="AW469" s="57" t="inlineStr">
        <is>
          <t>BXR Group</t>
        </is>
      </c>
      <c r="AX469" s="58" t="n">
        <v>1.0</v>
      </c>
      <c r="AY469" s="59" t="inlineStr">
        <is>
          <t/>
        </is>
      </c>
      <c r="AZ469" s="60" t="inlineStr">
        <is>
          <t/>
        </is>
      </c>
      <c r="BA469" s="61" t="inlineStr">
        <is>
          <t/>
        </is>
      </c>
      <c r="BB469" s="62" t="inlineStr">
        <is>
          <t>BXR Group (www.bxrgroup.com)</t>
        </is>
      </c>
      <c r="BC469" s="63" t="inlineStr">
        <is>
          <t/>
        </is>
      </c>
      <c r="BD469" s="64" t="inlineStr">
        <is>
          <t/>
        </is>
      </c>
      <c r="BE469" s="65" t="inlineStr">
        <is>
          <t/>
        </is>
      </c>
      <c r="BF469" s="66" t="inlineStr">
        <is>
          <t/>
        </is>
      </c>
      <c r="BG469" s="67" t="n">
        <v>42779.0</v>
      </c>
      <c r="BH469" s="68" t="n">
        <v>7.51</v>
      </c>
      <c r="BI469" s="69" t="inlineStr">
        <is>
          <t>Actual</t>
        </is>
      </c>
      <c r="BJ469" s="70" t="inlineStr">
        <is>
          <t/>
        </is>
      </c>
      <c r="BK469" s="71" t="inlineStr">
        <is>
          <t/>
        </is>
      </c>
      <c r="BL469" s="72" t="inlineStr">
        <is>
          <t>Early Stage VC</t>
        </is>
      </c>
      <c r="BM469" s="73" t="inlineStr">
        <is>
          <t/>
        </is>
      </c>
      <c r="BN469" s="74" t="inlineStr">
        <is>
          <t/>
        </is>
      </c>
      <c r="BO469" s="75" t="inlineStr">
        <is>
          <t>Venture Capital</t>
        </is>
      </c>
      <c r="BP469" s="76" t="inlineStr">
        <is>
          <t/>
        </is>
      </c>
      <c r="BQ469" s="77" t="inlineStr">
        <is>
          <t/>
        </is>
      </c>
      <c r="BR469" s="78" t="inlineStr">
        <is>
          <t/>
        </is>
      </c>
      <c r="BS469" s="79" t="inlineStr">
        <is>
          <t>Completed</t>
        </is>
      </c>
      <c r="BT469" s="80" t="n">
        <v>42779.0</v>
      </c>
      <c r="BU469" s="81" t="n">
        <v>7.51</v>
      </c>
      <c r="BV469" s="82" t="inlineStr">
        <is>
          <t>Actual</t>
        </is>
      </c>
      <c r="BW469" s="83" t="inlineStr">
        <is>
          <t/>
        </is>
      </c>
      <c r="BX469" s="84" t="inlineStr">
        <is>
          <t/>
        </is>
      </c>
      <c r="BY469" s="85" t="inlineStr">
        <is>
          <t>Early Stage VC</t>
        </is>
      </c>
      <c r="BZ469" s="86" t="inlineStr">
        <is>
          <t/>
        </is>
      </c>
      <c r="CA469" s="87" t="inlineStr">
        <is>
          <t/>
        </is>
      </c>
      <c r="CB469" s="88" t="inlineStr">
        <is>
          <t>Venture Capital</t>
        </is>
      </c>
      <c r="CC469" s="89" t="inlineStr">
        <is>
          <t/>
        </is>
      </c>
      <c r="CD469" s="90" t="inlineStr">
        <is>
          <t/>
        </is>
      </c>
      <c r="CE469" s="91" t="inlineStr">
        <is>
          <t/>
        </is>
      </c>
      <c r="CF469" s="92" t="inlineStr">
        <is>
          <t>Completed</t>
        </is>
      </c>
      <c r="CG469" s="93" t="inlineStr">
        <is>
          <t>0,00%</t>
        </is>
      </c>
      <c r="CH469" s="94" t="inlineStr">
        <is>
          <t>23</t>
        </is>
      </c>
      <c r="CI469" s="95" t="inlineStr">
        <is>
          <t>0,00%</t>
        </is>
      </c>
      <c r="CJ469" s="96" t="inlineStr">
        <is>
          <t>0,00%</t>
        </is>
      </c>
      <c r="CK469" s="97" t="inlineStr">
        <is>
          <t>0,00%</t>
        </is>
      </c>
      <c r="CL469" s="98" t="inlineStr">
        <is>
          <t>18</t>
        </is>
      </c>
      <c r="CM469" s="99" t="inlineStr">
        <is>
          <t/>
        </is>
      </c>
      <c r="CN469" s="100" t="inlineStr">
        <is>
          <t/>
        </is>
      </c>
      <c r="CO469" s="101" t="inlineStr">
        <is>
          <t/>
        </is>
      </c>
      <c r="CP469" s="102" t="inlineStr">
        <is>
          <t/>
        </is>
      </c>
      <c r="CQ469" s="103" t="inlineStr">
        <is>
          <t>0,00%</t>
        </is>
      </c>
      <c r="CR469" s="104" t="inlineStr">
        <is>
          <t>13</t>
        </is>
      </c>
      <c r="CS469" s="105" t="inlineStr">
        <is>
          <t/>
        </is>
      </c>
      <c r="CT469" s="106" t="inlineStr">
        <is>
          <t/>
        </is>
      </c>
      <c r="CU469" s="107" t="inlineStr">
        <is>
          <t/>
        </is>
      </c>
      <c r="CV469" s="108" t="inlineStr">
        <is>
          <t/>
        </is>
      </c>
      <c r="CW469" s="109" t="inlineStr">
        <is>
          <t>0,17x</t>
        </is>
      </c>
      <c r="CX469" s="110" t="inlineStr">
        <is>
          <t>15</t>
        </is>
      </c>
      <c r="CY469" s="111" t="inlineStr">
        <is>
          <t>0,00x</t>
        </is>
      </c>
      <c r="CZ469" s="112" t="inlineStr">
        <is>
          <t>2,78%</t>
        </is>
      </c>
      <c r="DA469" s="113" t="inlineStr">
        <is>
          <t>0,17x</t>
        </is>
      </c>
      <c r="DB469" s="114" t="inlineStr">
        <is>
          <t>16</t>
        </is>
      </c>
      <c r="DC469" s="115" t="inlineStr">
        <is>
          <t/>
        </is>
      </c>
      <c r="DD469" s="116" t="inlineStr">
        <is>
          <t/>
        </is>
      </c>
      <c r="DE469" s="117" t="inlineStr">
        <is>
          <t/>
        </is>
      </c>
      <c r="DF469" s="118" t="inlineStr">
        <is>
          <t/>
        </is>
      </c>
      <c r="DG469" s="119" t="inlineStr">
        <is>
          <t>0,17x</t>
        </is>
      </c>
      <c r="DH469" s="120" t="inlineStr">
        <is>
          <t>17</t>
        </is>
      </c>
      <c r="DI469" s="121" t="inlineStr">
        <is>
          <t/>
        </is>
      </c>
      <c r="DJ469" s="122" t="inlineStr">
        <is>
          <t/>
        </is>
      </c>
      <c r="DK469" s="123" t="inlineStr">
        <is>
          <t/>
        </is>
      </c>
      <c r="DL469" s="124" t="inlineStr">
        <is>
          <t/>
        </is>
      </c>
      <c r="DM469" s="125" t="inlineStr">
        <is>
          <t>344</t>
        </is>
      </c>
      <c r="DN469" s="126" t="inlineStr">
        <is>
          <t>27</t>
        </is>
      </c>
      <c r="DO469" s="127" t="inlineStr">
        <is>
          <t>8,52%</t>
        </is>
      </c>
      <c r="DP469" s="128" t="inlineStr">
        <is>
          <t/>
        </is>
      </c>
      <c r="DQ469" s="129" t="inlineStr">
        <is>
          <t/>
        </is>
      </c>
      <c r="DR469" s="130" t="inlineStr">
        <is>
          <t/>
        </is>
      </c>
      <c r="DS469" s="131" t="inlineStr">
        <is>
          <t>6</t>
        </is>
      </c>
      <c r="DT469" s="132" t="inlineStr">
        <is>
          <t>0</t>
        </is>
      </c>
      <c r="DU469" s="133" t="inlineStr">
        <is>
          <t>0,00%</t>
        </is>
      </c>
      <c r="DV469" s="134" t="inlineStr">
        <is>
          <t/>
        </is>
      </c>
      <c r="DW469" s="135" t="inlineStr">
        <is>
          <t/>
        </is>
      </c>
      <c r="DX469" s="136" t="inlineStr">
        <is>
          <t/>
        </is>
      </c>
      <c r="DY469" s="137" t="inlineStr">
        <is>
          <t>PitchBook Research</t>
        </is>
      </c>
      <c r="DZ469" s="785">
        <f>HYPERLINK("https://my.pitchbook.com?c=170517-97", "View company online")</f>
      </c>
    </row>
    <row r="470">
      <c r="A470" s="139" t="inlineStr">
        <is>
          <t>106944-22</t>
        </is>
      </c>
      <c r="B470" s="140" t="inlineStr">
        <is>
          <t>Trine</t>
        </is>
      </c>
      <c r="C470" s="141" t="inlineStr">
        <is>
          <t>Triple Impact Scandinavia</t>
        </is>
      </c>
      <c r="D470" s="142" t="inlineStr">
        <is>
          <t>Csolar</t>
        </is>
      </c>
      <c r="E470" s="143" t="inlineStr">
        <is>
          <t>106944-22</t>
        </is>
      </c>
      <c r="F470" s="144" t="inlineStr">
        <is>
          <t>Owner and operator of a crowdfunding platform intended for global solar installations. The company's services include funding solar energy projects to eradicate energy deficiencies across underdeveloped countries and enabling access to clean energy by closing the gap between private capital in developed countries and local solar partners in emerging markets.</t>
        </is>
      </c>
      <c r="G470" s="145" t="inlineStr">
        <is>
          <t>Financial Services</t>
        </is>
      </c>
      <c r="H470" s="146" t="inlineStr">
        <is>
          <t>Other Financial Services</t>
        </is>
      </c>
      <c r="I470" s="147" t="inlineStr">
        <is>
          <t>Other Financial Services</t>
        </is>
      </c>
      <c r="J470" s="148" t="inlineStr">
        <is>
          <t>Other Financial Services*; Other Energy Services</t>
        </is>
      </c>
      <c r="K470" s="149" t="inlineStr">
        <is>
          <t/>
        </is>
      </c>
      <c r="L470" s="150" t="inlineStr">
        <is>
          <t>Venture Capital-Backed</t>
        </is>
      </c>
      <c r="M470" s="151" t="n">
        <v>6.0</v>
      </c>
      <c r="N470" s="152" t="inlineStr">
        <is>
          <t>Generating Revenue</t>
        </is>
      </c>
      <c r="O470" s="153" t="inlineStr">
        <is>
          <t>Privately Held (backing)</t>
        </is>
      </c>
      <c r="P470" s="154" t="inlineStr">
        <is>
          <t>Venture Capital</t>
        </is>
      </c>
      <c r="Q470" s="155" t="inlineStr">
        <is>
          <t>www.jointrine.com</t>
        </is>
      </c>
      <c r="R470" s="156" t="n">
        <v>2.0</v>
      </c>
      <c r="S470" s="157" t="inlineStr">
        <is>
          <t/>
        </is>
      </c>
      <c r="T470" s="158" t="inlineStr">
        <is>
          <t/>
        </is>
      </c>
      <c r="U470" s="159" t="n">
        <v>2014.0</v>
      </c>
      <c r="V470" s="160" t="inlineStr">
        <is>
          <t/>
        </is>
      </c>
      <c r="W470" s="161" t="inlineStr">
        <is>
          <t/>
        </is>
      </c>
      <c r="X470" s="162" t="inlineStr">
        <is>
          <t/>
        </is>
      </c>
      <c r="Y470" s="163" t="inlineStr">
        <is>
          <t/>
        </is>
      </c>
      <c r="Z470" s="164" t="inlineStr">
        <is>
          <t/>
        </is>
      </c>
      <c r="AA470" s="165" t="inlineStr">
        <is>
          <t/>
        </is>
      </c>
      <c r="AB470" s="166" t="inlineStr">
        <is>
          <t/>
        </is>
      </c>
      <c r="AC470" s="167" t="inlineStr">
        <is>
          <t/>
        </is>
      </c>
      <c r="AD470" s="168" t="inlineStr">
        <is>
          <t/>
        </is>
      </c>
      <c r="AE470" s="169" t="inlineStr">
        <is>
          <t>105196-06P</t>
        </is>
      </c>
      <c r="AF470" s="170" t="inlineStr">
        <is>
          <t>Sam Manaberi</t>
        </is>
      </c>
      <c r="AG470" s="171" t="inlineStr">
        <is>
          <t>Co-Founder, Board Member &amp; Chief Executive Officer</t>
        </is>
      </c>
      <c r="AH470" s="172" t="inlineStr">
        <is>
          <t>sam@jointrine.com</t>
        </is>
      </c>
      <c r="AI470" s="173" t="inlineStr">
        <is>
          <t/>
        </is>
      </c>
      <c r="AJ470" s="174" t="inlineStr">
        <is>
          <t>Gothenburg, Sweden</t>
        </is>
      </c>
      <c r="AK470" s="175" t="inlineStr">
        <is>
          <t>Stena Center</t>
        </is>
      </c>
      <c r="AL470" s="176" t="inlineStr">
        <is>
          <t>Holtermansgatan 1 B</t>
        </is>
      </c>
      <c r="AM470" s="177" t="inlineStr">
        <is>
          <t>Gothenburg</t>
        </is>
      </c>
      <c r="AN470" s="178" t="inlineStr">
        <is>
          <t/>
        </is>
      </c>
      <c r="AO470" s="179" t="inlineStr">
        <is>
          <t>411 29</t>
        </is>
      </c>
      <c r="AP470" s="180" t="inlineStr">
        <is>
          <t>Sweden</t>
        </is>
      </c>
      <c r="AQ470" s="181" t="inlineStr">
        <is>
          <t/>
        </is>
      </c>
      <c r="AR470" s="182" t="inlineStr">
        <is>
          <t/>
        </is>
      </c>
      <c r="AS470" s="183" t="inlineStr">
        <is>
          <t>info@jointrine.com</t>
        </is>
      </c>
      <c r="AT470" s="184" t="inlineStr">
        <is>
          <t>Europe</t>
        </is>
      </c>
      <c r="AU470" s="185" t="inlineStr">
        <is>
          <t>Northern Europe</t>
        </is>
      </c>
      <c r="AV470" s="186" t="inlineStr">
        <is>
          <t>The company raised EUR 6 million of Series A venture funding in a deal led by Gullspång Investon June 28, 2017. Andrew Reicher and Lars Thunell also participated in the round. The new capital will be used to scale the company's operations in East Africa and Europe.</t>
        </is>
      </c>
      <c r="AW470" s="187" t="inlineStr">
        <is>
          <t>Andrew Reicher, Chalmers Innovation, Chalmers Ventures, Climate-KIC, Gullspång Invest, Lars Thunell, SKAPA foundation</t>
        </is>
      </c>
      <c r="AX470" s="188" t="n">
        <v>7.0</v>
      </c>
      <c r="AY470" s="189" t="inlineStr">
        <is>
          <t/>
        </is>
      </c>
      <c r="AZ470" s="190" t="inlineStr">
        <is>
          <t/>
        </is>
      </c>
      <c r="BA470" s="191" t="inlineStr">
        <is>
          <t/>
        </is>
      </c>
      <c r="BB470" s="192" t="inlineStr">
        <is>
          <t>Chalmers Innovation (www.chalmersinnovation.com), Chalmers Ventures (www.chalmersventures.com), Climate-KIC (www.climate-kic.org), Gullspång Invest (www.gullspanginvest.se), SKAPA foundation (www.stiftelsenskapa.se)</t>
        </is>
      </c>
      <c r="BC470" s="193" t="inlineStr">
        <is>
          <t/>
        </is>
      </c>
      <c r="BD470" s="194" t="inlineStr">
        <is>
          <t/>
        </is>
      </c>
      <c r="BE470" s="195" t="inlineStr">
        <is>
          <t/>
        </is>
      </c>
      <c r="BF470" s="196" t="inlineStr">
        <is>
          <t/>
        </is>
      </c>
      <c r="BG470" s="197" t="n">
        <v>41981.0</v>
      </c>
      <c r="BH470" s="198" t="inlineStr">
        <is>
          <t/>
        </is>
      </c>
      <c r="BI470" s="199" t="inlineStr">
        <is>
          <t/>
        </is>
      </c>
      <c r="BJ470" s="200" t="inlineStr">
        <is>
          <t/>
        </is>
      </c>
      <c r="BK470" s="201" t="inlineStr">
        <is>
          <t/>
        </is>
      </c>
      <c r="BL470" s="202" t="inlineStr">
        <is>
          <t>Accelerator/Incubator</t>
        </is>
      </c>
      <c r="BM470" s="203" t="inlineStr">
        <is>
          <t/>
        </is>
      </c>
      <c r="BN470" s="204" t="inlineStr">
        <is>
          <t/>
        </is>
      </c>
      <c r="BO470" s="205" t="inlineStr">
        <is>
          <t>Venture Capital</t>
        </is>
      </c>
      <c r="BP470" s="206" t="inlineStr">
        <is>
          <t/>
        </is>
      </c>
      <c r="BQ470" s="207" t="inlineStr">
        <is>
          <t/>
        </is>
      </c>
      <c r="BR470" s="208" t="inlineStr">
        <is>
          <t/>
        </is>
      </c>
      <c r="BS470" s="209" t="inlineStr">
        <is>
          <t>Completed</t>
        </is>
      </c>
      <c r="BT470" s="210" t="n">
        <v>42914.0</v>
      </c>
      <c r="BU470" s="211" t="n">
        <v>6.0</v>
      </c>
      <c r="BV470" s="212" t="inlineStr">
        <is>
          <t>Actual</t>
        </is>
      </c>
      <c r="BW470" s="213" t="inlineStr">
        <is>
          <t/>
        </is>
      </c>
      <c r="BX470" s="214" t="inlineStr">
        <is>
          <t/>
        </is>
      </c>
      <c r="BY470" s="215" t="inlineStr">
        <is>
          <t>Early Stage VC</t>
        </is>
      </c>
      <c r="BZ470" s="216" t="inlineStr">
        <is>
          <t>Series A</t>
        </is>
      </c>
      <c r="CA470" s="217" t="inlineStr">
        <is>
          <t/>
        </is>
      </c>
      <c r="CB470" s="218" t="inlineStr">
        <is>
          <t>Venture Capital</t>
        </is>
      </c>
      <c r="CC470" s="219" t="inlineStr">
        <is>
          <t/>
        </is>
      </c>
      <c r="CD470" s="220" t="inlineStr">
        <is>
          <t/>
        </is>
      </c>
      <c r="CE470" s="221" t="inlineStr">
        <is>
          <t/>
        </is>
      </c>
      <c r="CF470" s="222" t="inlineStr">
        <is>
          <t>Completed</t>
        </is>
      </c>
      <c r="CG470" s="223" t="inlineStr">
        <is>
          <t>1,06%</t>
        </is>
      </c>
      <c r="CH470" s="224" t="inlineStr">
        <is>
          <t>89</t>
        </is>
      </c>
      <c r="CI470" s="225" t="inlineStr">
        <is>
          <t>-0,01%</t>
        </is>
      </c>
      <c r="CJ470" s="226" t="inlineStr">
        <is>
          <t>-1,21%</t>
        </is>
      </c>
      <c r="CK470" s="227" t="inlineStr">
        <is>
          <t>0,68%</t>
        </is>
      </c>
      <c r="CL470" s="228" t="inlineStr">
        <is>
          <t>85</t>
        </is>
      </c>
      <c r="CM470" s="229" t="inlineStr">
        <is>
          <t>1,45%</t>
        </is>
      </c>
      <c r="CN470" s="230" t="inlineStr">
        <is>
          <t>98</t>
        </is>
      </c>
      <c r="CO470" s="231" t="inlineStr">
        <is>
          <t>0,68%</t>
        </is>
      </c>
      <c r="CP470" s="232" t="inlineStr">
        <is>
          <t>83</t>
        </is>
      </c>
      <c r="CQ470" s="233" t="inlineStr">
        <is>
          <t/>
        </is>
      </c>
      <c r="CR470" s="234" t="inlineStr">
        <is>
          <t/>
        </is>
      </c>
      <c r="CS470" s="235" t="inlineStr">
        <is>
          <t>2,17%</t>
        </is>
      </c>
      <c r="CT470" s="236" t="inlineStr">
        <is>
          <t>98</t>
        </is>
      </c>
      <c r="CU470" s="237" t="inlineStr">
        <is>
          <t>0,73%</t>
        </is>
      </c>
      <c r="CV470" s="238" t="inlineStr">
        <is>
          <t>95</t>
        </is>
      </c>
      <c r="CW470" s="239" t="inlineStr">
        <is>
          <t>7,44x</t>
        </is>
      </c>
      <c r="CX470" s="240" t="inlineStr">
        <is>
          <t>84</t>
        </is>
      </c>
      <c r="CY470" s="241" t="inlineStr">
        <is>
          <t>0,08x</t>
        </is>
      </c>
      <c r="CZ470" s="242" t="inlineStr">
        <is>
          <t>1,11%</t>
        </is>
      </c>
      <c r="DA470" s="243" t="inlineStr">
        <is>
          <t>10,01x</t>
        </is>
      </c>
      <c r="DB470" s="244" t="inlineStr">
        <is>
          <t>87</t>
        </is>
      </c>
      <c r="DC470" s="245" t="inlineStr">
        <is>
          <t>4,86x</t>
        </is>
      </c>
      <c r="DD470" s="246" t="inlineStr">
        <is>
          <t>76</t>
        </is>
      </c>
      <c r="DE470" s="247" t="inlineStr">
        <is>
          <t>10,01x</t>
        </is>
      </c>
      <c r="DF470" s="248" t="inlineStr">
        <is>
          <t>83</t>
        </is>
      </c>
      <c r="DG470" s="249" t="inlineStr">
        <is>
          <t/>
        </is>
      </c>
      <c r="DH470" s="250" t="inlineStr">
        <is>
          <t/>
        </is>
      </c>
      <c r="DI470" s="251" t="inlineStr">
        <is>
          <t>6,20x</t>
        </is>
      </c>
      <c r="DJ470" s="252" t="inlineStr">
        <is>
          <t>77</t>
        </is>
      </c>
      <c r="DK470" s="253" t="inlineStr">
        <is>
          <t>3,52x</t>
        </is>
      </c>
      <c r="DL470" s="254" t="inlineStr">
        <is>
          <t>73</t>
        </is>
      </c>
      <c r="DM470" s="255" t="inlineStr">
        <is>
          <t>6.376</t>
        </is>
      </c>
      <c r="DN470" s="256" t="inlineStr">
        <is>
          <t>-657</t>
        </is>
      </c>
      <c r="DO470" s="257" t="inlineStr">
        <is>
          <t>-9,34%</t>
        </is>
      </c>
      <c r="DP470" s="258" t="inlineStr">
        <is>
          <t>4.913</t>
        </is>
      </c>
      <c r="DQ470" s="259" t="inlineStr">
        <is>
          <t>85</t>
        </is>
      </c>
      <c r="DR470" s="260" t="inlineStr">
        <is>
          <t>1,76%</t>
        </is>
      </c>
      <c r="DS470" s="261" t="inlineStr">
        <is>
          <t/>
        </is>
      </c>
      <c r="DT470" s="262" t="inlineStr">
        <is>
          <t/>
        </is>
      </c>
      <c r="DU470" s="263" t="inlineStr">
        <is>
          <t/>
        </is>
      </c>
      <c r="DV470" s="264" t="inlineStr">
        <is>
          <t>1.202</t>
        </is>
      </c>
      <c r="DW470" s="265" t="inlineStr">
        <is>
          <t>11</t>
        </is>
      </c>
      <c r="DX470" s="266" t="inlineStr">
        <is>
          <t>0,92%</t>
        </is>
      </c>
      <c r="DY470" s="267" t="inlineStr">
        <is>
          <t>PitchBook Research</t>
        </is>
      </c>
      <c r="DZ470" s="786">
        <f>HYPERLINK("https://my.pitchbook.com?c=106944-22", "View company online")</f>
      </c>
    </row>
    <row r="471">
      <c r="A471" s="9" t="inlineStr">
        <is>
          <t>61066-99</t>
        </is>
      </c>
      <c r="B471" s="10" t="inlineStr">
        <is>
          <t>Triptease</t>
        </is>
      </c>
      <c r="C471" s="11" t="inlineStr">
        <is>
          <t/>
        </is>
      </c>
      <c r="D471" s="12" t="inlineStr">
        <is>
          <t/>
        </is>
      </c>
      <c r="E471" s="13" t="inlineStr">
        <is>
          <t>61066-99</t>
        </is>
      </c>
      <c r="F471" s="14" t="inlineStr">
        <is>
          <t>Developer of SaaS online booking platform for hotels designed to make the booking process easier for guests and increase direct bookings for hotels. The company's all-in-one direct booking platform integrates with a hotel's current website and booking engine, tracks millions of consumer booking journeys across thousands of hotel websites and brings conversion optimization to each individual hotel website, enabling hotels to engage with guests, increase direct bookings and improve their conversion.</t>
        </is>
      </c>
      <c r="G471" s="15" t="inlineStr">
        <is>
          <t>Information Technology</t>
        </is>
      </c>
      <c r="H471" s="16" t="inlineStr">
        <is>
          <t>Software</t>
        </is>
      </c>
      <c r="I471" s="17" t="inlineStr">
        <is>
          <t>Social/Platform Software</t>
        </is>
      </c>
      <c r="J471" s="18" t="inlineStr">
        <is>
          <t>Social/Platform Software*; Information Services (B2C); Business/Productivity Software</t>
        </is>
      </c>
      <c r="K471" s="19" t="inlineStr">
        <is>
          <t>SaaS</t>
        </is>
      </c>
      <c r="L471" s="20" t="inlineStr">
        <is>
          <t>Venture Capital-Backed</t>
        </is>
      </c>
      <c r="M471" s="21" t="n">
        <v>19.8</v>
      </c>
      <c r="N471" s="22" t="inlineStr">
        <is>
          <t>Profitable</t>
        </is>
      </c>
      <c r="O471" s="23" t="inlineStr">
        <is>
          <t>Privately Held (backing)</t>
        </is>
      </c>
      <c r="P471" s="24" t="inlineStr">
        <is>
          <t>Venture Capital</t>
        </is>
      </c>
      <c r="Q471" s="25" t="inlineStr">
        <is>
          <t>www.triptease.com</t>
        </is>
      </c>
      <c r="R471" s="26" t="n">
        <v>59.0</v>
      </c>
      <c r="S471" s="27" t="inlineStr">
        <is>
          <t/>
        </is>
      </c>
      <c r="T471" s="28" t="inlineStr">
        <is>
          <t/>
        </is>
      </c>
      <c r="U471" s="29" t="n">
        <v>2012.0</v>
      </c>
      <c r="V471" s="30" t="inlineStr">
        <is>
          <t/>
        </is>
      </c>
      <c r="W471" s="31" t="inlineStr">
        <is>
          <t/>
        </is>
      </c>
      <c r="X471" s="32" t="inlineStr">
        <is>
          <t/>
        </is>
      </c>
      <c r="Y471" s="33" t="inlineStr">
        <is>
          <t/>
        </is>
      </c>
      <c r="Z471" s="34" t="inlineStr">
        <is>
          <t/>
        </is>
      </c>
      <c r="AA471" s="35" t="inlineStr">
        <is>
          <t/>
        </is>
      </c>
      <c r="AB471" s="36" t="inlineStr">
        <is>
          <t/>
        </is>
      </c>
      <c r="AC471" s="37" t="inlineStr">
        <is>
          <t/>
        </is>
      </c>
      <c r="AD471" s="38" t="inlineStr">
        <is>
          <t/>
        </is>
      </c>
      <c r="AE471" s="39" t="inlineStr">
        <is>
          <t>59676-58P</t>
        </is>
      </c>
      <c r="AF471" s="40" t="inlineStr">
        <is>
          <t>Charles Osmond</t>
        </is>
      </c>
      <c r="AG471" s="41" t="inlineStr">
        <is>
          <t>Co-Founder, Chief Executive Officer &amp; Board Member</t>
        </is>
      </c>
      <c r="AH471" s="42" t="inlineStr">
        <is>
          <t>charlie.osmond@triptease.com</t>
        </is>
      </c>
      <c r="AI471" s="43" t="inlineStr">
        <is>
          <t>+44 (0)16 0032 0011</t>
        </is>
      </c>
      <c r="AJ471" s="44" t="inlineStr">
        <is>
          <t>London, United Kingdom</t>
        </is>
      </c>
      <c r="AK471" s="45" t="inlineStr">
        <is>
          <t>229 Kingsbourne House</t>
        </is>
      </c>
      <c r="AL471" s="46" t="inlineStr">
        <is>
          <t/>
        </is>
      </c>
      <c r="AM471" s="47" t="inlineStr">
        <is>
          <t>London</t>
        </is>
      </c>
      <c r="AN471" s="48" t="inlineStr">
        <is>
          <t>England</t>
        </is>
      </c>
      <c r="AO471" s="49" t="inlineStr">
        <is>
          <t>WC1V 7DA</t>
        </is>
      </c>
      <c r="AP471" s="50" t="inlineStr">
        <is>
          <t>United Kingdom</t>
        </is>
      </c>
      <c r="AQ471" s="51" t="inlineStr">
        <is>
          <t>+44 (0)16 0032 0011</t>
        </is>
      </c>
      <c r="AR471" s="52" t="inlineStr">
        <is>
          <t/>
        </is>
      </c>
      <c r="AS471" s="53" t="inlineStr">
        <is>
          <t>info@triptease.com</t>
        </is>
      </c>
      <c r="AT471" s="54" t="inlineStr">
        <is>
          <t>Europe</t>
        </is>
      </c>
      <c r="AU471" s="55" t="inlineStr">
        <is>
          <t>Western Europe</t>
        </is>
      </c>
      <c r="AV471" s="56" t="inlineStr">
        <is>
          <t>The company raised $9 million of Series B venture funding in a deal led by BGF Ventures on April 6, 2017. Notion Capital and Episode 1 Ventures also participated in the round. The funds will be used for further product development and to continue growth and international expansion into Asia by opening a new office in Singapore.</t>
        </is>
      </c>
      <c r="AW471" s="57" t="inlineStr">
        <is>
          <t>BGF Ventures, Damien Lane, Episode 1 Ventures, Notion Capital</t>
        </is>
      </c>
      <c r="AX471" s="58" t="n">
        <v>4.0</v>
      </c>
      <c r="AY471" s="59" t="inlineStr">
        <is>
          <t/>
        </is>
      </c>
      <c r="AZ471" s="60" t="inlineStr">
        <is>
          <t/>
        </is>
      </c>
      <c r="BA471" s="61" t="inlineStr">
        <is>
          <t/>
        </is>
      </c>
      <c r="BB471" s="62" t="inlineStr">
        <is>
          <t>BGF Ventures (www.bgfventures.com), Episode 1 Ventures (www.episode1.com), Notion Capital (www.notioncapital.com)</t>
        </is>
      </c>
      <c r="BC471" s="63" t="inlineStr">
        <is>
          <t/>
        </is>
      </c>
      <c r="BD471" s="64" t="inlineStr">
        <is>
          <t/>
        </is>
      </c>
      <c r="BE471" s="65" t="inlineStr">
        <is>
          <t/>
        </is>
      </c>
      <c r="BF471" s="66" t="inlineStr">
        <is>
          <t>Boost&amp;Co</t>
        </is>
      </c>
      <c r="BG471" s="67" t="n">
        <v>41274.0</v>
      </c>
      <c r="BH471" s="68" t="inlineStr">
        <is>
          <t/>
        </is>
      </c>
      <c r="BI471" s="69" t="inlineStr">
        <is>
          <t/>
        </is>
      </c>
      <c r="BJ471" s="70" t="inlineStr">
        <is>
          <t/>
        </is>
      </c>
      <c r="BK471" s="71" t="inlineStr">
        <is>
          <t/>
        </is>
      </c>
      <c r="BL471" s="72" t="inlineStr">
        <is>
          <t>Seed Round</t>
        </is>
      </c>
      <c r="BM471" s="73" t="inlineStr">
        <is>
          <t>Seed</t>
        </is>
      </c>
      <c r="BN471" s="74" t="inlineStr">
        <is>
          <t/>
        </is>
      </c>
      <c r="BO471" s="75" t="inlineStr">
        <is>
          <t>Venture Capital</t>
        </is>
      </c>
      <c r="BP471" s="76" t="inlineStr">
        <is>
          <t/>
        </is>
      </c>
      <c r="BQ471" s="77" t="inlineStr">
        <is>
          <t/>
        </is>
      </c>
      <c r="BR471" s="78" t="inlineStr">
        <is>
          <t/>
        </is>
      </c>
      <c r="BS471" s="79" t="inlineStr">
        <is>
          <t>Completed</t>
        </is>
      </c>
      <c r="BT471" s="80" t="n">
        <v>42831.0</v>
      </c>
      <c r="BU471" s="81" t="n">
        <v>8.41</v>
      </c>
      <c r="BV471" s="82" t="inlineStr">
        <is>
          <t>Actual</t>
        </is>
      </c>
      <c r="BW471" s="83" t="inlineStr">
        <is>
          <t/>
        </is>
      </c>
      <c r="BX471" s="84" t="inlineStr">
        <is>
          <t/>
        </is>
      </c>
      <c r="BY471" s="85" t="inlineStr">
        <is>
          <t>Early Stage VC</t>
        </is>
      </c>
      <c r="BZ471" s="86" t="inlineStr">
        <is>
          <t>Series B</t>
        </is>
      </c>
      <c r="CA471" s="87" t="inlineStr">
        <is>
          <t/>
        </is>
      </c>
      <c r="CB471" s="88" t="inlineStr">
        <is>
          <t>Venture Capital</t>
        </is>
      </c>
      <c r="CC471" s="89" t="inlineStr">
        <is>
          <t/>
        </is>
      </c>
      <c r="CD471" s="90" t="inlineStr">
        <is>
          <t/>
        </is>
      </c>
      <c r="CE471" s="91" t="inlineStr">
        <is>
          <t/>
        </is>
      </c>
      <c r="CF471" s="92" t="inlineStr">
        <is>
          <t>Completed</t>
        </is>
      </c>
      <c r="CG471" s="93" t="inlineStr">
        <is>
          <t>-1,02%</t>
        </is>
      </c>
      <c r="CH471" s="94" t="inlineStr">
        <is>
          <t>5</t>
        </is>
      </c>
      <c r="CI471" s="95" t="inlineStr">
        <is>
          <t>0,10%</t>
        </is>
      </c>
      <c r="CJ471" s="96" t="inlineStr">
        <is>
          <t>8,56%</t>
        </is>
      </c>
      <c r="CK471" s="97" t="inlineStr">
        <is>
          <t>-2,04%</t>
        </is>
      </c>
      <c r="CL471" s="98" t="inlineStr">
        <is>
          <t>5</t>
        </is>
      </c>
      <c r="CM471" s="99" t="inlineStr">
        <is>
          <t>-0,01%</t>
        </is>
      </c>
      <c r="CN471" s="100" t="inlineStr">
        <is>
          <t>17</t>
        </is>
      </c>
      <c r="CO471" s="101" t="inlineStr">
        <is>
          <t>-4,24%</t>
        </is>
      </c>
      <c r="CP471" s="102" t="inlineStr">
        <is>
          <t>8</t>
        </is>
      </c>
      <c r="CQ471" s="103" t="inlineStr">
        <is>
          <t>0,16%</t>
        </is>
      </c>
      <c r="CR471" s="104" t="inlineStr">
        <is>
          <t>84</t>
        </is>
      </c>
      <c r="CS471" s="105" t="inlineStr">
        <is>
          <t>0,00%</t>
        </is>
      </c>
      <c r="CT471" s="106" t="inlineStr">
        <is>
          <t>18</t>
        </is>
      </c>
      <c r="CU471" s="107" t="inlineStr">
        <is>
          <t>-0,02%</t>
        </is>
      </c>
      <c r="CV471" s="108" t="inlineStr">
        <is>
          <t>17</t>
        </is>
      </c>
      <c r="CW471" s="109" t="inlineStr">
        <is>
          <t>20,40x</t>
        </is>
      </c>
      <c r="CX471" s="110" t="inlineStr">
        <is>
          <t>92</t>
        </is>
      </c>
      <c r="CY471" s="111" t="inlineStr">
        <is>
          <t>0,37x</t>
        </is>
      </c>
      <c r="CZ471" s="112" t="inlineStr">
        <is>
          <t>1,83%</t>
        </is>
      </c>
      <c r="DA471" s="113" t="inlineStr">
        <is>
          <t>14,75x</t>
        </is>
      </c>
      <c r="DB471" s="114" t="inlineStr">
        <is>
          <t>90</t>
        </is>
      </c>
      <c r="DC471" s="115" t="inlineStr">
        <is>
          <t>26,04x</t>
        </is>
      </c>
      <c r="DD471" s="116" t="inlineStr">
        <is>
          <t>91</t>
        </is>
      </c>
      <c r="DE471" s="117" t="inlineStr">
        <is>
          <t>14,17x</t>
        </is>
      </c>
      <c r="DF471" s="118" t="inlineStr">
        <is>
          <t>86</t>
        </is>
      </c>
      <c r="DG471" s="119" t="inlineStr">
        <is>
          <t>15,33x</t>
        </is>
      </c>
      <c r="DH471" s="120" t="inlineStr">
        <is>
          <t>90</t>
        </is>
      </c>
      <c r="DI471" s="121" t="inlineStr">
        <is>
          <t>9,14x</t>
        </is>
      </c>
      <c r="DJ471" s="122" t="inlineStr">
        <is>
          <t>81</t>
        </is>
      </c>
      <c r="DK471" s="123" t="inlineStr">
        <is>
          <t>42,94x</t>
        </is>
      </c>
      <c r="DL471" s="124" t="inlineStr">
        <is>
          <t>95</t>
        </is>
      </c>
      <c r="DM471" s="125" t="inlineStr">
        <is>
          <t>8.731</t>
        </is>
      </c>
      <c r="DN471" s="126" t="inlineStr">
        <is>
          <t>-59</t>
        </is>
      </c>
      <c r="DO471" s="127" t="inlineStr">
        <is>
          <t>-0,67%</t>
        </is>
      </c>
      <c r="DP471" s="128" t="inlineStr">
        <is>
          <t>7.305</t>
        </is>
      </c>
      <c r="DQ471" s="129" t="inlineStr">
        <is>
          <t>-2</t>
        </is>
      </c>
      <c r="DR471" s="130" t="inlineStr">
        <is>
          <t>-0,03%</t>
        </is>
      </c>
      <c r="DS471" s="131" t="inlineStr">
        <is>
          <t>552</t>
        </is>
      </c>
      <c r="DT471" s="132" t="inlineStr">
        <is>
          <t>1</t>
        </is>
      </c>
      <c r="DU471" s="133" t="inlineStr">
        <is>
          <t>0,18%</t>
        </is>
      </c>
      <c r="DV471" s="134" t="inlineStr">
        <is>
          <t>14.724</t>
        </is>
      </c>
      <c r="DW471" s="135" t="inlineStr">
        <is>
          <t>-2</t>
        </is>
      </c>
      <c r="DX471" s="136" t="inlineStr">
        <is>
          <t>-0,01%</t>
        </is>
      </c>
      <c r="DY471" s="137" t="inlineStr">
        <is>
          <t>PitchBook Research</t>
        </is>
      </c>
      <c r="DZ471" s="785">
        <f>HYPERLINK("https://my.pitchbook.com?c=61066-99", "View company online")</f>
      </c>
    </row>
    <row r="472">
      <c r="A472" s="139" t="inlineStr">
        <is>
          <t>109420-75</t>
        </is>
      </c>
      <c r="B472" s="140" t="inlineStr">
        <is>
          <t>Trunomi</t>
        </is>
      </c>
      <c r="C472" s="141" t="inlineStr">
        <is>
          <t/>
        </is>
      </c>
      <c r="D472" s="142" t="inlineStr">
        <is>
          <t>TruLink</t>
        </is>
      </c>
      <c r="E472" s="143" t="inlineStr">
        <is>
          <t>109420-75</t>
        </is>
      </c>
      <c r="F472" s="144" t="inlineStr">
        <is>
          <t>Provider of a consent-based data sharing platform intended to offer a trusted and transparent way to control who uses their data. The company's consent management data sharing platform connects businesses and their customers, capturing customer consent to the use of their personal data, enabling companies to ensure customer data privacy and consent compliance management.</t>
        </is>
      </c>
      <c r="G472" s="145" t="inlineStr">
        <is>
          <t>Information Technology</t>
        </is>
      </c>
      <c r="H472" s="146" t="inlineStr">
        <is>
          <t>Software</t>
        </is>
      </c>
      <c r="I472" s="147" t="inlineStr">
        <is>
          <t>Business/Productivity Software</t>
        </is>
      </c>
      <c r="J472" s="148" t="inlineStr">
        <is>
          <t>Business/Productivity Software*; Database Software</t>
        </is>
      </c>
      <c r="K472" s="149" t="inlineStr">
        <is>
          <t>SaaS</t>
        </is>
      </c>
      <c r="L472" s="150" t="inlineStr">
        <is>
          <t>Venture Capital-Backed</t>
        </is>
      </c>
      <c r="M472" s="151" t="n">
        <v>7.03</v>
      </c>
      <c r="N472" s="152" t="inlineStr">
        <is>
          <t>Generating Revenue</t>
        </is>
      </c>
      <c r="O472" s="153" t="inlineStr">
        <is>
          <t>Privately Held (backing)</t>
        </is>
      </c>
      <c r="P472" s="154" t="inlineStr">
        <is>
          <t>Venture Capital</t>
        </is>
      </c>
      <c r="Q472" s="155" t="inlineStr">
        <is>
          <t>www.trunomi.com</t>
        </is>
      </c>
      <c r="R472" s="156" t="n">
        <v>10.0</v>
      </c>
      <c r="S472" s="157" t="inlineStr">
        <is>
          <t/>
        </is>
      </c>
      <c r="T472" s="158" t="inlineStr">
        <is>
          <t/>
        </is>
      </c>
      <c r="U472" s="159" t="n">
        <v>2013.0</v>
      </c>
      <c r="V472" s="160" t="inlineStr">
        <is>
          <t/>
        </is>
      </c>
      <c r="W472" s="161" t="inlineStr">
        <is>
          <t/>
        </is>
      </c>
      <c r="X472" s="162" t="inlineStr">
        <is>
          <t/>
        </is>
      </c>
      <c r="Y472" s="163" t="inlineStr">
        <is>
          <t/>
        </is>
      </c>
      <c r="Z472" s="164" t="inlineStr">
        <is>
          <t/>
        </is>
      </c>
      <c r="AA472" s="165" t="inlineStr">
        <is>
          <t/>
        </is>
      </c>
      <c r="AB472" s="166" t="inlineStr">
        <is>
          <t/>
        </is>
      </c>
      <c r="AC472" s="167" t="inlineStr">
        <is>
          <t/>
        </is>
      </c>
      <c r="AD472" s="168" t="inlineStr">
        <is>
          <t/>
        </is>
      </c>
      <c r="AE472" s="169" t="inlineStr">
        <is>
          <t>94462-66P</t>
        </is>
      </c>
      <c r="AF472" s="170" t="inlineStr">
        <is>
          <t>Stuart Lacey</t>
        </is>
      </c>
      <c r="AG472" s="171" t="inlineStr">
        <is>
          <t>Founder &amp; Chief Executive Officer</t>
        </is>
      </c>
      <c r="AH472" s="172" t="inlineStr">
        <is>
          <t>stuart@trunomi.com</t>
        </is>
      </c>
      <c r="AI472" s="173" t="inlineStr">
        <is>
          <t>+1 (844) 878-6664</t>
        </is>
      </c>
      <c r="AJ472" s="174" t="inlineStr">
        <is>
          <t>London, United Kingdom</t>
        </is>
      </c>
      <c r="AK472" s="175" t="inlineStr">
        <is>
          <t>Rise London</t>
        </is>
      </c>
      <c r="AL472" s="176" t="inlineStr">
        <is>
          <t>41 Luke Street</t>
        </is>
      </c>
      <c r="AM472" s="177" t="inlineStr">
        <is>
          <t>London</t>
        </is>
      </c>
      <c r="AN472" s="178" t="inlineStr">
        <is>
          <t>England</t>
        </is>
      </c>
      <c r="AO472" s="179" t="inlineStr">
        <is>
          <t>EC2A 4DP</t>
        </is>
      </c>
      <c r="AP472" s="180" t="inlineStr">
        <is>
          <t>United Kingdom</t>
        </is>
      </c>
      <c r="AQ472" s="181" t="inlineStr">
        <is>
          <t/>
        </is>
      </c>
      <c r="AR472" s="182" t="inlineStr">
        <is>
          <t/>
        </is>
      </c>
      <c r="AS472" s="183" t="inlineStr">
        <is>
          <t>info@trunomi.com</t>
        </is>
      </c>
      <c r="AT472" s="184" t="inlineStr">
        <is>
          <t>Europe</t>
        </is>
      </c>
      <c r="AU472" s="185" t="inlineStr">
        <is>
          <t>Western Europe</t>
        </is>
      </c>
      <c r="AV472" s="186" t="inlineStr">
        <is>
          <t>The company raised seed funding from undisclosed investors on January 24, 2017.</t>
        </is>
      </c>
      <c r="AW472" s="187" t="inlineStr">
        <is>
          <t>Fenway Summer Ventures, Fintonia, Persistent Systems, Plug and Play Tech Center, Saturn Partners, SenaHill Partners, WorldQuant Ventures</t>
        </is>
      </c>
      <c r="AX472" s="188" t="n">
        <v>7.0</v>
      </c>
      <c r="AY472" s="189" t="inlineStr">
        <is>
          <t/>
        </is>
      </c>
      <c r="AZ472" s="190" t="inlineStr">
        <is>
          <t/>
        </is>
      </c>
      <c r="BA472" s="191" t="inlineStr">
        <is>
          <t/>
        </is>
      </c>
      <c r="BB472" s="192" t="inlineStr">
        <is>
          <t>Fenway Summer Ventures (www.fenwaysummer.com), Fintonia (www.fintonia.asia), Persistent Systems (www.persistent.com), Plug and Play Tech Center (www.plugandplaytechcenter.com), Saturn Partners (www.saturnpartnersvc.com), SenaHill Partners (www.senahill.com), WorldQuant Ventures (www.worldquantventures.com)</t>
        </is>
      </c>
      <c r="BC472" s="193" t="inlineStr">
        <is>
          <t/>
        </is>
      </c>
      <c r="BD472" s="194" t="inlineStr">
        <is>
          <t/>
        </is>
      </c>
      <c r="BE472" s="195" t="inlineStr">
        <is>
          <t>Wilson Sonsini Goodrich &amp; Rosati (Legal Advisor)</t>
        </is>
      </c>
      <c r="BF472" s="196" t="inlineStr">
        <is>
          <t>Wilson Sonsini Goodrich &amp; Rosati (Legal Advisor)</t>
        </is>
      </c>
      <c r="BG472" s="197" t="inlineStr">
        <is>
          <t/>
        </is>
      </c>
      <c r="BH472" s="198" t="inlineStr">
        <is>
          <t/>
        </is>
      </c>
      <c r="BI472" s="199" t="inlineStr">
        <is>
          <t/>
        </is>
      </c>
      <c r="BJ472" s="200" t="inlineStr">
        <is>
          <t/>
        </is>
      </c>
      <c r="BK472" s="201" t="inlineStr">
        <is>
          <t/>
        </is>
      </c>
      <c r="BL472" s="202" t="inlineStr">
        <is>
          <t>Accelerator/Incubator</t>
        </is>
      </c>
      <c r="BM472" s="203" t="inlineStr">
        <is>
          <t/>
        </is>
      </c>
      <c r="BN472" s="204" t="inlineStr">
        <is>
          <t/>
        </is>
      </c>
      <c r="BO472" s="205" t="inlineStr">
        <is>
          <t>Other</t>
        </is>
      </c>
      <c r="BP472" s="206" t="inlineStr">
        <is>
          <t/>
        </is>
      </c>
      <c r="BQ472" s="207" t="inlineStr">
        <is>
          <t/>
        </is>
      </c>
      <c r="BR472" s="208" t="inlineStr">
        <is>
          <t/>
        </is>
      </c>
      <c r="BS472" s="209" t="inlineStr">
        <is>
          <t>Completed</t>
        </is>
      </c>
      <c r="BT472" s="210" t="n">
        <v>42759.0</v>
      </c>
      <c r="BU472" s="211" t="inlineStr">
        <is>
          <t/>
        </is>
      </c>
      <c r="BV472" s="212" t="inlineStr">
        <is>
          <t/>
        </is>
      </c>
      <c r="BW472" s="213" t="inlineStr">
        <is>
          <t/>
        </is>
      </c>
      <c r="BX472" s="214" t="inlineStr">
        <is>
          <t/>
        </is>
      </c>
      <c r="BY472" s="215" t="inlineStr">
        <is>
          <t>Seed Round</t>
        </is>
      </c>
      <c r="BZ472" s="216" t="inlineStr">
        <is>
          <t>Seed</t>
        </is>
      </c>
      <c r="CA472" s="217" t="inlineStr">
        <is>
          <t/>
        </is>
      </c>
      <c r="CB472" s="218" t="inlineStr">
        <is>
          <t>Venture Capital</t>
        </is>
      </c>
      <c r="CC472" s="219" t="inlineStr">
        <is>
          <t/>
        </is>
      </c>
      <c r="CD472" s="220" t="inlineStr">
        <is>
          <t/>
        </is>
      </c>
      <c r="CE472" s="221" t="inlineStr">
        <is>
          <t/>
        </is>
      </c>
      <c r="CF472" s="222" t="inlineStr">
        <is>
          <t>Completed</t>
        </is>
      </c>
      <c r="CG472" s="223" t="inlineStr">
        <is>
          <t>0,73%</t>
        </is>
      </c>
      <c r="CH472" s="224" t="inlineStr">
        <is>
          <t>86</t>
        </is>
      </c>
      <c r="CI472" s="225" t="inlineStr">
        <is>
          <t>0,07%</t>
        </is>
      </c>
      <c r="CJ472" s="226" t="inlineStr">
        <is>
          <t>9,82%</t>
        </is>
      </c>
      <c r="CK472" s="227" t="inlineStr">
        <is>
          <t>0,16%</t>
        </is>
      </c>
      <c r="CL472" s="228" t="inlineStr">
        <is>
          <t>81</t>
        </is>
      </c>
      <c r="CM472" s="229" t="inlineStr">
        <is>
          <t>1,31%</t>
        </is>
      </c>
      <c r="CN472" s="230" t="inlineStr">
        <is>
          <t>97</t>
        </is>
      </c>
      <c r="CO472" s="231" t="inlineStr">
        <is>
          <t>-0,39%</t>
        </is>
      </c>
      <c r="CP472" s="232" t="inlineStr">
        <is>
          <t>23</t>
        </is>
      </c>
      <c r="CQ472" s="233" t="inlineStr">
        <is>
          <t>0,71%</t>
        </is>
      </c>
      <c r="CR472" s="234" t="inlineStr">
        <is>
          <t>87</t>
        </is>
      </c>
      <c r="CS472" s="235" t="inlineStr">
        <is>
          <t>1,19%</t>
        </is>
      </c>
      <c r="CT472" s="236" t="inlineStr">
        <is>
          <t>96</t>
        </is>
      </c>
      <c r="CU472" s="237" t="inlineStr">
        <is>
          <t>1,42%</t>
        </is>
      </c>
      <c r="CV472" s="238" t="inlineStr">
        <is>
          <t>98</t>
        </is>
      </c>
      <c r="CW472" s="239" t="inlineStr">
        <is>
          <t>1,96x</t>
        </is>
      </c>
      <c r="CX472" s="240" t="inlineStr">
        <is>
          <t>64</t>
        </is>
      </c>
      <c r="CY472" s="241" t="inlineStr">
        <is>
          <t>0,06x</t>
        </is>
      </c>
      <c r="CZ472" s="242" t="inlineStr">
        <is>
          <t>3,25%</t>
        </is>
      </c>
      <c r="DA472" s="243" t="inlineStr">
        <is>
          <t>2,74x</t>
        </is>
      </c>
      <c r="DB472" s="244" t="inlineStr">
        <is>
          <t>72</t>
        </is>
      </c>
      <c r="DC472" s="245" t="inlineStr">
        <is>
          <t>1,18x</t>
        </is>
      </c>
      <c r="DD472" s="246" t="inlineStr">
        <is>
          <t>51</t>
        </is>
      </c>
      <c r="DE472" s="247" t="inlineStr">
        <is>
          <t>1,42x</t>
        </is>
      </c>
      <c r="DF472" s="248" t="inlineStr">
        <is>
          <t>57</t>
        </is>
      </c>
      <c r="DG472" s="249" t="inlineStr">
        <is>
          <t>4,06x</t>
        </is>
      </c>
      <c r="DH472" s="250" t="inlineStr">
        <is>
          <t>76</t>
        </is>
      </c>
      <c r="DI472" s="251" t="inlineStr">
        <is>
          <t>0,24x</t>
        </is>
      </c>
      <c r="DJ472" s="252" t="inlineStr">
        <is>
          <t>26</t>
        </is>
      </c>
      <c r="DK472" s="253" t="inlineStr">
        <is>
          <t>2,12x</t>
        </is>
      </c>
      <c r="DL472" s="254" t="inlineStr">
        <is>
          <t>64</t>
        </is>
      </c>
      <c r="DM472" s="255" t="inlineStr">
        <is>
          <t>903</t>
        </is>
      </c>
      <c r="DN472" s="256" t="inlineStr">
        <is>
          <t>-85</t>
        </is>
      </c>
      <c r="DO472" s="257" t="inlineStr">
        <is>
          <t>-8,60%</t>
        </is>
      </c>
      <c r="DP472" s="258" t="inlineStr">
        <is>
          <t>189</t>
        </is>
      </c>
      <c r="DQ472" s="259" t="inlineStr">
        <is>
          <t>1</t>
        </is>
      </c>
      <c r="DR472" s="260" t="inlineStr">
        <is>
          <t>0,53%</t>
        </is>
      </c>
      <c r="DS472" s="261" t="inlineStr">
        <is>
          <t>145</t>
        </is>
      </c>
      <c r="DT472" s="262" t="inlineStr">
        <is>
          <t>1</t>
        </is>
      </c>
      <c r="DU472" s="263" t="inlineStr">
        <is>
          <t>0,69%</t>
        </is>
      </c>
      <c r="DV472" s="264" t="inlineStr">
        <is>
          <t>720</t>
        </is>
      </c>
      <c r="DW472" s="265" t="inlineStr">
        <is>
          <t>11</t>
        </is>
      </c>
      <c r="DX472" s="266" t="inlineStr">
        <is>
          <t>1,55%</t>
        </is>
      </c>
      <c r="DY472" s="267" t="inlineStr">
        <is>
          <t>PitchBook Research</t>
        </is>
      </c>
      <c r="DZ472" s="786">
        <f>HYPERLINK("https://my.pitchbook.com?c=109420-75", "View company online")</f>
      </c>
    </row>
    <row r="473">
      <c r="A473" s="9" t="inlineStr">
        <is>
          <t>125744-86</t>
        </is>
      </c>
      <c r="B473" s="10" t="inlineStr">
        <is>
          <t>TruRating</t>
        </is>
      </c>
      <c r="C473" s="11" t="inlineStr">
        <is>
          <t/>
        </is>
      </c>
      <c r="D473" s="12" t="inlineStr">
        <is>
          <t/>
        </is>
      </c>
      <c r="E473" s="13" t="inlineStr">
        <is>
          <t>125744-86</t>
        </is>
      </c>
      <c r="F473" s="14" t="inlineStr">
        <is>
          <t>Provider of point-of-payment rating system. The company offers a rating platform for restaurants and retailers to obtain feedback from customers at their respective points of payment, via the same POS device.</t>
        </is>
      </c>
      <c r="G473" s="15" t="inlineStr">
        <is>
          <t>Information Technology</t>
        </is>
      </c>
      <c r="H473" s="16" t="inlineStr">
        <is>
          <t>Software</t>
        </is>
      </c>
      <c r="I473" s="17" t="inlineStr">
        <is>
          <t>Social/Platform Software</t>
        </is>
      </c>
      <c r="J473" s="18" t="inlineStr">
        <is>
          <t>Social/Platform Software*; Other Commercial Services</t>
        </is>
      </c>
      <c r="K473" s="19" t="inlineStr">
        <is>
          <t/>
        </is>
      </c>
      <c r="L473" s="20" t="inlineStr">
        <is>
          <t>Venture Capital-Backed</t>
        </is>
      </c>
      <c r="M473" s="21" t="n">
        <v>16.63</v>
      </c>
      <c r="N473" s="22" t="inlineStr">
        <is>
          <t>Startup</t>
        </is>
      </c>
      <c r="O473" s="23" t="inlineStr">
        <is>
          <t>Privately Held (backing)</t>
        </is>
      </c>
      <c r="P473" s="24" t="inlineStr">
        <is>
          <t>Venture Capital</t>
        </is>
      </c>
      <c r="Q473" s="25" t="inlineStr">
        <is>
          <t>www.trurating.com</t>
        </is>
      </c>
      <c r="R473" s="26" t="n">
        <v>58.0</v>
      </c>
      <c r="S473" s="27" t="inlineStr">
        <is>
          <t/>
        </is>
      </c>
      <c r="T473" s="28" t="inlineStr">
        <is>
          <t/>
        </is>
      </c>
      <c r="U473" s="29" t="n">
        <v>2013.0</v>
      </c>
      <c r="V473" s="30" t="inlineStr">
        <is>
          <t/>
        </is>
      </c>
      <c r="W473" s="31" t="inlineStr">
        <is>
          <t/>
        </is>
      </c>
      <c r="X473" s="32" t="inlineStr">
        <is>
          <t/>
        </is>
      </c>
      <c r="Y473" s="33" t="inlineStr">
        <is>
          <t/>
        </is>
      </c>
      <c r="Z473" s="34" t="inlineStr">
        <is>
          <t/>
        </is>
      </c>
      <c r="AA473" s="35" t="inlineStr">
        <is>
          <t/>
        </is>
      </c>
      <c r="AB473" s="36" t="inlineStr">
        <is>
          <t/>
        </is>
      </c>
      <c r="AC473" s="37" t="inlineStr">
        <is>
          <t/>
        </is>
      </c>
      <c r="AD473" s="38" t="inlineStr">
        <is>
          <t/>
        </is>
      </c>
      <c r="AE473" s="39" t="inlineStr">
        <is>
          <t>141660-28P</t>
        </is>
      </c>
      <c r="AF473" s="40" t="inlineStr">
        <is>
          <t>Ben Hudson</t>
        </is>
      </c>
      <c r="AG473" s="41" t="inlineStr">
        <is>
          <t>Chief Financial Officer</t>
        </is>
      </c>
      <c r="AH473" s="42" t="inlineStr">
        <is>
          <t>ben.hudson@trurating.com</t>
        </is>
      </c>
      <c r="AI473" s="43" t="inlineStr">
        <is>
          <t>+44 (0)33 0123 1310</t>
        </is>
      </c>
      <c r="AJ473" s="44" t="inlineStr">
        <is>
          <t>Saint Albans, United Kingdom</t>
        </is>
      </c>
      <c r="AK473" s="45" t="inlineStr">
        <is>
          <t>Pendragon House</t>
        </is>
      </c>
      <c r="AL473" s="46" t="inlineStr">
        <is>
          <t>65 London Road</t>
        </is>
      </c>
      <c r="AM473" s="47" t="inlineStr">
        <is>
          <t>Saint Albans</t>
        </is>
      </c>
      <c r="AN473" s="48" t="inlineStr">
        <is>
          <t>England</t>
        </is>
      </c>
      <c r="AO473" s="49" t="inlineStr">
        <is>
          <t>AL1 1LJ</t>
        </is>
      </c>
      <c r="AP473" s="50" t="inlineStr">
        <is>
          <t>United Kingdom</t>
        </is>
      </c>
      <c r="AQ473" s="51" t="inlineStr">
        <is>
          <t>+44 (0)33 0123 1310</t>
        </is>
      </c>
      <c r="AR473" s="52" t="inlineStr">
        <is>
          <t/>
        </is>
      </c>
      <c r="AS473" s="53" t="inlineStr">
        <is>
          <t>info@trurating.com</t>
        </is>
      </c>
      <c r="AT473" s="54" t="inlineStr">
        <is>
          <t>Europe</t>
        </is>
      </c>
      <c r="AU473" s="55" t="inlineStr">
        <is>
          <t>Western Europe</t>
        </is>
      </c>
      <c r="AV473" s="56" t="inlineStr">
        <is>
          <t>The company raised GBP 9.5 million of Series A venture funding in a deal led by SandAire on August 2, 2016, putting the pre-money valuation at GBP 39.26 million. MaRS Discovery District and other undisclosed investors also participated in the funding. The company intends to use the funds to further develop the platform and expand operations and launch in US, Australia and Canada.</t>
        </is>
      </c>
      <c r="AW473" s="57" t="inlineStr">
        <is>
          <t>Anthony Gutman, CARTES SECURE CONNEXIONS, Chris Blundell, MBM Capital Partners, Microsoft Accelerator, Peter Ayliffe, Ryerson University, SandAire</t>
        </is>
      </c>
      <c r="AX473" s="58" t="n">
        <v>8.0</v>
      </c>
      <c r="AY473" s="59" t="inlineStr">
        <is>
          <t/>
        </is>
      </c>
      <c r="AZ473" s="60" t="inlineStr">
        <is>
          <t/>
        </is>
      </c>
      <c r="BA473" s="61" t="inlineStr">
        <is>
          <t/>
        </is>
      </c>
      <c r="BB473" s="62" t="inlineStr">
        <is>
          <t>MBM Capital Partners (www.mbmcp.com), Microsoft Accelerator (www.microsoftaccelerator.com), Ryerson University (dmz.ryerson.ca)</t>
        </is>
      </c>
      <c r="BC473" s="63" t="inlineStr">
        <is>
          <t/>
        </is>
      </c>
      <c r="BD473" s="64" t="inlineStr">
        <is>
          <t/>
        </is>
      </c>
      <c r="BE473" s="65" t="inlineStr">
        <is>
          <t/>
        </is>
      </c>
      <c r="BF473" s="66" t="inlineStr">
        <is>
          <t/>
        </is>
      </c>
      <c r="BG473" s="67" t="inlineStr">
        <is>
          <t/>
        </is>
      </c>
      <c r="BH473" s="68" t="inlineStr">
        <is>
          <t/>
        </is>
      </c>
      <c r="BI473" s="69" t="inlineStr">
        <is>
          <t/>
        </is>
      </c>
      <c r="BJ473" s="70" t="inlineStr">
        <is>
          <t/>
        </is>
      </c>
      <c r="BK473" s="71" t="inlineStr">
        <is>
          <t/>
        </is>
      </c>
      <c r="BL473" s="72" t="inlineStr">
        <is>
          <t>Accelerator/Incubator</t>
        </is>
      </c>
      <c r="BM473" s="73" t="inlineStr">
        <is>
          <t/>
        </is>
      </c>
      <c r="BN473" s="74" t="inlineStr">
        <is>
          <t/>
        </is>
      </c>
      <c r="BO473" s="75" t="inlineStr">
        <is>
          <t>Other</t>
        </is>
      </c>
      <c r="BP473" s="76" t="inlineStr">
        <is>
          <t/>
        </is>
      </c>
      <c r="BQ473" s="77" t="inlineStr">
        <is>
          <t/>
        </is>
      </c>
      <c r="BR473" s="78" t="inlineStr">
        <is>
          <t/>
        </is>
      </c>
      <c r="BS473" s="79" t="inlineStr">
        <is>
          <t>Completed</t>
        </is>
      </c>
      <c r="BT473" s="80" t="n">
        <v>42584.0</v>
      </c>
      <c r="BU473" s="81" t="n">
        <v>11.11</v>
      </c>
      <c r="BV473" s="82" t="inlineStr">
        <is>
          <t>Actual</t>
        </is>
      </c>
      <c r="BW473" s="83" t="n">
        <v>56.99</v>
      </c>
      <c r="BX473" s="84" t="inlineStr">
        <is>
          <t>Actual</t>
        </is>
      </c>
      <c r="BY473" s="85" t="inlineStr">
        <is>
          <t>Early Stage VC</t>
        </is>
      </c>
      <c r="BZ473" s="86" t="inlineStr">
        <is>
          <t>Series A</t>
        </is>
      </c>
      <c r="CA473" s="87" t="inlineStr">
        <is>
          <t/>
        </is>
      </c>
      <c r="CB473" s="88" t="inlineStr">
        <is>
          <t>Venture Capital</t>
        </is>
      </c>
      <c r="CC473" s="89" t="inlineStr">
        <is>
          <t/>
        </is>
      </c>
      <c r="CD473" s="90" t="inlineStr">
        <is>
          <t/>
        </is>
      </c>
      <c r="CE473" s="91" t="inlineStr">
        <is>
          <t/>
        </is>
      </c>
      <c r="CF473" s="92" t="inlineStr">
        <is>
          <t>Completed</t>
        </is>
      </c>
      <c r="CG473" s="93" t="inlineStr">
        <is>
          <t>0,37%</t>
        </is>
      </c>
      <c r="CH473" s="94" t="inlineStr">
        <is>
          <t>82</t>
        </is>
      </c>
      <c r="CI473" s="95" t="inlineStr">
        <is>
          <t>-0,03%</t>
        </is>
      </c>
      <c r="CJ473" s="96" t="inlineStr">
        <is>
          <t>-7,77%</t>
        </is>
      </c>
      <c r="CK473" s="97" t="inlineStr">
        <is>
          <t>0,32%</t>
        </is>
      </c>
      <c r="CL473" s="98" t="inlineStr">
        <is>
          <t>82</t>
        </is>
      </c>
      <c r="CM473" s="99" t="inlineStr">
        <is>
          <t>0,41%</t>
        </is>
      </c>
      <c r="CN473" s="100" t="inlineStr">
        <is>
          <t>87</t>
        </is>
      </c>
      <c r="CO473" s="101" t="inlineStr">
        <is>
          <t>0,97%</t>
        </is>
      </c>
      <c r="CP473" s="102" t="inlineStr">
        <is>
          <t>84</t>
        </is>
      </c>
      <c r="CQ473" s="103" t="inlineStr">
        <is>
          <t>-0,32%</t>
        </is>
      </c>
      <c r="CR473" s="104" t="inlineStr">
        <is>
          <t>9</t>
        </is>
      </c>
      <c r="CS473" s="105" t="inlineStr">
        <is>
          <t>0,73%</t>
        </is>
      </c>
      <c r="CT473" s="106" t="inlineStr">
        <is>
          <t>92</t>
        </is>
      </c>
      <c r="CU473" s="107" t="inlineStr">
        <is>
          <t>0,10%</t>
        </is>
      </c>
      <c r="CV473" s="108" t="inlineStr">
        <is>
          <t>68</t>
        </is>
      </c>
      <c r="CW473" s="109" t="inlineStr">
        <is>
          <t>2,49x</t>
        </is>
      </c>
      <c r="CX473" s="110" t="inlineStr">
        <is>
          <t>68</t>
        </is>
      </c>
      <c r="CY473" s="111" t="inlineStr">
        <is>
          <t>0,03x</t>
        </is>
      </c>
      <c r="CZ473" s="112" t="inlineStr">
        <is>
          <t>1,17%</t>
        </is>
      </c>
      <c r="DA473" s="113" t="inlineStr">
        <is>
          <t>3,65x</t>
        </is>
      </c>
      <c r="DB473" s="114" t="inlineStr">
        <is>
          <t>76</t>
        </is>
      </c>
      <c r="DC473" s="115" t="inlineStr">
        <is>
          <t>1,33x</t>
        </is>
      </c>
      <c r="DD473" s="116" t="inlineStr">
        <is>
          <t>54</t>
        </is>
      </c>
      <c r="DE473" s="117" t="inlineStr">
        <is>
          <t>2,10x</t>
        </is>
      </c>
      <c r="DF473" s="118" t="inlineStr">
        <is>
          <t>64</t>
        </is>
      </c>
      <c r="DG473" s="119" t="inlineStr">
        <is>
          <t>5,19x</t>
        </is>
      </c>
      <c r="DH473" s="120" t="inlineStr">
        <is>
          <t>79</t>
        </is>
      </c>
      <c r="DI473" s="121" t="inlineStr">
        <is>
          <t>0,31x</t>
        </is>
      </c>
      <c r="DJ473" s="122" t="inlineStr">
        <is>
          <t>31</t>
        </is>
      </c>
      <c r="DK473" s="123" t="inlineStr">
        <is>
          <t>2,35x</t>
        </is>
      </c>
      <c r="DL473" s="124" t="inlineStr">
        <is>
          <t>66</t>
        </is>
      </c>
      <c r="DM473" s="125" t="inlineStr">
        <is>
          <t>1.273</t>
        </is>
      </c>
      <c r="DN473" s="126" t="inlineStr">
        <is>
          <t>51</t>
        </is>
      </c>
      <c r="DO473" s="127" t="inlineStr">
        <is>
          <t>4,17%</t>
        </is>
      </c>
      <c r="DP473" s="128" t="inlineStr">
        <is>
          <t>248</t>
        </is>
      </c>
      <c r="DQ473" s="129" t="inlineStr">
        <is>
          <t>1</t>
        </is>
      </c>
      <c r="DR473" s="130" t="inlineStr">
        <is>
          <t>0,40%</t>
        </is>
      </c>
      <c r="DS473" s="131" t="inlineStr">
        <is>
          <t>188</t>
        </is>
      </c>
      <c r="DT473" s="132" t="inlineStr">
        <is>
          <t>-2</t>
        </is>
      </c>
      <c r="DU473" s="133" t="inlineStr">
        <is>
          <t>-1,05%</t>
        </is>
      </c>
      <c r="DV473" s="134" t="inlineStr">
        <is>
          <t>807</t>
        </is>
      </c>
      <c r="DW473" s="135" t="inlineStr">
        <is>
          <t>0</t>
        </is>
      </c>
      <c r="DX473" s="136" t="inlineStr">
        <is>
          <t>0,00%</t>
        </is>
      </c>
      <c r="DY473" s="137" t="inlineStr">
        <is>
          <t>PitchBook Research</t>
        </is>
      </c>
      <c r="DZ473" s="785">
        <f>HYPERLINK("https://my.pitchbook.com?c=125744-86", "View company online")</f>
      </c>
    </row>
    <row r="474">
      <c r="A474" s="139" t="inlineStr">
        <is>
          <t>153276-04</t>
        </is>
      </c>
      <c r="B474" s="140" t="inlineStr">
        <is>
          <t>Trussle</t>
        </is>
      </c>
      <c r="C474" s="141" t="inlineStr">
        <is>
          <t/>
        </is>
      </c>
      <c r="D474" s="142" t="inlineStr">
        <is>
          <t/>
        </is>
      </c>
      <c r="E474" s="143" t="inlineStr">
        <is>
          <t>153276-04</t>
        </is>
      </c>
      <c r="F474" s="144" t="inlineStr">
        <is>
          <t>Provider of online mortgage brokering services intended to compare and track mortgage products. The company uses automation and mortgage monitoring service to compare and track mortgage products to secure the most suitable mortgage deal for borrowers enabling buyers to find and finance their home in a fraction of time.</t>
        </is>
      </c>
      <c r="G474" s="145" t="inlineStr">
        <is>
          <t>Consumer Products and Services (B2C)</t>
        </is>
      </c>
      <c r="H474" s="146" t="inlineStr">
        <is>
          <t>Media</t>
        </is>
      </c>
      <c r="I474" s="147" t="inlineStr">
        <is>
          <t>Information Services (B2C)</t>
        </is>
      </c>
      <c r="J474" s="148" t="inlineStr">
        <is>
          <t>Information Services (B2C)*</t>
        </is>
      </c>
      <c r="K474" s="149" t="inlineStr">
        <is>
          <t>FinTech</t>
        </is>
      </c>
      <c r="L474" s="150" t="inlineStr">
        <is>
          <t>Venture Capital-Backed</t>
        </is>
      </c>
      <c r="M474" s="151" t="n">
        <v>6.88</v>
      </c>
      <c r="N474" s="152" t="inlineStr">
        <is>
          <t>Startup</t>
        </is>
      </c>
      <c r="O474" s="153" t="inlineStr">
        <is>
          <t>Privately Held (backing)</t>
        </is>
      </c>
      <c r="P474" s="154" t="inlineStr">
        <is>
          <t>Venture Capital</t>
        </is>
      </c>
      <c r="Q474" s="155" t="inlineStr">
        <is>
          <t>www.trussle.com</t>
        </is>
      </c>
      <c r="R474" s="156" t="n">
        <v>13.0</v>
      </c>
      <c r="S474" s="157" t="inlineStr">
        <is>
          <t/>
        </is>
      </c>
      <c r="T474" s="158" t="inlineStr">
        <is>
          <t/>
        </is>
      </c>
      <c r="U474" s="159" t="n">
        <v>2015.0</v>
      </c>
      <c r="V474" s="160" t="inlineStr">
        <is>
          <t/>
        </is>
      </c>
      <c r="W474" s="161" t="inlineStr">
        <is>
          <t/>
        </is>
      </c>
      <c r="X474" s="162" t="inlineStr">
        <is>
          <t/>
        </is>
      </c>
      <c r="Y474" s="163" t="inlineStr">
        <is>
          <t/>
        </is>
      </c>
      <c r="Z474" s="164" t="inlineStr">
        <is>
          <t/>
        </is>
      </c>
      <c r="AA474" s="165" t="inlineStr">
        <is>
          <t/>
        </is>
      </c>
      <c r="AB474" s="166" t="inlineStr">
        <is>
          <t/>
        </is>
      </c>
      <c r="AC474" s="167" t="inlineStr">
        <is>
          <t/>
        </is>
      </c>
      <c r="AD474" s="168" t="inlineStr">
        <is>
          <t/>
        </is>
      </c>
      <c r="AE474" s="169" t="inlineStr">
        <is>
          <t>127419-94P</t>
        </is>
      </c>
      <c r="AF474" s="170" t="inlineStr">
        <is>
          <t>Ishaan Malhi</t>
        </is>
      </c>
      <c r="AG474" s="171" t="inlineStr">
        <is>
          <t>Chief Executive Officer &amp; Co-Founder</t>
        </is>
      </c>
      <c r="AH474" s="172" t="inlineStr">
        <is>
          <t>ishaan@trussle.com</t>
        </is>
      </c>
      <c r="AI474" s="173" t="inlineStr">
        <is>
          <t/>
        </is>
      </c>
      <c r="AJ474" s="174" t="inlineStr">
        <is>
          <t>Horsham, United Kingdom</t>
        </is>
      </c>
      <c r="AK474" s="175" t="inlineStr">
        <is>
          <t>Anova House</t>
        </is>
      </c>
      <c r="AL474" s="176" t="inlineStr">
        <is>
          <t/>
        </is>
      </c>
      <c r="AM474" s="177" t="inlineStr">
        <is>
          <t>Horsham</t>
        </is>
      </c>
      <c r="AN474" s="178" t="inlineStr">
        <is>
          <t>England</t>
        </is>
      </c>
      <c r="AO474" s="179" t="inlineStr">
        <is>
          <t>RH12 3LZ</t>
        </is>
      </c>
      <c r="AP474" s="180" t="inlineStr">
        <is>
          <t>United Kingdom</t>
        </is>
      </c>
      <c r="AQ474" s="181" t="inlineStr">
        <is>
          <t/>
        </is>
      </c>
      <c r="AR474" s="182" t="inlineStr">
        <is>
          <t/>
        </is>
      </c>
      <c r="AS474" s="183" t="inlineStr">
        <is>
          <t/>
        </is>
      </c>
      <c r="AT474" s="184" t="inlineStr">
        <is>
          <t>Europe</t>
        </is>
      </c>
      <c r="AU474" s="185" t="inlineStr">
        <is>
          <t>Western Europe</t>
        </is>
      </c>
      <c r="AV474" s="186" t="inlineStr">
        <is>
          <t>The company raised GBP 4.5 million of Series A venture funding led by Orange Growth Capital on February 1, 2017. LocalGlobe, Zoopla, Seedcamp, Ed Wray and Ian Hogarth also participated in the round. The company will use the funding to further develop the product and continue growing the brand. Previously, the company raised GBP 1.1 million of Seed funding in a deal led buy Local Globe on February 7, 2016.</t>
        </is>
      </c>
      <c r="AW474" s="187" t="inlineStr">
        <is>
          <t>Daniel Cobley, Edward Wray, Entrepreneur First, Ian Hogarth, LocalGlobe, Orange Growth Capital, Property Innovation Labs, Seedcamp, Spire Ventures, Zoopla Property Group</t>
        </is>
      </c>
      <c r="AX474" s="188" t="n">
        <v>10.0</v>
      </c>
      <c r="AY474" s="189" t="inlineStr">
        <is>
          <t/>
        </is>
      </c>
      <c r="AZ474" s="190" t="inlineStr">
        <is>
          <t/>
        </is>
      </c>
      <c r="BA474" s="191" t="inlineStr">
        <is>
          <t/>
        </is>
      </c>
      <c r="BB474" s="192" t="inlineStr">
        <is>
          <t>Entrepreneur First (www.joinef.com), LocalGlobe (www.localglobe.vc), Orange Growth Capital (www.ogc-partners.com), Property Innovation Labs (www.pilabs.co.uk), Seedcamp (www.seedcamp.com), Spire Ventures (www.spireventures.co.uk), Zoopla Property Group (www.zpg.co.uk)</t>
        </is>
      </c>
      <c r="BC474" s="193" t="inlineStr">
        <is>
          <t/>
        </is>
      </c>
      <c r="BD474" s="194" t="inlineStr">
        <is>
          <t/>
        </is>
      </c>
      <c r="BE474" s="195" t="inlineStr">
        <is>
          <t>Upscale UK (Consulting)</t>
        </is>
      </c>
      <c r="BF474" s="196" t="inlineStr">
        <is>
          <t/>
        </is>
      </c>
      <c r="BG474" s="197" t="n">
        <v>42256.0</v>
      </c>
      <c r="BH474" s="198" t="n">
        <v>0.18</v>
      </c>
      <c r="BI474" s="199" t="inlineStr">
        <is>
          <t>Actual</t>
        </is>
      </c>
      <c r="BJ474" s="200" t="n">
        <v>0.59</v>
      </c>
      <c r="BK474" s="201" t="inlineStr">
        <is>
          <t>Actual</t>
        </is>
      </c>
      <c r="BL474" s="202" t="inlineStr">
        <is>
          <t>Seed Round</t>
        </is>
      </c>
      <c r="BM474" s="203" t="inlineStr">
        <is>
          <t>Seed</t>
        </is>
      </c>
      <c r="BN474" s="204" t="inlineStr">
        <is>
          <t/>
        </is>
      </c>
      <c r="BO474" s="205" t="inlineStr">
        <is>
          <t>Venture Capital</t>
        </is>
      </c>
      <c r="BP474" s="206" t="inlineStr">
        <is>
          <t/>
        </is>
      </c>
      <c r="BQ474" s="207" t="inlineStr">
        <is>
          <t/>
        </is>
      </c>
      <c r="BR474" s="208" t="inlineStr">
        <is>
          <t/>
        </is>
      </c>
      <c r="BS474" s="209" t="inlineStr">
        <is>
          <t>Completed</t>
        </is>
      </c>
      <c r="BT474" s="210" t="n">
        <v>42767.0</v>
      </c>
      <c r="BU474" s="211" t="n">
        <v>5.27</v>
      </c>
      <c r="BV474" s="212" t="inlineStr">
        <is>
          <t>Actual</t>
        </is>
      </c>
      <c r="BW474" s="213" t="inlineStr">
        <is>
          <t/>
        </is>
      </c>
      <c r="BX474" s="214" t="inlineStr">
        <is>
          <t/>
        </is>
      </c>
      <c r="BY474" s="215" t="inlineStr">
        <is>
          <t>Early Stage VC</t>
        </is>
      </c>
      <c r="BZ474" s="216" t="inlineStr">
        <is>
          <t>Series A</t>
        </is>
      </c>
      <c r="CA474" s="217" t="inlineStr">
        <is>
          <t/>
        </is>
      </c>
      <c r="CB474" s="218" t="inlineStr">
        <is>
          <t>Venture Capital</t>
        </is>
      </c>
      <c r="CC474" s="219" t="inlineStr">
        <is>
          <t/>
        </is>
      </c>
      <c r="CD474" s="220" t="inlineStr">
        <is>
          <t/>
        </is>
      </c>
      <c r="CE474" s="221" t="inlineStr">
        <is>
          <t/>
        </is>
      </c>
      <c r="CF474" s="222" t="inlineStr">
        <is>
          <t>Completed</t>
        </is>
      </c>
      <c r="CG474" s="223" t="inlineStr">
        <is>
          <t>2,05%</t>
        </is>
      </c>
      <c r="CH474" s="224" t="inlineStr">
        <is>
          <t>94</t>
        </is>
      </c>
      <c r="CI474" s="225" t="inlineStr">
        <is>
          <t>0,01%</t>
        </is>
      </c>
      <c r="CJ474" s="226" t="inlineStr">
        <is>
          <t>0,68%</t>
        </is>
      </c>
      <c r="CK474" s="227" t="inlineStr">
        <is>
          <t>3,72%</t>
        </is>
      </c>
      <c r="CL474" s="228" t="inlineStr">
        <is>
          <t>95</t>
        </is>
      </c>
      <c r="CM474" s="229" t="inlineStr">
        <is>
          <t>0,39%</t>
        </is>
      </c>
      <c r="CN474" s="230" t="inlineStr">
        <is>
          <t>86</t>
        </is>
      </c>
      <c r="CO474" s="231" t="inlineStr">
        <is>
          <t>7,43%</t>
        </is>
      </c>
      <c r="CP474" s="232" t="inlineStr">
        <is>
          <t>98</t>
        </is>
      </c>
      <c r="CQ474" s="233" t="inlineStr">
        <is>
          <t>0,00%</t>
        </is>
      </c>
      <c r="CR474" s="234" t="inlineStr">
        <is>
          <t>13</t>
        </is>
      </c>
      <c r="CS474" s="235" t="inlineStr">
        <is>
          <t>0,78%</t>
        </is>
      </c>
      <c r="CT474" s="236" t="inlineStr">
        <is>
          <t>92</t>
        </is>
      </c>
      <c r="CU474" s="237" t="inlineStr">
        <is>
          <t>0,00%</t>
        </is>
      </c>
      <c r="CV474" s="238" t="inlineStr">
        <is>
          <t>20</t>
        </is>
      </c>
      <c r="CW474" s="239" t="inlineStr">
        <is>
          <t>5,59x</t>
        </is>
      </c>
      <c r="CX474" s="240" t="inlineStr">
        <is>
          <t>80</t>
        </is>
      </c>
      <c r="CY474" s="241" t="inlineStr">
        <is>
          <t>0,01x</t>
        </is>
      </c>
      <c r="CZ474" s="242" t="inlineStr">
        <is>
          <t>0,25%</t>
        </is>
      </c>
      <c r="DA474" s="243" t="inlineStr">
        <is>
          <t>10,61x</t>
        </is>
      </c>
      <c r="DB474" s="244" t="inlineStr">
        <is>
          <t>88</t>
        </is>
      </c>
      <c r="DC474" s="245" t="inlineStr">
        <is>
          <t>0,57x</t>
        </is>
      </c>
      <c r="DD474" s="246" t="inlineStr">
        <is>
          <t>38</t>
        </is>
      </c>
      <c r="DE474" s="247" t="inlineStr">
        <is>
          <t>20,70x</t>
        </is>
      </c>
      <c r="DF474" s="248" t="inlineStr">
        <is>
          <t>89</t>
        </is>
      </c>
      <c r="DG474" s="249" t="inlineStr">
        <is>
          <t>0,53x</t>
        </is>
      </c>
      <c r="DH474" s="250" t="inlineStr">
        <is>
          <t>37</t>
        </is>
      </c>
      <c r="DI474" s="251" t="inlineStr">
        <is>
          <t>1,10x</t>
        </is>
      </c>
      <c r="DJ474" s="252" t="inlineStr">
        <is>
          <t>52</t>
        </is>
      </c>
      <c r="DK474" s="253" t="inlineStr">
        <is>
          <t>0,05x</t>
        </is>
      </c>
      <c r="DL474" s="254" t="inlineStr">
        <is>
          <t>11</t>
        </is>
      </c>
      <c r="DM474" s="255" t="inlineStr">
        <is>
          <t>12.317</t>
        </is>
      </c>
      <c r="DN474" s="256" t="inlineStr">
        <is>
          <t>1.241</t>
        </is>
      </c>
      <c r="DO474" s="257" t="inlineStr">
        <is>
          <t>11,20%</t>
        </is>
      </c>
      <c r="DP474" s="258" t="inlineStr">
        <is>
          <t>866</t>
        </is>
      </c>
      <c r="DQ474" s="259" t="inlineStr">
        <is>
          <t>7</t>
        </is>
      </c>
      <c r="DR474" s="260" t="inlineStr">
        <is>
          <t>0,81%</t>
        </is>
      </c>
      <c r="DS474" s="261" t="inlineStr">
        <is>
          <t>19</t>
        </is>
      </c>
      <c r="DT474" s="262" t="inlineStr">
        <is>
          <t>1</t>
        </is>
      </c>
      <c r="DU474" s="263" t="inlineStr">
        <is>
          <t>5,56%</t>
        </is>
      </c>
      <c r="DV474" s="264" t="inlineStr">
        <is>
          <t>16</t>
        </is>
      </c>
      <c r="DW474" s="265" t="inlineStr">
        <is>
          <t>0</t>
        </is>
      </c>
      <c r="DX474" s="266" t="inlineStr">
        <is>
          <t>0,00%</t>
        </is>
      </c>
      <c r="DY474" s="267" t="inlineStr">
        <is>
          <t>PitchBook Research</t>
        </is>
      </c>
      <c r="DZ474" s="786">
        <f>HYPERLINK("https://my.pitchbook.com?c=153276-04", "View company online")</f>
      </c>
    </row>
    <row r="475">
      <c r="A475" s="9" t="inlineStr">
        <is>
          <t>60302-44</t>
        </is>
      </c>
      <c r="B475" s="10" t="inlineStr">
        <is>
          <t>TVSmiles</t>
        </is>
      </c>
      <c r="C475" s="11" t="inlineStr">
        <is>
          <t/>
        </is>
      </c>
      <c r="D475" s="12" t="inlineStr">
        <is>
          <t/>
        </is>
      </c>
      <c r="E475" s="13" t="inlineStr">
        <is>
          <t>60302-44</t>
        </is>
      </c>
      <c r="F475" s="14" t="inlineStr">
        <is>
          <t>Developer of a second screen mobile advertisement application designed to encourage people to watch television advertisements. The company's second screen mobile advertisement application transforms advertising into an entertaining gamified experience that is interactive and rewarding, where the application recognizes the music played in a telivision advertisement and automatically provides the users with games and quizzes related to the advertisement to obtain rewards, enabling brands to increase their brand value and customer base.</t>
        </is>
      </c>
      <c r="G475" s="15" t="inlineStr">
        <is>
          <t>Information Technology</t>
        </is>
      </c>
      <c r="H475" s="16" t="inlineStr">
        <is>
          <t>Software</t>
        </is>
      </c>
      <c r="I475" s="17" t="inlineStr">
        <is>
          <t>Application Software</t>
        </is>
      </c>
      <c r="J475" s="18" t="inlineStr">
        <is>
          <t>Application Software*; Media and Information Services (B2B)</t>
        </is>
      </c>
      <c r="K475" s="19" t="inlineStr">
        <is>
          <t>Mobile</t>
        </is>
      </c>
      <c r="L475" s="20" t="inlineStr">
        <is>
          <t>Venture Capital-Backed</t>
        </is>
      </c>
      <c r="M475" s="21" t="n">
        <v>10.81</v>
      </c>
      <c r="N475" s="22" t="inlineStr">
        <is>
          <t>Startup</t>
        </is>
      </c>
      <c r="O475" s="23" t="inlineStr">
        <is>
          <t>Privately Held (backing)</t>
        </is>
      </c>
      <c r="P475" s="24" t="inlineStr">
        <is>
          <t>Venture Capital</t>
        </is>
      </c>
      <c r="Q475" s="25" t="inlineStr">
        <is>
          <t>www.tvsmiles.tv</t>
        </is>
      </c>
      <c r="R475" s="26" t="n">
        <v>60.0</v>
      </c>
      <c r="S475" s="27" t="inlineStr">
        <is>
          <t/>
        </is>
      </c>
      <c r="T475" s="28" t="inlineStr">
        <is>
          <t/>
        </is>
      </c>
      <c r="U475" s="29" t="n">
        <v>2013.0</v>
      </c>
      <c r="V475" s="30" t="inlineStr">
        <is>
          <t/>
        </is>
      </c>
      <c r="W475" s="31" t="inlineStr">
        <is>
          <t/>
        </is>
      </c>
      <c r="X475" s="32" t="inlineStr">
        <is>
          <t/>
        </is>
      </c>
      <c r="Y475" s="33" t="inlineStr">
        <is>
          <t/>
        </is>
      </c>
      <c r="Z475" s="34" t="inlineStr">
        <is>
          <t/>
        </is>
      </c>
      <c r="AA475" s="35" t="inlineStr">
        <is>
          <t/>
        </is>
      </c>
      <c r="AB475" s="36" t="inlineStr">
        <is>
          <t/>
        </is>
      </c>
      <c r="AC475" s="37" t="inlineStr">
        <is>
          <t/>
        </is>
      </c>
      <c r="AD475" s="38" t="inlineStr">
        <is>
          <t/>
        </is>
      </c>
      <c r="AE475" s="39" t="inlineStr">
        <is>
          <t>112953-07P</t>
        </is>
      </c>
      <c r="AF475" s="40" t="inlineStr">
        <is>
          <t>Michael Mueller</t>
        </is>
      </c>
      <c r="AG475" s="41" t="inlineStr">
        <is>
          <t>Chief Financial Officer</t>
        </is>
      </c>
      <c r="AH475" s="42" t="inlineStr">
        <is>
          <t>michael.mueller@tvsmiles.de</t>
        </is>
      </c>
      <c r="AI475" s="43" t="inlineStr">
        <is>
          <t>+49 (0)30 6449 1830</t>
        </is>
      </c>
      <c r="AJ475" s="44" t="inlineStr">
        <is>
          <t>Berlin, Germany</t>
        </is>
      </c>
      <c r="AK475" s="45" t="inlineStr">
        <is>
          <t>Friedrichstraße 45</t>
        </is>
      </c>
      <c r="AL475" s="46" t="inlineStr">
        <is>
          <t/>
        </is>
      </c>
      <c r="AM475" s="47" t="inlineStr">
        <is>
          <t>Berlin</t>
        </is>
      </c>
      <c r="AN475" s="48" t="inlineStr">
        <is>
          <t/>
        </is>
      </c>
      <c r="AO475" s="49" t="inlineStr">
        <is>
          <t>10969</t>
        </is>
      </c>
      <c r="AP475" s="50" t="inlineStr">
        <is>
          <t>Germany</t>
        </is>
      </c>
      <c r="AQ475" s="51" t="inlineStr">
        <is>
          <t>+49 (0)30 6449 1830</t>
        </is>
      </c>
      <c r="AR475" s="52" t="inlineStr">
        <is>
          <t/>
        </is>
      </c>
      <c r="AS475" s="53" t="inlineStr">
        <is>
          <t>info@tvsmiles.de</t>
        </is>
      </c>
      <c r="AT475" s="54" t="inlineStr">
        <is>
          <t>Europe</t>
        </is>
      </c>
      <c r="AU475" s="55" t="inlineStr">
        <is>
          <t>Western Europe</t>
        </is>
      </c>
      <c r="AV475" s="56" t="inlineStr">
        <is>
          <t>The company raised venture funding from German Startups Group on December 16, 2016.</t>
        </is>
      </c>
      <c r="AW475" s="57" t="inlineStr">
        <is>
          <t>Brandenburg Ventures, btov Partners, e.ventures, German Startups Group, Magix, netSTART Venture, Omnes Capital, Richmond View Ventures, SevenOne Media, Ventech, Voltage Ventures</t>
        </is>
      </c>
      <c r="AX475" s="58" t="n">
        <v>11.0</v>
      </c>
      <c r="AY475" s="59" t="inlineStr">
        <is>
          <t/>
        </is>
      </c>
      <c r="AZ475" s="60" t="inlineStr">
        <is>
          <t/>
        </is>
      </c>
      <c r="BA475" s="61" t="inlineStr">
        <is>
          <t/>
        </is>
      </c>
      <c r="BB475" s="62" t="inlineStr">
        <is>
          <t>Brandenburg Ventures (www.brandenburg-ventures.com), btov Partners (www.btov.vc), e.ventures (www.eventures.vc), German Startups Group (www.german-startups.com), Magix (www.magix.com), netSTART Venture (www.netstart.de), Omnes Capital (www.omnescapital.com), Richmond View Ventures (www.rvv.tv), SevenOne Media (www.sevenonemedia.com), Ventech (www.ventechvc.com), Voltage Ventures (www.voltage.vc)</t>
        </is>
      </c>
      <c r="BC475" s="63" t="inlineStr">
        <is>
          <t/>
        </is>
      </c>
      <c r="BD475" s="64" t="inlineStr">
        <is>
          <t/>
        </is>
      </c>
      <c r="BE475" s="65" t="inlineStr">
        <is>
          <t/>
        </is>
      </c>
      <c r="BF475" s="66" t="inlineStr">
        <is>
          <t>Graf von Westphalen (Legal Advisor)</t>
        </is>
      </c>
      <c r="BG475" s="67" t="n">
        <v>41491.0</v>
      </c>
      <c r="BH475" s="68" t="n">
        <v>0.75</v>
      </c>
      <c r="BI475" s="69" t="inlineStr">
        <is>
          <t>Estimated</t>
        </is>
      </c>
      <c r="BJ475" s="70" t="inlineStr">
        <is>
          <t/>
        </is>
      </c>
      <c r="BK475" s="71" t="inlineStr">
        <is>
          <t/>
        </is>
      </c>
      <c r="BL475" s="72" t="inlineStr">
        <is>
          <t>Early Stage VC</t>
        </is>
      </c>
      <c r="BM475" s="73" t="inlineStr">
        <is>
          <t/>
        </is>
      </c>
      <c r="BN475" s="74" t="inlineStr">
        <is>
          <t/>
        </is>
      </c>
      <c r="BO475" s="75" t="inlineStr">
        <is>
          <t>Venture Capital</t>
        </is>
      </c>
      <c r="BP475" s="76" t="inlineStr">
        <is>
          <t/>
        </is>
      </c>
      <c r="BQ475" s="77" t="inlineStr">
        <is>
          <t/>
        </is>
      </c>
      <c r="BR475" s="78" t="inlineStr">
        <is>
          <t/>
        </is>
      </c>
      <c r="BS475" s="79" t="inlineStr">
        <is>
          <t>Completed</t>
        </is>
      </c>
      <c r="BT475" s="80" t="n">
        <v>42720.0</v>
      </c>
      <c r="BU475" s="81" t="inlineStr">
        <is>
          <t/>
        </is>
      </c>
      <c r="BV475" s="82" t="inlineStr">
        <is>
          <t/>
        </is>
      </c>
      <c r="BW475" s="83" t="inlineStr">
        <is>
          <t/>
        </is>
      </c>
      <c r="BX475" s="84" t="inlineStr">
        <is>
          <t/>
        </is>
      </c>
      <c r="BY475" s="85" t="inlineStr">
        <is>
          <t>Early Stage VC</t>
        </is>
      </c>
      <c r="BZ475" s="86" t="inlineStr">
        <is>
          <t/>
        </is>
      </c>
      <c r="CA475" s="87" t="inlineStr">
        <is>
          <t/>
        </is>
      </c>
      <c r="CB475" s="88" t="inlineStr">
        <is>
          <t>Venture Capital</t>
        </is>
      </c>
      <c r="CC475" s="89" t="inlineStr">
        <is>
          <t/>
        </is>
      </c>
      <c r="CD475" s="90" t="inlineStr">
        <is>
          <t/>
        </is>
      </c>
      <c r="CE475" s="91" t="inlineStr">
        <is>
          <t/>
        </is>
      </c>
      <c r="CF475" s="92" t="inlineStr">
        <is>
          <t>Completed</t>
        </is>
      </c>
      <c r="CG475" s="93" t="inlineStr">
        <is>
          <t>-2,99%</t>
        </is>
      </c>
      <c r="CH475" s="94" t="inlineStr">
        <is>
          <t>1</t>
        </is>
      </c>
      <c r="CI475" s="95" t="inlineStr">
        <is>
          <t>0,00%</t>
        </is>
      </c>
      <c r="CJ475" s="96" t="inlineStr">
        <is>
          <t>-0,14%</t>
        </is>
      </c>
      <c r="CK475" s="97" t="inlineStr">
        <is>
          <t>-6,04%</t>
        </is>
      </c>
      <c r="CL475" s="98" t="inlineStr">
        <is>
          <t>1</t>
        </is>
      </c>
      <c r="CM475" s="99" t="inlineStr">
        <is>
          <t>0,06%</t>
        </is>
      </c>
      <c r="CN475" s="100" t="inlineStr">
        <is>
          <t>54</t>
        </is>
      </c>
      <c r="CO475" s="101" t="inlineStr">
        <is>
          <t>-6,04%</t>
        </is>
      </c>
      <c r="CP475" s="102" t="inlineStr">
        <is>
          <t>5</t>
        </is>
      </c>
      <c r="CQ475" s="103" t="inlineStr">
        <is>
          <t/>
        </is>
      </c>
      <c r="CR475" s="104" t="inlineStr">
        <is>
          <t/>
        </is>
      </c>
      <c r="CS475" s="105" t="inlineStr">
        <is>
          <t>0,15%</t>
        </is>
      </c>
      <c r="CT475" s="106" t="inlineStr">
        <is>
          <t>65</t>
        </is>
      </c>
      <c r="CU475" s="107" t="inlineStr">
        <is>
          <t>-0,03%</t>
        </is>
      </c>
      <c r="CV475" s="108" t="inlineStr">
        <is>
          <t>15</t>
        </is>
      </c>
      <c r="CW475" s="109" t="inlineStr">
        <is>
          <t>62,45x</t>
        </is>
      </c>
      <c r="CX475" s="110" t="inlineStr">
        <is>
          <t>96</t>
        </is>
      </c>
      <c r="CY475" s="111" t="inlineStr">
        <is>
          <t>1,42x</t>
        </is>
      </c>
      <c r="CZ475" s="112" t="inlineStr">
        <is>
          <t>2,33%</t>
        </is>
      </c>
      <c r="DA475" s="113" t="inlineStr">
        <is>
          <t>4,66x</t>
        </is>
      </c>
      <c r="DB475" s="114" t="inlineStr">
        <is>
          <t>79</t>
        </is>
      </c>
      <c r="DC475" s="115" t="inlineStr">
        <is>
          <t>120,23x</t>
        </is>
      </c>
      <c r="DD475" s="116" t="inlineStr">
        <is>
          <t>97</t>
        </is>
      </c>
      <c r="DE475" s="117" t="inlineStr">
        <is>
          <t>4,66x</t>
        </is>
      </c>
      <c r="DF475" s="118" t="inlineStr">
        <is>
          <t>76</t>
        </is>
      </c>
      <c r="DG475" s="119" t="inlineStr">
        <is>
          <t/>
        </is>
      </c>
      <c r="DH475" s="120" t="inlineStr">
        <is>
          <t/>
        </is>
      </c>
      <c r="DI475" s="121" t="inlineStr">
        <is>
          <t>236,34x</t>
        </is>
      </c>
      <c r="DJ475" s="122" t="inlineStr">
        <is>
          <t>98</t>
        </is>
      </c>
      <c r="DK475" s="123" t="inlineStr">
        <is>
          <t>4,12x</t>
        </is>
      </c>
      <c r="DL475" s="124" t="inlineStr">
        <is>
          <t>75</t>
        </is>
      </c>
      <c r="DM475" s="125" t="inlineStr">
        <is>
          <t>2.882</t>
        </is>
      </c>
      <c r="DN475" s="126" t="inlineStr">
        <is>
          <t>-47</t>
        </is>
      </c>
      <c r="DO475" s="127" t="inlineStr">
        <is>
          <t>-1,60%</t>
        </is>
      </c>
      <c r="DP475" s="128" t="inlineStr">
        <is>
          <t>188.601</t>
        </is>
      </c>
      <c r="DQ475" s="129" t="inlineStr">
        <is>
          <t>399</t>
        </is>
      </c>
      <c r="DR475" s="130" t="inlineStr">
        <is>
          <t>0,21%</t>
        </is>
      </c>
      <c r="DS475" s="131" t="inlineStr">
        <is>
          <t/>
        </is>
      </c>
      <c r="DT475" s="132" t="inlineStr">
        <is>
          <t/>
        </is>
      </c>
      <c r="DU475" s="133" t="inlineStr">
        <is>
          <t/>
        </is>
      </c>
      <c r="DV475" s="134" t="inlineStr">
        <is>
          <t>1.412</t>
        </is>
      </c>
      <c r="DW475" s="135" t="inlineStr">
        <is>
          <t>-1</t>
        </is>
      </c>
      <c r="DX475" s="136" t="inlineStr">
        <is>
          <t>-0,07%</t>
        </is>
      </c>
      <c r="DY475" s="137" t="inlineStr">
        <is>
          <t>PitchBook Research</t>
        </is>
      </c>
      <c r="DZ475" s="785">
        <f>HYPERLINK("https://my.pitchbook.com?c=60302-44", "View company online")</f>
      </c>
    </row>
    <row r="476">
      <c r="A476" s="139" t="inlineStr">
        <is>
          <t>111377-26</t>
        </is>
      </c>
      <c r="B476" s="140" t="inlineStr">
        <is>
          <t>TVSquared</t>
        </is>
      </c>
      <c r="C476" s="141" t="inlineStr">
        <is>
          <t/>
        </is>
      </c>
      <c r="D476" s="142" t="inlineStr">
        <is>
          <t/>
        </is>
      </c>
      <c r="E476" s="143" t="inlineStr">
        <is>
          <t>111377-26</t>
        </is>
      </c>
      <c r="F476" s="144" t="inlineStr">
        <is>
          <t>Provider of a cloud-based television advertising attribution platform designed to change the way advertisers, across the world, leverage television. The company's attribution platform provides accurate, same-day analytics and insights on television campaigns, enabling advertisers to know whether their campaigns are effective and help them to focus better on target customers and increase sales.</t>
        </is>
      </c>
      <c r="G476" s="145" t="inlineStr">
        <is>
          <t>Information Technology</t>
        </is>
      </c>
      <c r="H476" s="146" t="inlineStr">
        <is>
          <t>Software</t>
        </is>
      </c>
      <c r="I476" s="147" t="inlineStr">
        <is>
          <t>Business/Productivity Software</t>
        </is>
      </c>
      <c r="J476" s="148" t="inlineStr">
        <is>
          <t>Business/Productivity Software*; Application Software</t>
        </is>
      </c>
      <c r="K476" s="149" t="inlineStr">
        <is>
          <t>SaaS</t>
        </is>
      </c>
      <c r="L476" s="150" t="inlineStr">
        <is>
          <t>Venture Capital-Backed</t>
        </is>
      </c>
      <c r="M476" s="151" t="n">
        <v>11.19</v>
      </c>
      <c r="N476" s="152" t="inlineStr">
        <is>
          <t>Startup</t>
        </is>
      </c>
      <c r="O476" s="153" t="inlineStr">
        <is>
          <t>Privately Held (backing)</t>
        </is>
      </c>
      <c r="P476" s="154" t="inlineStr">
        <is>
          <t>Venture Capital</t>
        </is>
      </c>
      <c r="Q476" s="155" t="inlineStr">
        <is>
          <t>www.tvsquared.com</t>
        </is>
      </c>
      <c r="R476" s="156" t="n">
        <v>11.0</v>
      </c>
      <c r="S476" s="157" t="inlineStr">
        <is>
          <t/>
        </is>
      </c>
      <c r="T476" s="158" t="inlineStr">
        <is>
          <t/>
        </is>
      </c>
      <c r="U476" s="159" t="n">
        <v>2012.0</v>
      </c>
      <c r="V476" s="160" t="inlineStr">
        <is>
          <t/>
        </is>
      </c>
      <c r="W476" s="161" t="inlineStr">
        <is>
          <t/>
        </is>
      </c>
      <c r="X476" s="162" t="inlineStr">
        <is>
          <t/>
        </is>
      </c>
      <c r="Y476" s="163" t="inlineStr">
        <is>
          <t/>
        </is>
      </c>
      <c r="Z476" s="164" t="inlineStr">
        <is>
          <t/>
        </is>
      </c>
      <c r="AA476" s="165" t="inlineStr">
        <is>
          <t/>
        </is>
      </c>
      <c r="AB476" s="166" t="inlineStr">
        <is>
          <t/>
        </is>
      </c>
      <c r="AC476" s="167" t="inlineStr">
        <is>
          <t/>
        </is>
      </c>
      <c r="AD476" s="168" t="inlineStr">
        <is>
          <t/>
        </is>
      </c>
      <c r="AE476" s="169" t="inlineStr">
        <is>
          <t>100102-51P</t>
        </is>
      </c>
      <c r="AF476" s="170" t="inlineStr">
        <is>
          <t>Calum Smeaton</t>
        </is>
      </c>
      <c r="AG476" s="171" t="inlineStr">
        <is>
          <t>Co-Founder, Chief Executive Officer &amp; Board Member</t>
        </is>
      </c>
      <c r="AH476" s="172" t="inlineStr">
        <is>
          <t>csmeaton@tvsquared.com</t>
        </is>
      </c>
      <c r="AI476" s="173" t="inlineStr">
        <is>
          <t>+44 (0)13 1290 2333</t>
        </is>
      </c>
      <c r="AJ476" s="174" t="inlineStr">
        <is>
          <t>Edinburgh, United Kingdom</t>
        </is>
      </c>
      <c r="AK476" s="175" t="inlineStr">
        <is>
          <t>CodeBase, Argyle House, 3 Lady Lawson Street</t>
        </is>
      </c>
      <c r="AL476" s="176" t="inlineStr">
        <is>
          <t>Codebase, Argyle House</t>
        </is>
      </c>
      <c r="AM476" s="177" t="inlineStr">
        <is>
          <t>Edinburgh</t>
        </is>
      </c>
      <c r="AN476" s="178" t="inlineStr">
        <is>
          <t>Scotland</t>
        </is>
      </c>
      <c r="AO476" s="179" t="inlineStr">
        <is>
          <t>EH3 9DR</t>
        </is>
      </c>
      <c r="AP476" s="180" t="inlineStr">
        <is>
          <t>United Kingdom</t>
        </is>
      </c>
      <c r="AQ476" s="181" t="inlineStr">
        <is>
          <t>+44 (0)13 1290 2333</t>
        </is>
      </c>
      <c r="AR476" s="182" t="inlineStr">
        <is>
          <t/>
        </is>
      </c>
      <c r="AS476" s="183" t="inlineStr">
        <is>
          <t>info@tvsquared.com</t>
        </is>
      </c>
      <c r="AT476" s="184" t="inlineStr">
        <is>
          <t>Europe</t>
        </is>
      </c>
      <c r="AU476" s="185" t="inlineStr">
        <is>
          <t>Western Europe</t>
        </is>
      </c>
      <c r="AV476" s="186" t="inlineStr">
        <is>
          <t>The company raised $9.5 million of venture funding in a deal led by West Coast Capital on February 20, 2017. Scottish Enterprise, Co-Founder &amp; CEO Calum Smeaton and other undisclosed investors also participated in this round. The funds will be used to expand the company's global presence.</t>
        </is>
      </c>
      <c r="AW476" s="187" t="inlineStr">
        <is>
          <t>CodeBase, Scottish Enterprise, West Coast Capital</t>
        </is>
      </c>
      <c r="AX476" s="188" t="n">
        <v>3.0</v>
      </c>
      <c r="AY476" s="189" t="inlineStr">
        <is>
          <t/>
        </is>
      </c>
      <c r="AZ476" s="190" t="inlineStr">
        <is>
          <t/>
        </is>
      </c>
      <c r="BA476" s="191" t="inlineStr">
        <is>
          <t/>
        </is>
      </c>
      <c r="BB476" s="192" t="inlineStr">
        <is>
          <t>CodeBase (www.thisiscodebase.com), Scottish Enterprise (www.scottish-enterprise.com), West Coast Capital (www.westcoastcapital.co.uk)</t>
        </is>
      </c>
      <c r="BC476" s="193" t="inlineStr">
        <is>
          <t/>
        </is>
      </c>
      <c r="BD476" s="194" t="inlineStr">
        <is>
          <t/>
        </is>
      </c>
      <c r="BE476" s="195" t="inlineStr">
        <is>
          <t>Landmark Ventures (Advisor), Shepherd and Wedderburn (Legal Advisor)</t>
        </is>
      </c>
      <c r="BF476" s="196" t="inlineStr">
        <is>
          <t/>
        </is>
      </c>
      <c r="BG476" s="197" t="inlineStr">
        <is>
          <t/>
        </is>
      </c>
      <c r="BH476" s="198" t="inlineStr">
        <is>
          <t/>
        </is>
      </c>
      <c r="BI476" s="199" t="inlineStr">
        <is>
          <t/>
        </is>
      </c>
      <c r="BJ476" s="200" t="inlineStr">
        <is>
          <t/>
        </is>
      </c>
      <c r="BK476" s="201" t="inlineStr">
        <is>
          <t/>
        </is>
      </c>
      <c r="BL476" s="202" t="inlineStr">
        <is>
          <t>Accelerator/Incubator</t>
        </is>
      </c>
      <c r="BM476" s="203" t="inlineStr">
        <is>
          <t/>
        </is>
      </c>
      <c r="BN476" s="204" t="inlineStr">
        <is>
          <t/>
        </is>
      </c>
      <c r="BO476" s="205" t="inlineStr">
        <is>
          <t>Other</t>
        </is>
      </c>
      <c r="BP476" s="206" t="inlineStr">
        <is>
          <t/>
        </is>
      </c>
      <c r="BQ476" s="207" t="inlineStr">
        <is>
          <t/>
        </is>
      </c>
      <c r="BR476" s="208" t="inlineStr">
        <is>
          <t/>
        </is>
      </c>
      <c r="BS476" s="209" t="inlineStr">
        <is>
          <t>Completed</t>
        </is>
      </c>
      <c r="BT476" s="210" t="n">
        <v>42786.0</v>
      </c>
      <c r="BU476" s="211" t="n">
        <v>8.92</v>
      </c>
      <c r="BV476" s="212" t="inlineStr">
        <is>
          <t>Actual</t>
        </is>
      </c>
      <c r="BW476" s="213" t="inlineStr">
        <is>
          <t/>
        </is>
      </c>
      <c r="BX476" s="214" t="inlineStr">
        <is>
          <t/>
        </is>
      </c>
      <c r="BY476" s="215" t="inlineStr">
        <is>
          <t>Early Stage VC</t>
        </is>
      </c>
      <c r="BZ476" s="216" t="inlineStr">
        <is>
          <t/>
        </is>
      </c>
      <c r="CA476" s="217" t="inlineStr">
        <is>
          <t/>
        </is>
      </c>
      <c r="CB476" s="218" t="inlineStr">
        <is>
          <t>Venture Capital</t>
        </is>
      </c>
      <c r="CC476" s="219" t="inlineStr">
        <is>
          <t/>
        </is>
      </c>
      <c r="CD476" s="220" t="inlineStr">
        <is>
          <t/>
        </is>
      </c>
      <c r="CE476" s="221" t="inlineStr">
        <is>
          <t/>
        </is>
      </c>
      <c r="CF476" s="222" t="inlineStr">
        <is>
          <t>Completed</t>
        </is>
      </c>
      <c r="CG476" s="223" t="inlineStr">
        <is>
          <t>-1,78%</t>
        </is>
      </c>
      <c r="CH476" s="224" t="inlineStr">
        <is>
          <t>3</t>
        </is>
      </c>
      <c r="CI476" s="225" t="inlineStr">
        <is>
          <t>-0,07%</t>
        </is>
      </c>
      <c r="CJ476" s="226" t="inlineStr">
        <is>
          <t>-3,81%</t>
        </is>
      </c>
      <c r="CK476" s="227" t="inlineStr">
        <is>
          <t>-3,68%</t>
        </is>
      </c>
      <c r="CL476" s="228" t="inlineStr">
        <is>
          <t>2</t>
        </is>
      </c>
      <c r="CM476" s="229" t="inlineStr">
        <is>
          <t>0,13%</t>
        </is>
      </c>
      <c r="CN476" s="230" t="inlineStr">
        <is>
          <t>65</t>
        </is>
      </c>
      <c r="CO476" s="231" t="inlineStr">
        <is>
          <t>-7,37%</t>
        </is>
      </c>
      <c r="CP476" s="232" t="inlineStr">
        <is>
          <t>4</t>
        </is>
      </c>
      <c r="CQ476" s="233" t="inlineStr">
        <is>
          <t>0,00%</t>
        </is>
      </c>
      <c r="CR476" s="234" t="inlineStr">
        <is>
          <t>13</t>
        </is>
      </c>
      <c r="CS476" s="235" t="inlineStr">
        <is>
          <t>-0,03%</t>
        </is>
      </c>
      <c r="CT476" s="236" t="inlineStr">
        <is>
          <t>10</t>
        </is>
      </c>
      <c r="CU476" s="237" t="inlineStr">
        <is>
          <t>0,28%</t>
        </is>
      </c>
      <c r="CV476" s="238" t="inlineStr">
        <is>
          <t>83</t>
        </is>
      </c>
      <c r="CW476" s="239" t="inlineStr">
        <is>
          <t>5,45x</t>
        </is>
      </c>
      <c r="CX476" s="240" t="inlineStr">
        <is>
          <t>80</t>
        </is>
      </c>
      <c r="CY476" s="241" t="inlineStr">
        <is>
          <t>3,09x</t>
        </is>
      </c>
      <c r="CZ476" s="242" t="inlineStr">
        <is>
          <t>130,82%</t>
        </is>
      </c>
      <c r="DA476" s="243" t="inlineStr">
        <is>
          <t>3,16x</t>
        </is>
      </c>
      <c r="DB476" s="244" t="inlineStr">
        <is>
          <t>74</t>
        </is>
      </c>
      <c r="DC476" s="245" t="inlineStr">
        <is>
          <t>7,74x</t>
        </is>
      </c>
      <c r="DD476" s="246" t="inlineStr">
        <is>
          <t>81</t>
        </is>
      </c>
      <c r="DE476" s="247" t="inlineStr">
        <is>
          <t>3,72x</t>
        </is>
      </c>
      <c r="DF476" s="248" t="inlineStr">
        <is>
          <t>73</t>
        </is>
      </c>
      <c r="DG476" s="249" t="inlineStr">
        <is>
          <t>2,61x</t>
        </is>
      </c>
      <c r="DH476" s="250" t="inlineStr">
        <is>
          <t>69</t>
        </is>
      </c>
      <c r="DI476" s="251" t="inlineStr">
        <is>
          <t>13,89x</t>
        </is>
      </c>
      <c r="DJ476" s="252" t="inlineStr">
        <is>
          <t>85</t>
        </is>
      </c>
      <c r="DK476" s="253" t="inlineStr">
        <is>
          <t>1,59x</t>
        </is>
      </c>
      <c r="DL476" s="254" t="inlineStr">
        <is>
          <t>59</t>
        </is>
      </c>
      <c r="DM476" s="255" t="inlineStr">
        <is>
          <t>2.291</t>
        </is>
      </c>
      <c r="DN476" s="256" t="inlineStr">
        <is>
          <t>-20</t>
        </is>
      </c>
      <c r="DO476" s="257" t="inlineStr">
        <is>
          <t>-0,87%</t>
        </is>
      </c>
      <c r="DP476" s="258" t="inlineStr">
        <is>
          <t>11.099</t>
        </is>
      </c>
      <c r="DQ476" s="259" t="inlineStr">
        <is>
          <t>-10</t>
        </is>
      </c>
      <c r="DR476" s="260" t="inlineStr">
        <is>
          <t>-0,09%</t>
        </is>
      </c>
      <c r="DS476" s="261" t="inlineStr">
        <is>
          <t>95</t>
        </is>
      </c>
      <c r="DT476" s="262" t="inlineStr">
        <is>
          <t>-2</t>
        </is>
      </c>
      <c r="DU476" s="263" t="inlineStr">
        <is>
          <t>-2,06%</t>
        </is>
      </c>
      <c r="DV476" s="264" t="inlineStr">
        <is>
          <t>544</t>
        </is>
      </c>
      <c r="DW476" s="265" t="inlineStr">
        <is>
          <t>0</t>
        </is>
      </c>
      <c r="DX476" s="266" t="inlineStr">
        <is>
          <t>0,00%</t>
        </is>
      </c>
      <c r="DY476" s="267" t="inlineStr">
        <is>
          <t>PitchBook Research</t>
        </is>
      </c>
      <c r="DZ476" s="786">
        <f>HYPERLINK("https://my.pitchbook.com?c=111377-26", "View company online")</f>
      </c>
    </row>
    <row r="477">
      <c r="A477" s="9" t="inlineStr">
        <is>
          <t>162168-40</t>
        </is>
      </c>
      <c r="B477" s="10" t="inlineStr">
        <is>
          <t>Ukkoverkot</t>
        </is>
      </c>
      <c r="C477" s="11" t="inlineStr">
        <is>
          <t/>
        </is>
      </c>
      <c r="D477" s="12" t="inlineStr">
        <is>
          <t>Ukko Mobile</t>
        </is>
      </c>
      <c r="E477" s="13" t="inlineStr">
        <is>
          <t>162168-40</t>
        </is>
      </c>
      <c r="F477" s="14" t="inlineStr">
        <is>
          <t>Distributor of mobile data service. The company is a mobile data operator that maintains, sells and markets 4G mobile data network to its customers. It focuses on the production of wireless telecommunication services.</t>
        </is>
      </c>
      <c r="G477" s="15" t="inlineStr">
        <is>
          <t>Information Technology</t>
        </is>
      </c>
      <c r="H477" s="16" t="inlineStr">
        <is>
          <t>Communications and Networking</t>
        </is>
      </c>
      <c r="I477" s="17" t="inlineStr">
        <is>
          <t>Internet Service Providers</t>
        </is>
      </c>
      <c r="J477" s="18" t="inlineStr">
        <is>
          <t>Internet Service Providers*; Other Commercial Services; Wireless Service Providers</t>
        </is>
      </c>
      <c r="K477" s="19" t="inlineStr">
        <is>
          <t/>
        </is>
      </c>
      <c r="L477" s="20" t="inlineStr">
        <is>
          <t>Venture Capital-Backed</t>
        </is>
      </c>
      <c r="M477" s="21" t="n">
        <v>13.8</v>
      </c>
      <c r="N477" s="22" t="inlineStr">
        <is>
          <t>Generating Revenue</t>
        </is>
      </c>
      <c r="O477" s="23" t="inlineStr">
        <is>
          <t>Privately Held (backing)</t>
        </is>
      </c>
      <c r="P477" s="24" t="inlineStr">
        <is>
          <t>Venture Capital</t>
        </is>
      </c>
      <c r="Q477" s="25" t="inlineStr">
        <is>
          <t>www.ukkoverkot.fi</t>
        </is>
      </c>
      <c r="R477" s="26" t="n">
        <v>17.0</v>
      </c>
      <c r="S477" s="27" t="inlineStr">
        <is>
          <t/>
        </is>
      </c>
      <c r="T477" s="28" t="inlineStr">
        <is>
          <t/>
        </is>
      </c>
      <c r="U477" s="29" t="n">
        <v>2012.0</v>
      </c>
      <c r="V477" s="30" t="inlineStr">
        <is>
          <t/>
        </is>
      </c>
      <c r="W477" s="31" t="inlineStr">
        <is>
          <t/>
        </is>
      </c>
      <c r="X477" s="32" t="inlineStr">
        <is>
          <t/>
        </is>
      </c>
      <c r="Y477" s="33" t="n">
        <v>7.99661</v>
      </c>
      <c r="Z477" s="34" t="inlineStr">
        <is>
          <t/>
        </is>
      </c>
      <c r="AA477" s="35" t="inlineStr">
        <is>
          <t/>
        </is>
      </c>
      <c r="AB477" s="36" t="inlineStr">
        <is>
          <t/>
        </is>
      </c>
      <c r="AC477" s="37" t="inlineStr">
        <is>
          <t/>
        </is>
      </c>
      <c r="AD477" s="38" t="inlineStr">
        <is>
          <t>FY 2016</t>
        </is>
      </c>
      <c r="AE477" s="39" t="inlineStr">
        <is>
          <t>139462-57P</t>
        </is>
      </c>
      <c r="AF477" s="40" t="inlineStr">
        <is>
          <t>Antti Pellinen</t>
        </is>
      </c>
      <c r="AG477" s="41" t="inlineStr">
        <is>
          <t>Chief Executive Officer, Managing Director &amp; Co-Founder</t>
        </is>
      </c>
      <c r="AH477" s="42" t="inlineStr">
        <is>
          <t>antti.pellinen@ukkoverkot.fi</t>
        </is>
      </c>
      <c r="AI477" s="43" t="inlineStr">
        <is>
          <t>+358 (0)30 514 210</t>
        </is>
      </c>
      <c r="AJ477" s="44" t="inlineStr">
        <is>
          <t>Helsinki, Finland</t>
        </is>
      </c>
      <c r="AK477" s="45" t="inlineStr">
        <is>
          <t>Itämerentori 2</t>
        </is>
      </c>
      <c r="AL477" s="46" t="inlineStr">
        <is>
          <t/>
        </is>
      </c>
      <c r="AM477" s="47" t="inlineStr">
        <is>
          <t>Helsinki</t>
        </is>
      </c>
      <c r="AN477" s="48" t="inlineStr">
        <is>
          <t/>
        </is>
      </c>
      <c r="AO477" s="49" t="inlineStr">
        <is>
          <t>00180</t>
        </is>
      </c>
      <c r="AP477" s="50" t="inlineStr">
        <is>
          <t>Finland</t>
        </is>
      </c>
      <c r="AQ477" s="51" t="inlineStr">
        <is>
          <t>+358 (0)30 514 210</t>
        </is>
      </c>
      <c r="AR477" s="52" t="inlineStr">
        <is>
          <t/>
        </is>
      </c>
      <c r="AS477" s="53" t="inlineStr">
        <is>
          <t>info@ukkomobile.fi</t>
        </is>
      </c>
      <c r="AT477" s="54" t="inlineStr">
        <is>
          <t>Europe</t>
        </is>
      </c>
      <c r="AU477" s="55" t="inlineStr">
        <is>
          <t>Northern Europe</t>
        </is>
      </c>
      <c r="AV477" s="56" t="inlineStr">
        <is>
          <t>The company raised EUR 9.3 million of venture funding from Finnvera, Veritas Pension Insurance and Alands Telcommunications (Alcom) on June 29, 2016. Next Wave Ventures also participated in this round. The funds will be used to accelerate the development of 4G LTE data networks and to develop its sales and marketing efforts. The company is being actively tracked by PitchBook.</t>
        </is>
      </c>
      <c r="AW477" s="57" t="inlineStr">
        <is>
          <t>Alands Telcommunications (Alcom), Bocap, Finnvera, Next Wave Ventures, Veritas Pension Insurance</t>
        </is>
      </c>
      <c r="AX477" s="58" t="n">
        <v>5.0</v>
      </c>
      <c r="AY477" s="59" t="inlineStr">
        <is>
          <t/>
        </is>
      </c>
      <c r="AZ477" s="60" t="inlineStr">
        <is>
          <t/>
        </is>
      </c>
      <c r="BA477" s="61" t="inlineStr">
        <is>
          <t/>
        </is>
      </c>
      <c r="BB477" s="62" t="inlineStr">
        <is>
          <t>Alands Telcommunications (Alcom) (www.alcom.ax), Bocap (www.bocap.fi), Finnvera (www.finnvera.fi), Veritas Pension Insurance (www.veritas.fi)</t>
        </is>
      </c>
      <c r="BC477" s="63" t="inlineStr">
        <is>
          <t/>
        </is>
      </c>
      <c r="BD477" s="64" t="inlineStr">
        <is>
          <t/>
        </is>
      </c>
      <c r="BE477" s="65" t="inlineStr">
        <is>
          <t/>
        </is>
      </c>
      <c r="BF477" s="66" t="inlineStr">
        <is>
          <t>Evli Group (Advisor)</t>
        </is>
      </c>
      <c r="BG477" s="67" t="n">
        <v>42179.0</v>
      </c>
      <c r="BH477" s="68" t="n">
        <v>4.5</v>
      </c>
      <c r="BI477" s="69" t="inlineStr">
        <is>
          <t>Actual</t>
        </is>
      </c>
      <c r="BJ477" s="70" t="inlineStr">
        <is>
          <t/>
        </is>
      </c>
      <c r="BK477" s="71" t="inlineStr">
        <is>
          <t/>
        </is>
      </c>
      <c r="BL477" s="72" t="inlineStr">
        <is>
          <t>Early Stage VC</t>
        </is>
      </c>
      <c r="BM477" s="73" t="inlineStr">
        <is>
          <t/>
        </is>
      </c>
      <c r="BN477" s="74" t="inlineStr">
        <is>
          <t/>
        </is>
      </c>
      <c r="BO477" s="75" t="inlineStr">
        <is>
          <t>Venture Capital</t>
        </is>
      </c>
      <c r="BP477" s="76" t="inlineStr">
        <is>
          <t/>
        </is>
      </c>
      <c r="BQ477" s="77" t="inlineStr">
        <is>
          <t/>
        </is>
      </c>
      <c r="BR477" s="78" t="inlineStr">
        <is>
          <t/>
        </is>
      </c>
      <c r="BS477" s="79" t="inlineStr">
        <is>
          <t>Completed</t>
        </is>
      </c>
      <c r="BT477" s="80" t="n">
        <v>42550.0</v>
      </c>
      <c r="BU477" s="81" t="n">
        <v>9.3</v>
      </c>
      <c r="BV477" s="82" t="inlineStr">
        <is>
          <t>Actual</t>
        </is>
      </c>
      <c r="BW477" s="83" t="inlineStr">
        <is>
          <t/>
        </is>
      </c>
      <c r="BX477" s="84" t="inlineStr">
        <is>
          <t/>
        </is>
      </c>
      <c r="BY477" s="85" t="inlineStr">
        <is>
          <t>Early Stage VC</t>
        </is>
      </c>
      <c r="BZ477" s="86" t="inlineStr">
        <is>
          <t/>
        </is>
      </c>
      <c r="CA477" s="87" t="inlineStr">
        <is>
          <t/>
        </is>
      </c>
      <c r="CB477" s="88" t="inlineStr">
        <is>
          <t>Venture Capital</t>
        </is>
      </c>
      <c r="CC477" s="89" t="inlineStr">
        <is>
          <t/>
        </is>
      </c>
      <c r="CD477" s="90" t="inlineStr">
        <is>
          <t/>
        </is>
      </c>
      <c r="CE477" s="91" t="inlineStr">
        <is>
          <t/>
        </is>
      </c>
      <c r="CF477" s="92" t="inlineStr">
        <is>
          <t>Completed</t>
        </is>
      </c>
      <c r="CG477" s="93" t="inlineStr">
        <is>
          <t>0,10%</t>
        </is>
      </c>
      <c r="CH477" s="94" t="inlineStr">
        <is>
          <t>73</t>
        </is>
      </c>
      <c r="CI477" s="95" t="inlineStr">
        <is>
          <t>-0,03%</t>
        </is>
      </c>
      <c r="CJ477" s="96" t="inlineStr">
        <is>
          <t>-24,04%</t>
        </is>
      </c>
      <c r="CK477" s="97" t="inlineStr">
        <is>
          <t>0,01%</t>
        </is>
      </c>
      <c r="CL477" s="98" t="inlineStr">
        <is>
          <t>79</t>
        </is>
      </c>
      <c r="CM477" s="99" t="inlineStr">
        <is>
          <t>0,19%</t>
        </is>
      </c>
      <c r="CN477" s="100" t="inlineStr">
        <is>
          <t>72</t>
        </is>
      </c>
      <c r="CO477" s="101" t="inlineStr">
        <is>
          <t>0,00%</t>
        </is>
      </c>
      <c r="CP477" s="102" t="inlineStr">
        <is>
          <t>26</t>
        </is>
      </c>
      <c r="CQ477" s="103" t="inlineStr">
        <is>
          <t>0,01%</t>
        </is>
      </c>
      <c r="CR477" s="104" t="inlineStr">
        <is>
          <t>82</t>
        </is>
      </c>
      <c r="CS477" s="105" t="inlineStr">
        <is>
          <t>0,19%</t>
        </is>
      </c>
      <c r="CT477" s="106" t="inlineStr">
        <is>
          <t>69</t>
        </is>
      </c>
      <c r="CU477" s="107" t="inlineStr">
        <is>
          <t/>
        </is>
      </c>
      <c r="CV477" s="108" t="inlineStr">
        <is>
          <t/>
        </is>
      </c>
      <c r="CW477" s="109" t="inlineStr">
        <is>
          <t>0,77x</t>
        </is>
      </c>
      <c r="CX477" s="110" t="inlineStr">
        <is>
          <t>43</t>
        </is>
      </c>
      <c r="CY477" s="111" t="inlineStr">
        <is>
          <t>-0,09x</t>
        </is>
      </c>
      <c r="CZ477" s="112" t="inlineStr">
        <is>
          <t>-10,37%</t>
        </is>
      </c>
      <c r="DA477" s="113" t="inlineStr">
        <is>
          <t>1,28x</t>
        </is>
      </c>
      <c r="DB477" s="114" t="inlineStr">
        <is>
          <t>57</t>
        </is>
      </c>
      <c r="DC477" s="115" t="inlineStr">
        <is>
          <t>0,26x</t>
        </is>
      </c>
      <c r="DD477" s="116" t="inlineStr">
        <is>
          <t>25</t>
        </is>
      </c>
      <c r="DE477" s="117" t="inlineStr">
        <is>
          <t>0,20x</t>
        </is>
      </c>
      <c r="DF477" s="118" t="inlineStr">
        <is>
          <t>19</t>
        </is>
      </c>
      <c r="DG477" s="119" t="inlineStr">
        <is>
          <t>2,36x</t>
        </is>
      </c>
      <c r="DH477" s="120" t="inlineStr">
        <is>
          <t>67</t>
        </is>
      </c>
      <c r="DI477" s="121" t="inlineStr">
        <is>
          <t>0,26x</t>
        </is>
      </c>
      <c r="DJ477" s="122" t="inlineStr">
        <is>
          <t>28</t>
        </is>
      </c>
      <c r="DK477" s="123" t="inlineStr">
        <is>
          <t/>
        </is>
      </c>
      <c r="DL477" s="124" t="inlineStr">
        <is>
          <t/>
        </is>
      </c>
      <c r="DM477" s="125" t="inlineStr">
        <is>
          <t>148</t>
        </is>
      </c>
      <c r="DN477" s="126" t="inlineStr">
        <is>
          <t>-77</t>
        </is>
      </c>
      <c r="DO477" s="127" t="inlineStr">
        <is>
          <t>-34,22%</t>
        </is>
      </c>
      <c r="DP477" s="128" t="inlineStr">
        <is>
          <t>203</t>
        </is>
      </c>
      <c r="DQ477" s="129" t="inlineStr">
        <is>
          <t>1</t>
        </is>
      </c>
      <c r="DR477" s="130" t="inlineStr">
        <is>
          <t>0,50%</t>
        </is>
      </c>
      <c r="DS477" s="131" t="inlineStr">
        <is>
          <t>91</t>
        </is>
      </c>
      <c r="DT477" s="132" t="inlineStr">
        <is>
          <t>-11</t>
        </is>
      </c>
      <c r="DU477" s="133" t="inlineStr">
        <is>
          <t>-10,78%</t>
        </is>
      </c>
      <c r="DV477" s="134" t="inlineStr">
        <is>
          <t/>
        </is>
      </c>
      <c r="DW477" s="135" t="inlineStr">
        <is>
          <t/>
        </is>
      </c>
      <c r="DX477" s="136" t="inlineStr">
        <is>
          <t/>
        </is>
      </c>
      <c r="DY477" s="137" t="inlineStr">
        <is>
          <t>PitchBook Research</t>
        </is>
      </c>
      <c r="DZ477" s="785">
        <f>HYPERLINK("https://my.pitchbook.com?c=162168-40", "View company online")</f>
      </c>
    </row>
    <row r="478">
      <c r="A478" s="139" t="inlineStr">
        <is>
          <t>118093-51</t>
        </is>
      </c>
      <c r="B478" s="140" t="inlineStr">
        <is>
          <t>Ultrahaptics</t>
        </is>
      </c>
      <c r="C478" s="141" t="inlineStr">
        <is>
          <t/>
        </is>
      </c>
      <c r="D478" s="142" t="inlineStr">
        <is>
          <t/>
        </is>
      </c>
      <c r="E478" s="143" t="inlineStr">
        <is>
          <t>118093-51</t>
        </is>
      </c>
      <c r="F478" s="144" t="inlineStr">
        <is>
          <t>Developer of touchless haptics technology designed to create remarkable connection between people and technology. The company's touchless haptics develops a technology that uses ultrasound to project sensations through the air and directly onto the user, enabling them to receive tactile feedback without needing to wear or touch anything.</t>
        </is>
      </c>
      <c r="G478" s="145" t="inlineStr">
        <is>
          <t>Information Technology</t>
        </is>
      </c>
      <c r="H478" s="146" t="inlineStr">
        <is>
          <t>Other Information Technology</t>
        </is>
      </c>
      <c r="I478" s="147" t="inlineStr">
        <is>
          <t>Other Information Technology</t>
        </is>
      </c>
      <c r="J478" s="148" t="inlineStr">
        <is>
          <t>Other Information Technology*; Other Consumer Products and Services</t>
        </is>
      </c>
      <c r="K478" s="149" t="inlineStr">
        <is>
          <t>Virtual Reality</t>
        </is>
      </c>
      <c r="L478" s="150" t="inlineStr">
        <is>
          <t>Venture Capital-Backed</t>
        </is>
      </c>
      <c r="M478" s="151" t="n">
        <v>36.0</v>
      </c>
      <c r="N478" s="152" t="inlineStr">
        <is>
          <t>Generating Revenue</t>
        </is>
      </c>
      <c r="O478" s="153" t="inlineStr">
        <is>
          <t>Privately Held (backing)</t>
        </is>
      </c>
      <c r="P478" s="154" t="inlineStr">
        <is>
          <t>Venture Capital</t>
        </is>
      </c>
      <c r="Q478" s="155" t="inlineStr">
        <is>
          <t>www.ultrahaptics.com</t>
        </is>
      </c>
      <c r="R478" s="156" t="n">
        <v>43.0</v>
      </c>
      <c r="S478" s="157" t="inlineStr">
        <is>
          <t/>
        </is>
      </c>
      <c r="T478" s="158" t="inlineStr">
        <is>
          <t/>
        </is>
      </c>
      <c r="U478" s="159" t="n">
        <v>2013.0</v>
      </c>
      <c r="V478" s="160" t="inlineStr">
        <is>
          <t/>
        </is>
      </c>
      <c r="W478" s="161" t="inlineStr">
        <is>
          <t/>
        </is>
      </c>
      <c r="X478" s="162" t="inlineStr">
        <is>
          <t/>
        </is>
      </c>
      <c r="Y478" s="163" t="n">
        <v>2.37148</v>
      </c>
      <c r="Z478" s="164" t="inlineStr">
        <is>
          <t/>
        </is>
      </c>
      <c r="AA478" s="165" t="inlineStr">
        <is>
          <t/>
        </is>
      </c>
      <c r="AB478" s="166" t="inlineStr">
        <is>
          <t/>
        </is>
      </c>
      <c r="AC478" s="167" t="inlineStr">
        <is>
          <t/>
        </is>
      </c>
      <c r="AD478" s="168" t="inlineStr">
        <is>
          <t>FY 2016</t>
        </is>
      </c>
      <c r="AE478" s="169" t="inlineStr">
        <is>
          <t>60673-33P</t>
        </is>
      </c>
      <c r="AF478" s="170" t="inlineStr">
        <is>
          <t>Steve Cliffe</t>
        </is>
      </c>
      <c r="AG478" s="171" t="inlineStr">
        <is>
          <t>Chief Executive Officer, President &amp; Board Member</t>
        </is>
      </c>
      <c r="AH478" s="172" t="inlineStr">
        <is>
          <t>steve.cliffe@ultrahaptics.com</t>
        </is>
      </c>
      <c r="AI478" s="173" t="inlineStr">
        <is>
          <t/>
        </is>
      </c>
      <c r="AJ478" s="174" t="inlineStr">
        <is>
          <t>Bristol, United Kingdom</t>
        </is>
      </c>
      <c r="AK478" s="175" t="inlineStr">
        <is>
          <t>The West Wing</t>
        </is>
      </c>
      <c r="AL478" s="176" t="inlineStr">
        <is>
          <t>Glass Wharf</t>
        </is>
      </c>
      <c r="AM478" s="177" t="inlineStr">
        <is>
          <t>Bristol</t>
        </is>
      </c>
      <c r="AN478" s="178" t="inlineStr">
        <is>
          <t>England</t>
        </is>
      </c>
      <c r="AO478" s="179" t="inlineStr">
        <is>
          <t>BS2 0EL</t>
        </is>
      </c>
      <c r="AP478" s="180" t="inlineStr">
        <is>
          <t>United Kingdom</t>
        </is>
      </c>
      <c r="AQ478" s="181" t="inlineStr">
        <is>
          <t/>
        </is>
      </c>
      <c r="AR478" s="182" t="inlineStr">
        <is>
          <t/>
        </is>
      </c>
      <c r="AS478" s="183" t="inlineStr">
        <is>
          <t>info@ultrahaptics.com</t>
        </is>
      </c>
      <c r="AT478" s="184" t="inlineStr">
        <is>
          <t>Europe</t>
        </is>
      </c>
      <c r="AU478" s="185" t="inlineStr">
        <is>
          <t>Western Europe</t>
        </is>
      </c>
      <c r="AV478" s="186" t="inlineStr">
        <is>
          <t>The company raised GBP 17.9 million of Series B venture funding from IP Group (LSE: IPO), Woodford Investment Management and Dolby Family Ventures on May 3, 2017. Cornes Technologies also participated in the round. The company intends to use the funds for its global expansion and its entry into virtual and augmented reality markets.</t>
        </is>
      </c>
      <c r="AW478" s="187" t="inlineStr">
        <is>
          <t>Cornes Technologies, Dolby Family Ventures, Horizon 2020, IP Group, Seamless Accelerator, Woodford Investment Management</t>
        </is>
      </c>
      <c r="AX478" s="188" t="n">
        <v>6.0</v>
      </c>
      <c r="AY478" s="189" t="inlineStr">
        <is>
          <t/>
        </is>
      </c>
      <c r="AZ478" s="190" t="inlineStr">
        <is>
          <t/>
        </is>
      </c>
      <c r="BA478" s="191" t="inlineStr">
        <is>
          <t/>
        </is>
      </c>
      <c r="BB478" s="192" t="inlineStr">
        <is>
          <t>Cornes Technologies (www.cornestech.co.jp), Dolby Family Ventures (www.dolbyventures.com), IP Group (www.ipgroupplc.com), Seamless Accelerator (www.seamlessiot.com), Woodford Investment Management (woodfordfunds.com)</t>
        </is>
      </c>
      <c r="BC478" s="193" t="inlineStr">
        <is>
          <t/>
        </is>
      </c>
      <c r="BD478" s="194" t="inlineStr">
        <is>
          <t/>
        </is>
      </c>
      <c r="BE478" s="195" t="inlineStr">
        <is>
          <t>Corrigan Associates (Auditor), Renaissance Leadership (Consulting), HSBC India (General Business Banking)</t>
        </is>
      </c>
      <c r="BF478" s="196" t="inlineStr">
        <is>
          <t>IP Group (Advisor)</t>
        </is>
      </c>
      <c r="BG478" s="197" t="n">
        <v>41956.0</v>
      </c>
      <c r="BH478" s="198" t="n">
        <v>0.6</v>
      </c>
      <c r="BI478" s="199" t="inlineStr">
        <is>
          <t>Actual</t>
        </is>
      </c>
      <c r="BJ478" s="200" t="n">
        <v>1.54</v>
      </c>
      <c r="BK478" s="201" t="inlineStr">
        <is>
          <t>Actual</t>
        </is>
      </c>
      <c r="BL478" s="202" t="inlineStr">
        <is>
          <t>Seed Round</t>
        </is>
      </c>
      <c r="BM478" s="203" t="inlineStr">
        <is>
          <t>Seed</t>
        </is>
      </c>
      <c r="BN478" s="204" t="inlineStr">
        <is>
          <t/>
        </is>
      </c>
      <c r="BO478" s="205" t="inlineStr">
        <is>
          <t>Venture Capital</t>
        </is>
      </c>
      <c r="BP478" s="206" t="inlineStr">
        <is>
          <t>Other Debt</t>
        </is>
      </c>
      <c r="BQ478" s="207" t="inlineStr">
        <is>
          <t/>
        </is>
      </c>
      <c r="BR478" s="208" t="inlineStr">
        <is>
          <t/>
        </is>
      </c>
      <c r="BS478" s="209" t="inlineStr">
        <is>
          <t>Completed</t>
        </is>
      </c>
      <c r="BT478" s="210" t="n">
        <v>42858.0</v>
      </c>
      <c r="BU478" s="211" t="n">
        <v>20.95</v>
      </c>
      <c r="BV478" s="212" t="inlineStr">
        <is>
          <t>Actual</t>
        </is>
      </c>
      <c r="BW478" s="213" t="inlineStr">
        <is>
          <t/>
        </is>
      </c>
      <c r="BX478" s="214" t="inlineStr">
        <is>
          <t/>
        </is>
      </c>
      <c r="BY478" s="215" t="inlineStr">
        <is>
          <t>Early Stage VC</t>
        </is>
      </c>
      <c r="BZ478" s="216" t="inlineStr">
        <is>
          <t>Series B</t>
        </is>
      </c>
      <c r="CA478" s="217" t="inlineStr">
        <is>
          <t/>
        </is>
      </c>
      <c r="CB478" s="218" t="inlineStr">
        <is>
          <t>Venture Capital</t>
        </is>
      </c>
      <c r="CC478" s="219" t="inlineStr">
        <is>
          <t/>
        </is>
      </c>
      <c r="CD478" s="220" t="inlineStr">
        <is>
          <t/>
        </is>
      </c>
      <c r="CE478" s="221" t="inlineStr">
        <is>
          <t/>
        </is>
      </c>
      <c r="CF478" s="222" t="inlineStr">
        <is>
          <t>Completed</t>
        </is>
      </c>
      <c r="CG478" s="223" t="inlineStr">
        <is>
          <t>-1,86%</t>
        </is>
      </c>
      <c r="CH478" s="224" t="inlineStr">
        <is>
          <t>3</t>
        </is>
      </c>
      <c r="CI478" s="225" t="inlineStr">
        <is>
          <t>-0,07%</t>
        </is>
      </c>
      <c r="CJ478" s="226" t="inlineStr">
        <is>
          <t>-4,16%</t>
        </is>
      </c>
      <c r="CK478" s="227" t="inlineStr">
        <is>
          <t>-4,35%</t>
        </is>
      </c>
      <c r="CL478" s="228" t="inlineStr">
        <is>
          <t>2</t>
        </is>
      </c>
      <c r="CM478" s="229" t="inlineStr">
        <is>
          <t>0,64%</t>
        </is>
      </c>
      <c r="CN478" s="230" t="inlineStr">
        <is>
          <t>92</t>
        </is>
      </c>
      <c r="CO478" s="231" t="inlineStr">
        <is>
          <t>-8,25%</t>
        </is>
      </c>
      <c r="CP478" s="232" t="inlineStr">
        <is>
          <t>3</t>
        </is>
      </c>
      <c r="CQ478" s="233" t="inlineStr">
        <is>
          <t>-0,45%</t>
        </is>
      </c>
      <c r="CR478" s="234" t="inlineStr">
        <is>
          <t>7</t>
        </is>
      </c>
      <c r="CS478" s="235" t="inlineStr">
        <is>
          <t>0,49%</t>
        </is>
      </c>
      <c r="CT478" s="236" t="inlineStr">
        <is>
          <t>87</t>
        </is>
      </c>
      <c r="CU478" s="237" t="inlineStr">
        <is>
          <t>0,78%</t>
        </is>
      </c>
      <c r="CV478" s="238" t="inlineStr">
        <is>
          <t>96</t>
        </is>
      </c>
      <c r="CW478" s="239" t="inlineStr">
        <is>
          <t>6,36x</t>
        </is>
      </c>
      <c r="CX478" s="240" t="inlineStr">
        <is>
          <t>82</t>
        </is>
      </c>
      <c r="CY478" s="241" t="inlineStr">
        <is>
          <t>0,11x</t>
        </is>
      </c>
      <c r="CZ478" s="242" t="inlineStr">
        <is>
          <t>1,72%</t>
        </is>
      </c>
      <c r="DA478" s="243" t="inlineStr">
        <is>
          <t>9,56x</t>
        </is>
      </c>
      <c r="DB478" s="244" t="inlineStr">
        <is>
          <t>87</t>
        </is>
      </c>
      <c r="DC478" s="245" t="inlineStr">
        <is>
          <t>3,15x</t>
        </is>
      </c>
      <c r="DD478" s="246" t="inlineStr">
        <is>
          <t>69</t>
        </is>
      </c>
      <c r="DE478" s="247" t="inlineStr">
        <is>
          <t>3,65x</t>
        </is>
      </c>
      <c r="DF478" s="248" t="inlineStr">
        <is>
          <t>73</t>
        </is>
      </c>
      <c r="DG478" s="249" t="inlineStr">
        <is>
          <t>15,47x</t>
        </is>
      </c>
      <c r="DH478" s="250" t="inlineStr">
        <is>
          <t>91</t>
        </is>
      </c>
      <c r="DI478" s="251" t="inlineStr">
        <is>
          <t>0,65x</t>
        </is>
      </c>
      <c r="DJ478" s="252" t="inlineStr">
        <is>
          <t>43</t>
        </is>
      </c>
      <c r="DK478" s="253" t="inlineStr">
        <is>
          <t>5,65x</t>
        </is>
      </c>
      <c r="DL478" s="254" t="inlineStr">
        <is>
          <t>80</t>
        </is>
      </c>
      <c r="DM478" s="255" t="inlineStr">
        <is>
          <t>2.428</t>
        </is>
      </c>
      <c r="DN478" s="256" t="inlineStr">
        <is>
          <t>-556</t>
        </is>
      </c>
      <c r="DO478" s="257" t="inlineStr">
        <is>
          <t>-18,63%</t>
        </is>
      </c>
      <c r="DP478" s="258" t="inlineStr">
        <is>
          <t>521</t>
        </is>
      </c>
      <c r="DQ478" s="259" t="inlineStr">
        <is>
          <t>0</t>
        </is>
      </c>
      <c r="DR478" s="260" t="inlineStr">
        <is>
          <t>0,00%</t>
        </is>
      </c>
      <c r="DS478" s="261" t="inlineStr">
        <is>
          <t>559</t>
        </is>
      </c>
      <c r="DT478" s="262" t="inlineStr">
        <is>
          <t>-5</t>
        </is>
      </c>
      <c r="DU478" s="263" t="inlineStr">
        <is>
          <t>-0,89%</t>
        </is>
      </c>
      <c r="DV478" s="264" t="inlineStr">
        <is>
          <t>1.933</t>
        </is>
      </c>
      <c r="DW478" s="265" t="inlineStr">
        <is>
          <t>14</t>
        </is>
      </c>
      <c r="DX478" s="266" t="inlineStr">
        <is>
          <t>0,73%</t>
        </is>
      </c>
      <c r="DY478" s="267" t="inlineStr">
        <is>
          <t>PitchBook Research</t>
        </is>
      </c>
      <c r="DZ478" s="786">
        <f>HYPERLINK("https://my.pitchbook.com?c=118093-51", "View company online")</f>
      </c>
    </row>
    <row r="479">
      <c r="A479" s="9" t="inlineStr">
        <is>
          <t>168373-36</t>
        </is>
      </c>
      <c r="B479" s="10" t="inlineStr">
        <is>
          <t>UNICAF (Education Platform)</t>
        </is>
      </c>
      <c r="C479" s="11" t="inlineStr">
        <is>
          <t/>
        </is>
      </c>
      <c r="D479" s="12" t="inlineStr">
        <is>
          <t/>
        </is>
      </c>
      <c r="E479" s="13" t="inlineStr">
        <is>
          <t>168373-36</t>
        </is>
      </c>
      <c r="F479" s="14" t="inlineStr">
        <is>
          <t>Provider of scholarship programmes for the students in Africa. The company offers an online platform through which students of Sub-Saharan African region can get access to higher education through distance learning.</t>
        </is>
      </c>
      <c r="G479" s="15" t="inlineStr">
        <is>
          <t>Consumer Products and Services (B2C)</t>
        </is>
      </c>
      <c r="H479" s="16" t="inlineStr">
        <is>
          <t>Services (Non-Financial)</t>
        </is>
      </c>
      <c r="I479" s="17" t="inlineStr">
        <is>
          <t>Educational and Training Services (B2C)</t>
        </is>
      </c>
      <c r="J479" s="18" t="inlineStr">
        <is>
          <t>Educational and Training Services (B2C)*; Educational Software; Social/Platform Software</t>
        </is>
      </c>
      <c r="K479" s="19" t="inlineStr">
        <is>
          <t>EdTech</t>
        </is>
      </c>
      <c r="L479" s="20" t="inlineStr">
        <is>
          <t>Venture Capital-Backed</t>
        </is>
      </c>
      <c r="M479" s="21" t="n">
        <v>11.1</v>
      </c>
      <c r="N479" s="22" t="inlineStr">
        <is>
          <t>Startup</t>
        </is>
      </c>
      <c r="O479" s="23" t="inlineStr">
        <is>
          <t>Privately Held (backing)</t>
        </is>
      </c>
      <c r="P479" s="24" t="inlineStr">
        <is>
          <t>Venture Capital</t>
        </is>
      </c>
      <c r="Q479" s="25" t="inlineStr">
        <is>
          <t>www.unicaf.org</t>
        </is>
      </c>
      <c r="R479" s="26" t="n">
        <v>150.0</v>
      </c>
      <c r="S479" s="27" t="inlineStr">
        <is>
          <t/>
        </is>
      </c>
      <c r="T479" s="28" t="inlineStr">
        <is>
          <t/>
        </is>
      </c>
      <c r="U479" s="29" t="n">
        <v>2012.0</v>
      </c>
      <c r="V479" s="30" t="inlineStr">
        <is>
          <t/>
        </is>
      </c>
      <c r="W479" s="31" t="inlineStr">
        <is>
          <t/>
        </is>
      </c>
      <c r="X479" s="32" t="inlineStr">
        <is>
          <t/>
        </is>
      </c>
      <c r="Y479" s="33" t="inlineStr">
        <is>
          <t/>
        </is>
      </c>
      <c r="Z479" s="34" t="inlineStr">
        <is>
          <t/>
        </is>
      </c>
      <c r="AA479" s="35" t="inlineStr">
        <is>
          <t/>
        </is>
      </c>
      <c r="AB479" s="36" t="inlineStr">
        <is>
          <t/>
        </is>
      </c>
      <c r="AC479" s="37" t="inlineStr">
        <is>
          <t/>
        </is>
      </c>
      <c r="AD479" s="38" t="inlineStr">
        <is>
          <t/>
        </is>
      </c>
      <c r="AE479" s="39" t="inlineStr">
        <is>
          <t>150592-87P</t>
        </is>
      </c>
      <c r="AF479" s="40" t="inlineStr">
        <is>
          <t>Nicos Nicolaou</t>
        </is>
      </c>
      <c r="AG479" s="41" t="inlineStr">
        <is>
          <t>Chief Executive Officer &amp; Founder</t>
        </is>
      </c>
      <c r="AH479" s="42" t="inlineStr">
        <is>
          <t>n.nicolaou@unicaf.org</t>
        </is>
      </c>
      <c r="AI479" s="43" t="inlineStr">
        <is>
          <t>+44 (0)20 3815 8006</t>
        </is>
      </c>
      <c r="AJ479" s="44" t="inlineStr">
        <is>
          <t>London, United Kingdom</t>
        </is>
      </c>
      <c r="AK479" s="45" t="inlineStr">
        <is>
          <t>Kemp House</t>
        </is>
      </c>
      <c r="AL479" s="46" t="inlineStr">
        <is>
          <t>152 City Road</t>
        </is>
      </c>
      <c r="AM479" s="47" t="inlineStr">
        <is>
          <t>London</t>
        </is>
      </c>
      <c r="AN479" s="48" t="inlineStr">
        <is>
          <t>England</t>
        </is>
      </c>
      <c r="AO479" s="49" t="inlineStr">
        <is>
          <t>EC1V 2NX</t>
        </is>
      </c>
      <c r="AP479" s="50" t="inlineStr">
        <is>
          <t>United Kingdom</t>
        </is>
      </c>
      <c r="AQ479" s="51" t="inlineStr">
        <is>
          <t>+44 (0)20 3815 8006</t>
        </is>
      </c>
      <c r="AR479" s="52" t="inlineStr">
        <is>
          <t/>
        </is>
      </c>
      <c r="AS479" s="53" t="inlineStr">
        <is>
          <t>info@unicaf.org</t>
        </is>
      </c>
      <c r="AT479" s="54" t="inlineStr">
        <is>
          <t>Europe</t>
        </is>
      </c>
      <c r="AU479" s="55" t="inlineStr">
        <is>
          <t>Western Europe</t>
        </is>
      </c>
      <c r="AV479" s="56" t="inlineStr">
        <is>
          <t>The company raised $12 million of Series A venture funding in a deal led by CDC Group on November 18, 2016. University Ventures and Savannah Fund also participated in this round. UNICAF intends to use the proceeds to create new jobs by building a network of learning centers and university campuses across African cities.</t>
        </is>
      </c>
      <c r="AW479" s="57" t="inlineStr">
        <is>
          <t>CDC Group, Savannah Fund, University Ventures</t>
        </is>
      </c>
      <c r="AX479" s="58" t="n">
        <v>3.0</v>
      </c>
      <c r="AY479" s="59" t="inlineStr">
        <is>
          <t/>
        </is>
      </c>
      <c r="AZ479" s="60" t="inlineStr">
        <is>
          <t/>
        </is>
      </c>
      <c r="BA479" s="61" t="inlineStr">
        <is>
          <t/>
        </is>
      </c>
      <c r="BB479" s="62" t="inlineStr">
        <is>
          <t>CDC Group (www.cdcgroup.com), Savannah Fund (www.savannah.vc), University Ventures (www.universityventures.com)</t>
        </is>
      </c>
      <c r="BC479" s="63" t="inlineStr">
        <is>
          <t/>
        </is>
      </c>
      <c r="BD479" s="64" t="inlineStr">
        <is>
          <t/>
        </is>
      </c>
      <c r="BE479" s="65" t="inlineStr">
        <is>
          <t/>
        </is>
      </c>
      <c r="BF479" s="66" t="inlineStr">
        <is>
          <t/>
        </is>
      </c>
      <c r="BG479" s="67" t="n">
        <v>42692.0</v>
      </c>
      <c r="BH479" s="68" t="n">
        <v>11.1</v>
      </c>
      <c r="BI479" s="69" t="inlineStr">
        <is>
          <t>Actual</t>
        </is>
      </c>
      <c r="BJ479" s="70" t="inlineStr">
        <is>
          <t/>
        </is>
      </c>
      <c r="BK479" s="71" t="inlineStr">
        <is>
          <t/>
        </is>
      </c>
      <c r="BL479" s="72" t="inlineStr">
        <is>
          <t>Early Stage VC</t>
        </is>
      </c>
      <c r="BM479" s="73" t="inlineStr">
        <is>
          <t>Series A</t>
        </is>
      </c>
      <c r="BN479" s="74" t="inlineStr">
        <is>
          <t/>
        </is>
      </c>
      <c r="BO479" s="75" t="inlineStr">
        <is>
          <t>Venture Capital</t>
        </is>
      </c>
      <c r="BP479" s="76" t="inlineStr">
        <is>
          <t/>
        </is>
      </c>
      <c r="BQ479" s="77" t="inlineStr">
        <is>
          <t/>
        </is>
      </c>
      <c r="BR479" s="78" t="inlineStr">
        <is>
          <t/>
        </is>
      </c>
      <c r="BS479" s="79" t="inlineStr">
        <is>
          <t>Completed</t>
        </is>
      </c>
      <c r="BT479" s="80" t="n">
        <v>42692.0</v>
      </c>
      <c r="BU479" s="81" t="n">
        <v>11.1</v>
      </c>
      <c r="BV479" s="82" t="inlineStr">
        <is>
          <t>Actual</t>
        </is>
      </c>
      <c r="BW479" s="83" t="inlineStr">
        <is>
          <t/>
        </is>
      </c>
      <c r="BX479" s="84" t="inlineStr">
        <is>
          <t/>
        </is>
      </c>
      <c r="BY479" s="85" t="inlineStr">
        <is>
          <t>Early Stage VC</t>
        </is>
      </c>
      <c r="BZ479" s="86" t="inlineStr">
        <is>
          <t>Series A</t>
        </is>
      </c>
      <c r="CA479" s="87" t="inlineStr">
        <is>
          <t/>
        </is>
      </c>
      <c r="CB479" s="88" t="inlineStr">
        <is>
          <t>Venture Capital</t>
        </is>
      </c>
      <c r="CC479" s="89" t="inlineStr">
        <is>
          <t/>
        </is>
      </c>
      <c r="CD479" s="90" t="inlineStr">
        <is>
          <t/>
        </is>
      </c>
      <c r="CE479" s="91" t="inlineStr">
        <is>
          <t/>
        </is>
      </c>
      <c r="CF479" s="92" t="inlineStr">
        <is>
          <t>Completed</t>
        </is>
      </c>
      <c r="CG479" s="93" t="inlineStr">
        <is>
          <t>1,40%</t>
        </is>
      </c>
      <c r="CH479" s="94" t="inlineStr">
        <is>
          <t>91</t>
        </is>
      </c>
      <c r="CI479" s="95" t="inlineStr">
        <is>
          <t>-0,09%</t>
        </is>
      </c>
      <c r="CJ479" s="96" t="inlineStr">
        <is>
          <t>-5,93%</t>
        </is>
      </c>
      <c r="CK479" s="97" t="inlineStr">
        <is>
          <t>1,75%</t>
        </is>
      </c>
      <c r="CL479" s="98" t="inlineStr">
        <is>
          <t>90</t>
        </is>
      </c>
      <c r="CM479" s="99" t="inlineStr">
        <is>
          <t>1,06%</t>
        </is>
      </c>
      <c r="CN479" s="100" t="inlineStr">
        <is>
          <t>96</t>
        </is>
      </c>
      <c r="CO479" s="101" t="inlineStr">
        <is>
          <t>2,00%</t>
        </is>
      </c>
      <c r="CP479" s="102" t="inlineStr">
        <is>
          <t>89</t>
        </is>
      </c>
      <c r="CQ479" s="103" t="inlineStr">
        <is>
          <t>1,49%</t>
        </is>
      </c>
      <c r="CR479" s="104" t="inlineStr">
        <is>
          <t>90</t>
        </is>
      </c>
      <c r="CS479" s="105" t="inlineStr">
        <is>
          <t>0,52%</t>
        </is>
      </c>
      <c r="CT479" s="106" t="inlineStr">
        <is>
          <t>88</t>
        </is>
      </c>
      <c r="CU479" s="107" t="inlineStr">
        <is>
          <t>1,60%</t>
        </is>
      </c>
      <c r="CV479" s="108" t="inlineStr">
        <is>
          <t>99</t>
        </is>
      </c>
      <c r="CW479" s="109" t="inlineStr">
        <is>
          <t>515,43x</t>
        </is>
      </c>
      <c r="CX479" s="110" t="inlineStr">
        <is>
          <t>100</t>
        </is>
      </c>
      <c r="CY479" s="111" t="inlineStr">
        <is>
          <t>12,72x</t>
        </is>
      </c>
      <c r="CZ479" s="112" t="inlineStr">
        <is>
          <t>2,53%</t>
        </is>
      </c>
      <c r="DA479" s="113" t="inlineStr">
        <is>
          <t>19,12x</t>
        </is>
      </c>
      <c r="DB479" s="114" t="inlineStr">
        <is>
          <t>92</t>
        </is>
      </c>
      <c r="DC479" s="115" t="inlineStr">
        <is>
          <t>1.011,75x</t>
        </is>
      </c>
      <c r="DD479" s="116" t="inlineStr">
        <is>
          <t>100</t>
        </is>
      </c>
      <c r="DE479" s="117" t="inlineStr">
        <is>
          <t>31,73x</t>
        </is>
      </c>
      <c r="DF479" s="118" t="inlineStr">
        <is>
          <t>91</t>
        </is>
      </c>
      <c r="DG479" s="119" t="inlineStr">
        <is>
          <t>6,50x</t>
        </is>
      </c>
      <c r="DH479" s="120" t="inlineStr">
        <is>
          <t>81</t>
        </is>
      </c>
      <c r="DI479" s="121" t="inlineStr">
        <is>
          <t>2.019,33x</t>
        </is>
      </c>
      <c r="DJ479" s="122" t="inlineStr">
        <is>
          <t>100</t>
        </is>
      </c>
      <c r="DK479" s="123" t="inlineStr">
        <is>
          <t>4,17x</t>
        </is>
      </c>
      <c r="DL479" s="124" t="inlineStr">
        <is>
          <t>75</t>
        </is>
      </c>
      <c r="DM479" s="125" t="inlineStr">
        <is>
          <t>19.446</t>
        </is>
      </c>
      <c r="DN479" s="126" t="inlineStr">
        <is>
          <t>203</t>
        </is>
      </c>
      <c r="DO479" s="127" t="inlineStr">
        <is>
          <t>1,05%</t>
        </is>
      </c>
      <c r="DP479" s="128" t="inlineStr">
        <is>
          <t>1.610.482</t>
        </is>
      </c>
      <c r="DQ479" s="129" t="inlineStr">
        <is>
          <t>6.772</t>
        </is>
      </c>
      <c r="DR479" s="130" t="inlineStr">
        <is>
          <t>0,42%</t>
        </is>
      </c>
      <c r="DS479" s="131" t="inlineStr">
        <is>
          <t>234</t>
        </is>
      </c>
      <c r="DT479" s="132" t="inlineStr">
        <is>
          <t>0</t>
        </is>
      </c>
      <c r="DU479" s="133" t="inlineStr">
        <is>
          <t>0,00%</t>
        </is>
      </c>
      <c r="DV479" s="134" t="inlineStr">
        <is>
          <t>1.417</t>
        </is>
      </c>
      <c r="DW479" s="135" t="inlineStr">
        <is>
          <t>24</t>
        </is>
      </c>
      <c r="DX479" s="136" t="inlineStr">
        <is>
          <t>1,72%</t>
        </is>
      </c>
      <c r="DY479" s="137" t="inlineStr">
        <is>
          <t>PitchBook Research</t>
        </is>
      </c>
      <c r="DZ479" s="785">
        <f>HYPERLINK("https://my.pitchbook.com?c=168373-36", "View company online")</f>
      </c>
    </row>
    <row r="480">
      <c r="A480" s="139" t="inlineStr">
        <is>
          <t>155235-97</t>
        </is>
      </c>
      <c r="B480" s="140" t="inlineStr">
        <is>
          <t>UniFly</t>
        </is>
      </c>
      <c r="C480" s="141" t="inlineStr">
        <is>
          <t/>
        </is>
      </c>
      <c r="D480" s="142" t="inlineStr">
        <is>
          <t/>
        </is>
      </c>
      <c r="E480" s="143" t="inlineStr">
        <is>
          <t>155235-97</t>
        </is>
      </c>
      <c r="F480" s="144" t="inlineStr">
        <is>
          <t>Provider of a drone management platform. The company has developed a cloud-based UTM (Unmanned air Traffic Management) platform that allows the integration of low flying drones into the aviation system and provides equivalent level of safety in comparison with manned aviation.</t>
        </is>
      </c>
      <c r="G480" s="145" t="inlineStr">
        <is>
          <t>Information Technology</t>
        </is>
      </c>
      <c r="H480" s="146" t="inlineStr">
        <is>
          <t>Software</t>
        </is>
      </c>
      <c r="I480" s="147" t="inlineStr">
        <is>
          <t>Social/Platform Software</t>
        </is>
      </c>
      <c r="J480" s="148" t="inlineStr">
        <is>
          <t>Social/Platform Software*; Aerospace and Defense; Automation/Workflow Software</t>
        </is>
      </c>
      <c r="K480" s="149" t="inlineStr">
        <is>
          <t>Robotics and Drones, SaaS</t>
        </is>
      </c>
      <c r="L480" s="150" t="inlineStr">
        <is>
          <t>Venture Capital-Backed</t>
        </is>
      </c>
      <c r="M480" s="151" t="n">
        <v>6.3</v>
      </c>
      <c r="N480" s="152" t="inlineStr">
        <is>
          <t>Generating Revenue</t>
        </is>
      </c>
      <c r="O480" s="153" t="inlineStr">
        <is>
          <t>Privately Held (backing)</t>
        </is>
      </c>
      <c r="P480" s="154" t="inlineStr">
        <is>
          <t>Venture Capital</t>
        </is>
      </c>
      <c r="Q480" s="155" t="inlineStr">
        <is>
          <t>www.unifly.aero</t>
        </is>
      </c>
      <c r="R480" s="156" t="n">
        <v>12.0</v>
      </c>
      <c r="S480" s="157" t="inlineStr">
        <is>
          <t/>
        </is>
      </c>
      <c r="T480" s="158" t="inlineStr">
        <is>
          <t/>
        </is>
      </c>
      <c r="U480" s="159" t="n">
        <v>2015.0</v>
      </c>
      <c r="V480" s="160" t="inlineStr">
        <is>
          <t/>
        </is>
      </c>
      <c r="W480" s="161" t="inlineStr">
        <is>
          <t/>
        </is>
      </c>
      <c r="X480" s="162" t="inlineStr">
        <is>
          <t/>
        </is>
      </c>
      <c r="Y480" s="163" t="inlineStr">
        <is>
          <t/>
        </is>
      </c>
      <c r="Z480" s="164" t="inlineStr">
        <is>
          <t/>
        </is>
      </c>
      <c r="AA480" s="165" t="inlineStr">
        <is>
          <t/>
        </is>
      </c>
      <c r="AB480" s="166" t="inlineStr">
        <is>
          <t/>
        </is>
      </c>
      <c r="AC480" s="167" t="inlineStr">
        <is>
          <t/>
        </is>
      </c>
      <c r="AD480" s="168" t="inlineStr">
        <is>
          <t/>
        </is>
      </c>
      <c r="AE480" s="169" t="inlineStr">
        <is>
          <t>130124-71P</t>
        </is>
      </c>
      <c r="AF480" s="170" t="inlineStr">
        <is>
          <t>Koen Meuleman</t>
        </is>
      </c>
      <c r="AG480" s="171" t="inlineStr">
        <is>
          <t>Chief Financial Officer</t>
        </is>
      </c>
      <c r="AH480" s="172" t="inlineStr">
        <is>
          <t>koen.meuleman@unifly.aero</t>
        </is>
      </c>
      <c r="AI480" s="173" t="inlineStr">
        <is>
          <t>+32 (0)3 446 01 00</t>
        </is>
      </c>
      <c r="AJ480" s="174" t="inlineStr">
        <is>
          <t>Antwerp, Belgium</t>
        </is>
      </c>
      <c r="AK480" s="175" t="inlineStr">
        <is>
          <t>Antwerp Airport Business Center</t>
        </is>
      </c>
      <c r="AL480" s="176" t="inlineStr">
        <is>
          <t>Luchthavenlei 7A Unit 6</t>
        </is>
      </c>
      <c r="AM480" s="177" t="inlineStr">
        <is>
          <t>Antwerp</t>
        </is>
      </c>
      <c r="AN480" s="178" t="inlineStr">
        <is>
          <t/>
        </is>
      </c>
      <c r="AO480" s="179" t="inlineStr">
        <is>
          <t>2100</t>
        </is>
      </c>
      <c r="AP480" s="180" t="inlineStr">
        <is>
          <t>Belgium</t>
        </is>
      </c>
      <c r="AQ480" s="181" t="inlineStr">
        <is>
          <t>+32 (0)3 446 01 00</t>
        </is>
      </c>
      <c r="AR480" s="182" t="inlineStr">
        <is>
          <t>+32 (0)3 446 01 09</t>
        </is>
      </c>
      <c r="AS480" s="183" t="inlineStr">
        <is>
          <t>info@unifly.aero</t>
        </is>
      </c>
      <c r="AT480" s="184" t="inlineStr">
        <is>
          <t>Europe</t>
        </is>
      </c>
      <c r="AU480" s="185" t="inlineStr">
        <is>
          <t>Western Europe</t>
        </is>
      </c>
      <c r="AV480" s="186" t="inlineStr">
        <is>
          <t>The company raised EUR 5 million of Series A venture funding from Terra Drone, QBIC Fund and Participatiemaatschappij Vlaanderen on November 21, 2016. The company will use the funding to accelerate development of its UTM and drone operations management software, and establish an international sales organization. In July, the company raised EUR 1.2 million of venture funding from QBIC Fund and Participatiemaatschappij Vlaanderen.</t>
        </is>
      </c>
      <c r="AW480" s="187" t="inlineStr">
        <is>
          <t>ParticipatieMaatschappij Vlaanderen, Qbic Fund, Terra Motors</t>
        </is>
      </c>
      <c r="AX480" s="188" t="n">
        <v>3.0</v>
      </c>
      <c r="AY480" s="189" t="inlineStr">
        <is>
          <t/>
        </is>
      </c>
      <c r="AZ480" s="190" t="inlineStr">
        <is>
          <t/>
        </is>
      </c>
      <c r="BA480" s="191" t="inlineStr">
        <is>
          <t/>
        </is>
      </c>
      <c r="BB480" s="192" t="inlineStr">
        <is>
          <t>ParticipatieMaatschappij Vlaanderen (www.pmv.eu), Qbic Fund (www.qbic.be), Terra Motors (www.terra-motors.com)</t>
        </is>
      </c>
      <c r="BC480" s="193" t="inlineStr">
        <is>
          <t/>
        </is>
      </c>
      <c r="BD480" s="194" t="inlineStr">
        <is>
          <t/>
        </is>
      </c>
      <c r="BE480" s="195" t="inlineStr">
        <is>
          <t/>
        </is>
      </c>
      <c r="BF480" s="196" t="inlineStr">
        <is>
          <t/>
        </is>
      </c>
      <c r="BG480" s="197" t="n">
        <v>42566.0</v>
      </c>
      <c r="BH480" s="198" t="n">
        <v>1.3</v>
      </c>
      <c r="BI480" s="199" t="inlineStr">
        <is>
          <t>Actual</t>
        </is>
      </c>
      <c r="BJ480" s="200" t="inlineStr">
        <is>
          <t/>
        </is>
      </c>
      <c r="BK480" s="201" t="inlineStr">
        <is>
          <t/>
        </is>
      </c>
      <c r="BL480" s="202" t="inlineStr">
        <is>
          <t>Early Stage VC</t>
        </is>
      </c>
      <c r="BM480" s="203" t="inlineStr">
        <is>
          <t/>
        </is>
      </c>
      <c r="BN480" s="204" t="inlineStr">
        <is>
          <t/>
        </is>
      </c>
      <c r="BO480" s="205" t="inlineStr">
        <is>
          <t>Venture Capital</t>
        </is>
      </c>
      <c r="BP480" s="206" t="inlineStr">
        <is>
          <t/>
        </is>
      </c>
      <c r="BQ480" s="207" t="inlineStr">
        <is>
          <t/>
        </is>
      </c>
      <c r="BR480" s="208" t="inlineStr">
        <is>
          <t/>
        </is>
      </c>
      <c r="BS480" s="209" t="inlineStr">
        <is>
          <t>Completed</t>
        </is>
      </c>
      <c r="BT480" s="210" t="n">
        <v>42691.0</v>
      </c>
      <c r="BU480" s="211" t="n">
        <v>5.0</v>
      </c>
      <c r="BV480" s="212" t="inlineStr">
        <is>
          <t>Actual</t>
        </is>
      </c>
      <c r="BW480" s="213" t="inlineStr">
        <is>
          <t/>
        </is>
      </c>
      <c r="BX480" s="214" t="inlineStr">
        <is>
          <t/>
        </is>
      </c>
      <c r="BY480" s="215" t="inlineStr">
        <is>
          <t>Early Stage VC</t>
        </is>
      </c>
      <c r="BZ480" s="216" t="inlineStr">
        <is>
          <t>Series A</t>
        </is>
      </c>
      <c r="CA480" s="217" t="inlineStr">
        <is>
          <t/>
        </is>
      </c>
      <c r="CB480" s="218" t="inlineStr">
        <is>
          <t>Venture Capital</t>
        </is>
      </c>
      <c r="CC480" s="219" t="inlineStr">
        <is>
          <t/>
        </is>
      </c>
      <c r="CD480" s="220" t="inlineStr">
        <is>
          <t/>
        </is>
      </c>
      <c r="CE480" s="221" t="inlineStr">
        <is>
          <t/>
        </is>
      </c>
      <c r="CF480" s="222" t="inlineStr">
        <is>
          <t>Completed</t>
        </is>
      </c>
      <c r="CG480" s="223" t="inlineStr">
        <is>
          <t>2,05%</t>
        </is>
      </c>
      <c r="CH480" s="224" t="inlineStr">
        <is>
          <t>94</t>
        </is>
      </c>
      <c r="CI480" s="225" t="inlineStr">
        <is>
          <t>0,01%</t>
        </is>
      </c>
      <c r="CJ480" s="226" t="inlineStr">
        <is>
          <t>0,44%</t>
        </is>
      </c>
      <c r="CK480" s="227" t="inlineStr">
        <is>
          <t>3,31%</t>
        </is>
      </c>
      <c r="CL480" s="228" t="inlineStr">
        <is>
          <t>94</t>
        </is>
      </c>
      <c r="CM480" s="229" t="inlineStr">
        <is>
          <t>0,80%</t>
        </is>
      </c>
      <c r="CN480" s="230" t="inlineStr">
        <is>
          <t>94</t>
        </is>
      </c>
      <c r="CO480" s="231" t="inlineStr">
        <is>
          <t>6,62%</t>
        </is>
      </c>
      <c r="CP480" s="232" t="inlineStr">
        <is>
          <t>98</t>
        </is>
      </c>
      <c r="CQ480" s="233" t="inlineStr">
        <is>
          <t>0,00%</t>
        </is>
      </c>
      <c r="CR480" s="234" t="inlineStr">
        <is>
          <t>13</t>
        </is>
      </c>
      <c r="CS480" s="235" t="inlineStr">
        <is>
          <t>0,63%</t>
        </is>
      </c>
      <c r="CT480" s="236" t="inlineStr">
        <is>
          <t>90</t>
        </is>
      </c>
      <c r="CU480" s="237" t="inlineStr">
        <is>
          <t>0,96%</t>
        </is>
      </c>
      <c r="CV480" s="238" t="inlineStr">
        <is>
          <t>97</t>
        </is>
      </c>
      <c r="CW480" s="239" t="inlineStr">
        <is>
          <t>1,52x</t>
        </is>
      </c>
      <c r="CX480" s="240" t="inlineStr">
        <is>
          <t>58</t>
        </is>
      </c>
      <c r="CY480" s="241" t="inlineStr">
        <is>
          <t>0,03x</t>
        </is>
      </c>
      <c r="CZ480" s="242" t="inlineStr">
        <is>
          <t>1,81%</t>
        </is>
      </c>
      <c r="DA480" s="243" t="inlineStr">
        <is>
          <t>2,19x</t>
        </is>
      </c>
      <c r="DB480" s="244" t="inlineStr">
        <is>
          <t>68</t>
        </is>
      </c>
      <c r="DC480" s="245" t="inlineStr">
        <is>
          <t>0,84x</t>
        </is>
      </c>
      <c r="DD480" s="246" t="inlineStr">
        <is>
          <t>45</t>
        </is>
      </c>
      <c r="DE480" s="247" t="inlineStr">
        <is>
          <t>2,43x</t>
        </is>
      </c>
      <c r="DF480" s="248" t="inlineStr">
        <is>
          <t>67</t>
        </is>
      </c>
      <c r="DG480" s="249" t="inlineStr">
        <is>
          <t>1,94x</t>
        </is>
      </c>
      <c r="DH480" s="250" t="inlineStr">
        <is>
          <t>64</t>
        </is>
      </c>
      <c r="DI480" s="251" t="inlineStr">
        <is>
          <t>0,64x</t>
        </is>
      </c>
      <c r="DJ480" s="252" t="inlineStr">
        <is>
          <t>43</t>
        </is>
      </c>
      <c r="DK480" s="253" t="inlineStr">
        <is>
          <t>1,05x</t>
        </is>
      </c>
      <c r="DL480" s="254" t="inlineStr">
        <is>
          <t>51</t>
        </is>
      </c>
      <c r="DM480" s="255" t="inlineStr">
        <is>
          <t>1.539</t>
        </is>
      </c>
      <c r="DN480" s="256" t="inlineStr">
        <is>
          <t>-132</t>
        </is>
      </c>
      <c r="DO480" s="257" t="inlineStr">
        <is>
          <t>-7,90%</t>
        </is>
      </c>
      <c r="DP480" s="258" t="inlineStr">
        <is>
          <t>510</t>
        </is>
      </c>
      <c r="DQ480" s="259" t="inlineStr">
        <is>
          <t>1</t>
        </is>
      </c>
      <c r="DR480" s="260" t="inlineStr">
        <is>
          <t>0,20%</t>
        </is>
      </c>
      <c r="DS480" s="261" t="inlineStr">
        <is>
          <t>70</t>
        </is>
      </c>
      <c r="DT480" s="262" t="inlineStr">
        <is>
          <t>0</t>
        </is>
      </c>
      <c r="DU480" s="263" t="inlineStr">
        <is>
          <t>0,00%</t>
        </is>
      </c>
      <c r="DV480" s="264" t="inlineStr">
        <is>
          <t>356</t>
        </is>
      </c>
      <c r="DW480" s="265" t="inlineStr">
        <is>
          <t>5</t>
        </is>
      </c>
      <c r="DX480" s="266" t="inlineStr">
        <is>
          <t>1,42%</t>
        </is>
      </c>
      <c r="DY480" s="267" t="inlineStr">
        <is>
          <t>PitchBook Research</t>
        </is>
      </c>
      <c r="DZ480" s="786">
        <f>HYPERLINK("https://my.pitchbook.com?c=155235-97", "View company online")</f>
      </c>
    </row>
    <row r="481">
      <c r="A481" s="9" t="inlineStr">
        <is>
          <t>110195-65</t>
        </is>
      </c>
      <c r="B481" s="10" t="inlineStr">
        <is>
          <t>Unilend</t>
        </is>
      </c>
      <c r="C481" s="11" t="inlineStr">
        <is>
          <t/>
        </is>
      </c>
      <c r="D481" s="12" t="inlineStr">
        <is>
          <t/>
        </is>
      </c>
      <c r="E481" s="13" t="inlineStr">
        <is>
          <t>110195-65</t>
        </is>
      </c>
      <c r="F481" s="14" t="inlineStr">
        <is>
          <t>Provider of a peer-to-peer crowdlending platform. The company offers an online platform that enables small medium enterprises to receive debt financing multiple individuals or organizations.</t>
        </is>
      </c>
      <c r="G481" s="15" t="inlineStr">
        <is>
          <t>Information Technology</t>
        </is>
      </c>
      <c r="H481" s="16" t="inlineStr">
        <is>
          <t>Software</t>
        </is>
      </c>
      <c r="I481" s="17" t="inlineStr">
        <is>
          <t>Financial Software</t>
        </is>
      </c>
      <c r="J481" s="18" t="inlineStr">
        <is>
          <t>Financial Software*; Social/Platform Software</t>
        </is>
      </c>
      <c r="K481" s="19" t="inlineStr">
        <is>
          <t/>
        </is>
      </c>
      <c r="L481" s="20" t="inlineStr">
        <is>
          <t>Venture Capital-Backed</t>
        </is>
      </c>
      <c r="M481" s="21" t="n">
        <v>10.5</v>
      </c>
      <c r="N481" s="22" t="inlineStr">
        <is>
          <t>Startup</t>
        </is>
      </c>
      <c r="O481" s="23" t="inlineStr">
        <is>
          <t>Privately Held (backing)</t>
        </is>
      </c>
      <c r="P481" s="24" t="inlineStr">
        <is>
          <t>Venture Capital</t>
        </is>
      </c>
      <c r="Q481" s="25" t="inlineStr">
        <is>
          <t>www.unilend.fr</t>
        </is>
      </c>
      <c r="R481" s="26" t="n">
        <v>15.0</v>
      </c>
      <c r="S481" s="27" t="inlineStr">
        <is>
          <t/>
        </is>
      </c>
      <c r="T481" s="28" t="inlineStr">
        <is>
          <t/>
        </is>
      </c>
      <c r="U481" s="29" t="n">
        <v>2013.0</v>
      </c>
      <c r="V481" s="30" t="inlineStr">
        <is>
          <t/>
        </is>
      </c>
      <c r="W481" s="31" t="inlineStr">
        <is>
          <t/>
        </is>
      </c>
      <c r="X481" s="32" t="inlineStr">
        <is>
          <t/>
        </is>
      </c>
      <c r="Y481" s="33" t="inlineStr">
        <is>
          <t/>
        </is>
      </c>
      <c r="Z481" s="34" t="inlineStr">
        <is>
          <t/>
        </is>
      </c>
      <c r="AA481" s="35" t="inlineStr">
        <is>
          <t/>
        </is>
      </c>
      <c r="AB481" s="36" t="inlineStr">
        <is>
          <t/>
        </is>
      </c>
      <c r="AC481" s="37" t="inlineStr">
        <is>
          <t/>
        </is>
      </c>
      <c r="AD481" s="38" t="inlineStr">
        <is>
          <t/>
        </is>
      </c>
      <c r="AE481" s="39" t="inlineStr">
        <is>
          <t>95932-54P</t>
        </is>
      </c>
      <c r="AF481" s="40" t="inlineStr">
        <is>
          <t>Nicolas Lesur</t>
        </is>
      </c>
      <c r="AG481" s="41" t="inlineStr">
        <is>
          <t>Chief Executive Officer &amp; Co-Fondateur</t>
        </is>
      </c>
      <c r="AH481" s="42" t="inlineStr">
        <is>
          <t>nicolas.lesur@unilend.fr</t>
        </is>
      </c>
      <c r="AI481" s="43" t="inlineStr">
        <is>
          <t>+33 (0)1 82 28 51 20</t>
        </is>
      </c>
      <c r="AJ481" s="44" t="inlineStr">
        <is>
          <t>Paris, France</t>
        </is>
      </c>
      <c r="AK481" s="45" t="inlineStr">
        <is>
          <t>6 rue du Général Clergerie</t>
        </is>
      </c>
      <c r="AL481" s="46" t="inlineStr">
        <is>
          <t/>
        </is>
      </c>
      <c r="AM481" s="47" t="inlineStr">
        <is>
          <t>Paris</t>
        </is>
      </c>
      <c r="AN481" s="48" t="inlineStr">
        <is>
          <t/>
        </is>
      </c>
      <c r="AO481" s="49" t="inlineStr">
        <is>
          <t>75116</t>
        </is>
      </c>
      <c r="AP481" s="50" t="inlineStr">
        <is>
          <t>France</t>
        </is>
      </c>
      <c r="AQ481" s="51" t="inlineStr">
        <is>
          <t>+33 (0)1 82 28 51 20</t>
        </is>
      </c>
      <c r="AR481" s="52" t="inlineStr">
        <is>
          <t/>
        </is>
      </c>
      <c r="AS481" s="53" t="inlineStr">
        <is>
          <t>contact@unilend.fr</t>
        </is>
      </c>
      <c r="AT481" s="54" t="inlineStr">
        <is>
          <t>Europe</t>
        </is>
      </c>
      <c r="AU481" s="55" t="inlineStr">
        <is>
          <t>Western Europe</t>
        </is>
      </c>
      <c r="AV481" s="56" t="inlineStr">
        <is>
          <t>The company raised EUR 2.5 million of venture funding from New Alpha Asset Management on September 12, 2016.</t>
        </is>
      </c>
      <c r="AW481" s="57" t="inlineStr">
        <is>
          <t>360 Capital Partners, Bpifrance, New Alpha Asset Management, Ventech</t>
        </is>
      </c>
      <c r="AX481" s="58" t="n">
        <v>4.0</v>
      </c>
      <c r="AY481" s="59" t="inlineStr">
        <is>
          <t/>
        </is>
      </c>
      <c r="AZ481" s="60" t="inlineStr">
        <is>
          <t/>
        </is>
      </c>
      <c r="BA481" s="61" t="inlineStr">
        <is>
          <t/>
        </is>
      </c>
      <c r="BB481" s="62" t="inlineStr">
        <is>
          <t>360 Capital Partners (www.360capitalpartners.com), Bpifrance (www.bpifrance.fr), New Alpha Asset Management (www.newalpha.net), Ventech (www.ventechvc.com)</t>
        </is>
      </c>
      <c r="BC481" s="63" t="inlineStr">
        <is>
          <t/>
        </is>
      </c>
      <c r="BD481" s="64" t="inlineStr">
        <is>
          <t/>
        </is>
      </c>
      <c r="BE481" s="65" t="inlineStr">
        <is>
          <t/>
        </is>
      </c>
      <c r="BF481" s="66" t="inlineStr">
        <is>
          <t>Rothschild &amp; Cie Gestion (Advisor)</t>
        </is>
      </c>
      <c r="BG481" s="67" t="n">
        <v>42079.0</v>
      </c>
      <c r="BH481" s="68" t="n">
        <v>8.0</v>
      </c>
      <c r="BI481" s="69" t="inlineStr">
        <is>
          <t>Actual</t>
        </is>
      </c>
      <c r="BJ481" s="70" t="inlineStr">
        <is>
          <t/>
        </is>
      </c>
      <c r="BK481" s="71" t="inlineStr">
        <is>
          <t/>
        </is>
      </c>
      <c r="BL481" s="72" t="inlineStr">
        <is>
          <t>Early Stage VC</t>
        </is>
      </c>
      <c r="BM481" s="73" t="inlineStr">
        <is>
          <t/>
        </is>
      </c>
      <c r="BN481" s="74" t="inlineStr">
        <is>
          <t/>
        </is>
      </c>
      <c r="BO481" s="75" t="inlineStr">
        <is>
          <t>Venture Capital</t>
        </is>
      </c>
      <c r="BP481" s="76" t="inlineStr">
        <is>
          <t/>
        </is>
      </c>
      <c r="BQ481" s="77" t="inlineStr">
        <is>
          <t/>
        </is>
      </c>
      <c r="BR481" s="78" t="inlineStr">
        <is>
          <t/>
        </is>
      </c>
      <c r="BS481" s="79" t="inlineStr">
        <is>
          <t>Completed</t>
        </is>
      </c>
      <c r="BT481" s="80" t="n">
        <v>42625.0</v>
      </c>
      <c r="BU481" s="81" t="n">
        <v>2.5</v>
      </c>
      <c r="BV481" s="82" t="inlineStr">
        <is>
          <t>Actual</t>
        </is>
      </c>
      <c r="BW481" s="83" t="inlineStr">
        <is>
          <t/>
        </is>
      </c>
      <c r="BX481" s="84" t="inlineStr">
        <is>
          <t/>
        </is>
      </c>
      <c r="BY481" s="85" t="inlineStr">
        <is>
          <t>Early Stage VC</t>
        </is>
      </c>
      <c r="BZ481" s="86" t="inlineStr">
        <is>
          <t/>
        </is>
      </c>
      <c r="CA481" s="87" t="inlineStr">
        <is>
          <t/>
        </is>
      </c>
      <c r="CB481" s="88" t="inlineStr">
        <is>
          <t>Venture Capital</t>
        </is>
      </c>
      <c r="CC481" s="89" t="inlineStr">
        <is>
          <t/>
        </is>
      </c>
      <c r="CD481" s="90" t="inlineStr">
        <is>
          <t/>
        </is>
      </c>
      <c r="CE481" s="91" t="inlineStr">
        <is>
          <t/>
        </is>
      </c>
      <c r="CF481" s="92" t="inlineStr">
        <is>
          <t>Completed</t>
        </is>
      </c>
      <c r="CG481" s="93" t="inlineStr">
        <is>
          <t>0,29%</t>
        </is>
      </c>
      <c r="CH481" s="94" t="inlineStr">
        <is>
          <t>80</t>
        </is>
      </c>
      <c r="CI481" s="95" t="inlineStr">
        <is>
          <t>-0,03%</t>
        </is>
      </c>
      <c r="CJ481" s="96" t="inlineStr">
        <is>
          <t>-8,55%</t>
        </is>
      </c>
      <c r="CK481" s="97" t="inlineStr">
        <is>
          <t>0,24%</t>
        </is>
      </c>
      <c r="CL481" s="98" t="inlineStr">
        <is>
          <t>82</t>
        </is>
      </c>
      <c r="CM481" s="99" t="inlineStr">
        <is>
          <t>0,35%</t>
        </is>
      </c>
      <c r="CN481" s="100" t="inlineStr">
        <is>
          <t>84</t>
        </is>
      </c>
      <c r="CO481" s="101" t="inlineStr">
        <is>
          <t>0,47%</t>
        </is>
      </c>
      <c r="CP481" s="102" t="inlineStr">
        <is>
          <t>82</t>
        </is>
      </c>
      <c r="CQ481" s="103" t="inlineStr">
        <is>
          <t>0,00%</t>
        </is>
      </c>
      <c r="CR481" s="104" t="inlineStr">
        <is>
          <t>13</t>
        </is>
      </c>
      <c r="CS481" s="105" t="inlineStr">
        <is>
          <t>0,68%</t>
        </is>
      </c>
      <c r="CT481" s="106" t="inlineStr">
        <is>
          <t>91</t>
        </is>
      </c>
      <c r="CU481" s="107" t="inlineStr">
        <is>
          <t>0,02%</t>
        </is>
      </c>
      <c r="CV481" s="108" t="inlineStr">
        <is>
          <t>57</t>
        </is>
      </c>
      <c r="CW481" s="109" t="inlineStr">
        <is>
          <t>17,55x</t>
        </is>
      </c>
      <c r="CX481" s="110" t="inlineStr">
        <is>
          <t>91</t>
        </is>
      </c>
      <c r="CY481" s="111" t="inlineStr">
        <is>
          <t>0,16x</t>
        </is>
      </c>
      <c r="CZ481" s="112" t="inlineStr">
        <is>
          <t>0,89%</t>
        </is>
      </c>
      <c r="DA481" s="113" t="inlineStr">
        <is>
          <t>24,19x</t>
        </is>
      </c>
      <c r="DB481" s="114" t="inlineStr">
        <is>
          <t>93</t>
        </is>
      </c>
      <c r="DC481" s="115" t="inlineStr">
        <is>
          <t>10,91x</t>
        </is>
      </c>
      <c r="DD481" s="116" t="inlineStr">
        <is>
          <t>85</t>
        </is>
      </c>
      <c r="DE481" s="117" t="inlineStr">
        <is>
          <t>38,68x</t>
        </is>
      </c>
      <c r="DF481" s="118" t="inlineStr">
        <is>
          <t>92</t>
        </is>
      </c>
      <c r="DG481" s="119" t="inlineStr">
        <is>
          <t>9,69x</t>
        </is>
      </c>
      <c r="DH481" s="120" t="inlineStr">
        <is>
          <t>86</t>
        </is>
      </c>
      <c r="DI481" s="121" t="inlineStr">
        <is>
          <t>5,44x</t>
        </is>
      </c>
      <c r="DJ481" s="122" t="inlineStr">
        <is>
          <t>76</t>
        </is>
      </c>
      <c r="DK481" s="123" t="inlineStr">
        <is>
          <t>16,38x</t>
        </is>
      </c>
      <c r="DL481" s="124" t="inlineStr">
        <is>
          <t>90</t>
        </is>
      </c>
      <c r="DM481" s="125" t="inlineStr">
        <is>
          <t>23.682</t>
        </is>
      </c>
      <c r="DN481" s="126" t="inlineStr">
        <is>
          <t>315</t>
        </is>
      </c>
      <c r="DO481" s="127" t="inlineStr">
        <is>
          <t>1,35%</t>
        </is>
      </c>
      <c r="DP481" s="128" t="inlineStr">
        <is>
          <t>4.339</t>
        </is>
      </c>
      <c r="DQ481" s="129" t="inlineStr">
        <is>
          <t>21</t>
        </is>
      </c>
      <c r="DR481" s="130" t="inlineStr">
        <is>
          <t>0,49%</t>
        </is>
      </c>
      <c r="DS481" s="131" t="inlineStr">
        <is>
          <t>350</t>
        </is>
      </c>
      <c r="DT481" s="132" t="inlineStr">
        <is>
          <t>-3</t>
        </is>
      </c>
      <c r="DU481" s="133" t="inlineStr">
        <is>
          <t>-0,85%</t>
        </is>
      </c>
      <c r="DV481" s="134" t="inlineStr">
        <is>
          <t>5.619</t>
        </is>
      </c>
      <c r="DW481" s="135" t="inlineStr">
        <is>
          <t>0</t>
        </is>
      </c>
      <c r="DX481" s="136" t="inlineStr">
        <is>
          <t>0,00%</t>
        </is>
      </c>
      <c r="DY481" s="137" t="inlineStr">
        <is>
          <t>PitchBook Research</t>
        </is>
      </c>
      <c r="DZ481" s="785">
        <f>HYPERLINK("https://my.pitchbook.com?c=110195-65", "View company online")</f>
      </c>
    </row>
    <row r="482">
      <c r="A482" s="139" t="inlineStr">
        <is>
          <t>102648-07</t>
        </is>
      </c>
      <c r="B482" s="140" t="inlineStr">
        <is>
          <t>Universal Avenue</t>
        </is>
      </c>
      <c r="C482" s="141" t="inlineStr">
        <is>
          <t/>
        </is>
      </c>
      <c r="D482" s="142" t="inlineStr">
        <is>
          <t/>
        </is>
      </c>
      <c r="E482" s="143" t="inlineStr">
        <is>
          <t>102648-07</t>
        </is>
      </c>
      <c r="F482" s="144" t="inlineStr">
        <is>
          <t>Provider of a customer acquisition tool. The company allows other companies access to an on-demand workforce of trained freelance brand ambassadors who can go out and sell their product for them.</t>
        </is>
      </c>
      <c r="G482" s="145" t="inlineStr">
        <is>
          <t>Business Products and Services (B2B)</t>
        </is>
      </c>
      <c r="H482" s="146" t="inlineStr">
        <is>
          <t>Commercial Services</t>
        </is>
      </c>
      <c r="I482" s="147" t="inlineStr">
        <is>
          <t>Other Commercial Services</t>
        </is>
      </c>
      <c r="J482" s="148" t="inlineStr">
        <is>
          <t>Other Commercial Services*; Media and Information Services (B2B)</t>
        </is>
      </c>
      <c r="K482" s="149" t="inlineStr">
        <is>
          <t/>
        </is>
      </c>
      <c r="L482" s="150" t="inlineStr">
        <is>
          <t>Venture Capital-Backed</t>
        </is>
      </c>
      <c r="M482" s="151" t="n">
        <v>15.0</v>
      </c>
      <c r="N482" s="152" t="inlineStr">
        <is>
          <t>Generating Revenue/Not Profitable</t>
        </is>
      </c>
      <c r="O482" s="153" t="inlineStr">
        <is>
          <t>Privately Held (backing)</t>
        </is>
      </c>
      <c r="P482" s="154" t="inlineStr">
        <is>
          <t>Venture Capital, M&amp;A</t>
        </is>
      </c>
      <c r="Q482" s="155" t="inlineStr">
        <is>
          <t>www.universalavenue.com</t>
        </is>
      </c>
      <c r="R482" s="156" t="n">
        <v>44.0</v>
      </c>
      <c r="S482" s="157" t="inlineStr">
        <is>
          <t/>
        </is>
      </c>
      <c r="T482" s="158" t="inlineStr">
        <is>
          <t/>
        </is>
      </c>
      <c r="U482" s="159" t="n">
        <v>2014.0</v>
      </c>
      <c r="V482" s="160" t="inlineStr">
        <is>
          <t/>
        </is>
      </c>
      <c r="W482" s="161" t="inlineStr">
        <is>
          <t/>
        </is>
      </c>
      <c r="X482" s="162" t="inlineStr">
        <is>
          <t/>
        </is>
      </c>
      <c r="Y482" s="163" t="inlineStr">
        <is>
          <t/>
        </is>
      </c>
      <c r="Z482" s="164" t="inlineStr">
        <is>
          <t/>
        </is>
      </c>
      <c r="AA482" s="165" t="inlineStr">
        <is>
          <t/>
        </is>
      </c>
      <c r="AB482" s="166" t="inlineStr">
        <is>
          <t/>
        </is>
      </c>
      <c r="AC482" s="167" t="n">
        <v>-0.19481</v>
      </c>
      <c r="AD482" s="168" t="inlineStr">
        <is>
          <t>FY 2014</t>
        </is>
      </c>
      <c r="AE482" s="169" t="inlineStr">
        <is>
          <t>99132-76P</t>
        </is>
      </c>
      <c r="AF482" s="170" t="inlineStr">
        <is>
          <t>Petter Hederstedt</t>
        </is>
      </c>
      <c r="AG482" s="171" t="inlineStr">
        <is>
          <t>Co-Founder, Executive Vice President &amp; Vice President of Brands</t>
        </is>
      </c>
      <c r="AH482" s="172" t="inlineStr">
        <is>
          <t>petter@universalavenue.com</t>
        </is>
      </c>
      <c r="AI482" s="173" t="inlineStr">
        <is>
          <t/>
        </is>
      </c>
      <c r="AJ482" s="174" t="inlineStr">
        <is>
          <t>Stockholm, Sweden</t>
        </is>
      </c>
      <c r="AK482" s="175" t="inlineStr">
        <is>
          <t>Danderydsgatan 27</t>
        </is>
      </c>
      <c r="AL482" s="176" t="inlineStr">
        <is>
          <t/>
        </is>
      </c>
      <c r="AM482" s="177" t="inlineStr">
        <is>
          <t>Stockholm</t>
        </is>
      </c>
      <c r="AN482" s="178" t="inlineStr">
        <is>
          <t/>
        </is>
      </c>
      <c r="AO482" s="179" t="inlineStr">
        <is>
          <t>114 26</t>
        </is>
      </c>
      <c r="AP482" s="180" t="inlineStr">
        <is>
          <t>Sweden</t>
        </is>
      </c>
      <c r="AQ482" s="181" t="inlineStr">
        <is>
          <t/>
        </is>
      </c>
      <c r="AR482" s="182" t="inlineStr">
        <is>
          <t/>
        </is>
      </c>
      <c r="AS482" s="183" t="inlineStr">
        <is>
          <t>email@universalavenue.com</t>
        </is>
      </c>
      <c r="AT482" s="184" t="inlineStr">
        <is>
          <t>Europe</t>
        </is>
      </c>
      <c r="AU482" s="185" t="inlineStr">
        <is>
          <t>Northern Europe</t>
        </is>
      </c>
      <c r="AV482" s="186" t="inlineStr">
        <is>
          <t>The company raised $10 million of Series A venture funding from lead investor Eight Roads on July 12, 2016. Northzone, Salesforce Ventures and MOOR also participated. The company will use funds to further expand global operations. Previously the company raised $5 million of seed funding led by Northzone on August 31, 2015.</t>
        </is>
      </c>
      <c r="AW482" s="187" t="inlineStr">
        <is>
          <t>Eight Roads Ventures, MOOR Capital, Northzone Ventures, Salesforce Ventures</t>
        </is>
      </c>
      <c r="AX482" s="188" t="n">
        <v>4.0</v>
      </c>
      <c r="AY482" s="189" t="inlineStr">
        <is>
          <t/>
        </is>
      </c>
      <c r="AZ482" s="190" t="inlineStr">
        <is>
          <t/>
        </is>
      </c>
      <c r="BA482" s="191" t="inlineStr">
        <is>
          <t/>
        </is>
      </c>
      <c r="BB482" s="192" t="inlineStr">
        <is>
          <t>Eight Roads Ventures (www.eightroads.com), MOOR Capital (www.moorcap.com), Northzone Ventures (www.northzone.com)</t>
        </is>
      </c>
      <c r="BC482" s="193" t="inlineStr">
        <is>
          <t/>
        </is>
      </c>
      <c r="BD482" s="194" t="inlineStr">
        <is>
          <t/>
        </is>
      </c>
      <c r="BE482" s="195" t="inlineStr">
        <is>
          <t/>
        </is>
      </c>
      <c r="BF482" s="196" t="inlineStr">
        <is>
          <t>Synch Advokat (Legal Advisor)</t>
        </is>
      </c>
      <c r="BG482" s="197" t="n">
        <v>41806.0</v>
      </c>
      <c r="BH482" s="198" t="n">
        <v>1.47</v>
      </c>
      <c r="BI482" s="199" t="inlineStr">
        <is>
          <t>Actual</t>
        </is>
      </c>
      <c r="BJ482" s="200" t="inlineStr">
        <is>
          <t/>
        </is>
      </c>
      <c r="BK482" s="201" t="inlineStr">
        <is>
          <t/>
        </is>
      </c>
      <c r="BL482" s="202" t="inlineStr">
        <is>
          <t>Seed Round</t>
        </is>
      </c>
      <c r="BM482" s="203" t="inlineStr">
        <is>
          <t>Seed</t>
        </is>
      </c>
      <c r="BN482" s="204" t="inlineStr">
        <is>
          <t/>
        </is>
      </c>
      <c r="BO482" s="205" t="inlineStr">
        <is>
          <t>Corporate</t>
        </is>
      </c>
      <c r="BP482" s="206" t="inlineStr">
        <is>
          <t/>
        </is>
      </c>
      <c r="BQ482" s="207" t="inlineStr">
        <is>
          <t/>
        </is>
      </c>
      <c r="BR482" s="208" t="inlineStr">
        <is>
          <t/>
        </is>
      </c>
      <c r="BS482" s="209" t="inlineStr">
        <is>
          <t>Completed</t>
        </is>
      </c>
      <c r="BT482" s="210" t="n">
        <v>42563.0</v>
      </c>
      <c r="BU482" s="211" t="n">
        <v>9.04</v>
      </c>
      <c r="BV482" s="212" t="inlineStr">
        <is>
          <t>Actual</t>
        </is>
      </c>
      <c r="BW482" s="213" t="inlineStr">
        <is>
          <t/>
        </is>
      </c>
      <c r="BX482" s="214" t="inlineStr">
        <is>
          <t/>
        </is>
      </c>
      <c r="BY482" s="215" t="inlineStr">
        <is>
          <t>Early Stage VC</t>
        </is>
      </c>
      <c r="BZ482" s="216" t="inlineStr">
        <is>
          <t>Series A</t>
        </is>
      </c>
      <c r="CA482" s="217" t="inlineStr">
        <is>
          <t/>
        </is>
      </c>
      <c r="CB482" s="218" t="inlineStr">
        <is>
          <t>Venture Capital</t>
        </is>
      </c>
      <c r="CC482" s="219" t="inlineStr">
        <is>
          <t/>
        </is>
      </c>
      <c r="CD482" s="220" t="inlineStr">
        <is>
          <t/>
        </is>
      </c>
      <c r="CE482" s="221" t="inlineStr">
        <is>
          <t/>
        </is>
      </c>
      <c r="CF482" s="222" t="inlineStr">
        <is>
          <t>Completed</t>
        </is>
      </c>
      <c r="CG482" s="223" t="inlineStr">
        <is>
          <t>-0,65%</t>
        </is>
      </c>
      <c r="CH482" s="224" t="inlineStr">
        <is>
          <t>7</t>
        </is>
      </c>
      <c r="CI482" s="225" t="inlineStr">
        <is>
          <t>-0,06%</t>
        </is>
      </c>
      <c r="CJ482" s="226" t="inlineStr">
        <is>
          <t>-10,84%</t>
        </is>
      </c>
      <c r="CK482" s="227" t="inlineStr">
        <is>
          <t>-1,25%</t>
        </is>
      </c>
      <c r="CL482" s="228" t="inlineStr">
        <is>
          <t>8</t>
        </is>
      </c>
      <c r="CM482" s="229" t="inlineStr">
        <is>
          <t>-0,06%</t>
        </is>
      </c>
      <c r="CN482" s="230" t="inlineStr">
        <is>
          <t>6</t>
        </is>
      </c>
      <c r="CO482" s="231" t="inlineStr">
        <is>
          <t>-2,10%</t>
        </is>
      </c>
      <c r="CP482" s="232" t="inlineStr">
        <is>
          <t>15</t>
        </is>
      </c>
      <c r="CQ482" s="233" t="inlineStr">
        <is>
          <t>-0,39%</t>
        </is>
      </c>
      <c r="CR482" s="234" t="inlineStr">
        <is>
          <t>8</t>
        </is>
      </c>
      <c r="CS482" s="235" t="inlineStr">
        <is>
          <t>-0,01%</t>
        </is>
      </c>
      <c r="CT482" s="236" t="inlineStr">
        <is>
          <t>15</t>
        </is>
      </c>
      <c r="CU482" s="237" t="inlineStr">
        <is>
          <t>-0,10%</t>
        </is>
      </c>
      <c r="CV482" s="238" t="inlineStr">
        <is>
          <t>6</t>
        </is>
      </c>
      <c r="CW482" s="239" t="inlineStr">
        <is>
          <t>4,47x</t>
        </is>
      </c>
      <c r="CX482" s="240" t="inlineStr">
        <is>
          <t>77</t>
        </is>
      </c>
      <c r="CY482" s="241" t="inlineStr">
        <is>
          <t>0,06x</t>
        </is>
      </c>
      <c r="CZ482" s="242" t="inlineStr">
        <is>
          <t>1,40%</t>
        </is>
      </c>
      <c r="DA482" s="243" t="inlineStr">
        <is>
          <t>3,76x</t>
        </is>
      </c>
      <c r="DB482" s="244" t="inlineStr">
        <is>
          <t>76</t>
        </is>
      </c>
      <c r="DC482" s="245" t="inlineStr">
        <is>
          <t>5,17x</t>
        </is>
      </c>
      <c r="DD482" s="246" t="inlineStr">
        <is>
          <t>76</t>
        </is>
      </c>
      <c r="DE482" s="247" t="inlineStr">
        <is>
          <t>4,08x</t>
        </is>
      </c>
      <c r="DF482" s="248" t="inlineStr">
        <is>
          <t>74</t>
        </is>
      </c>
      <c r="DG482" s="249" t="inlineStr">
        <is>
          <t>3,44x</t>
        </is>
      </c>
      <c r="DH482" s="250" t="inlineStr">
        <is>
          <t>73</t>
        </is>
      </c>
      <c r="DI482" s="251" t="inlineStr">
        <is>
          <t>6,88x</t>
        </is>
      </c>
      <c r="DJ482" s="252" t="inlineStr">
        <is>
          <t>78</t>
        </is>
      </c>
      <c r="DK482" s="253" t="inlineStr">
        <is>
          <t>3,47x</t>
        </is>
      </c>
      <c r="DL482" s="254" t="inlineStr">
        <is>
          <t>72</t>
        </is>
      </c>
      <c r="DM482" s="255" t="inlineStr">
        <is>
          <t>2.503</t>
        </is>
      </c>
      <c r="DN482" s="256" t="inlineStr">
        <is>
          <t>19</t>
        </is>
      </c>
      <c r="DO482" s="257" t="inlineStr">
        <is>
          <t>0,76%</t>
        </is>
      </c>
      <c r="DP482" s="258" t="inlineStr">
        <is>
          <t>5.496</t>
        </is>
      </c>
      <c r="DQ482" s="259" t="inlineStr">
        <is>
          <t>0</t>
        </is>
      </c>
      <c r="DR482" s="260" t="inlineStr">
        <is>
          <t>0,00%</t>
        </is>
      </c>
      <c r="DS482" s="261" t="inlineStr">
        <is>
          <t>124</t>
        </is>
      </c>
      <c r="DT482" s="262" t="inlineStr">
        <is>
          <t>-2</t>
        </is>
      </c>
      <c r="DU482" s="263" t="inlineStr">
        <is>
          <t>-1,59%</t>
        </is>
      </c>
      <c r="DV482" s="264" t="inlineStr">
        <is>
          <t>1.189</t>
        </is>
      </c>
      <c r="DW482" s="265" t="inlineStr">
        <is>
          <t>1</t>
        </is>
      </c>
      <c r="DX482" s="266" t="inlineStr">
        <is>
          <t>0,08%</t>
        </is>
      </c>
      <c r="DY482" s="267" t="inlineStr">
        <is>
          <t>PitchBook Research</t>
        </is>
      </c>
      <c r="DZ482" s="786">
        <f>HYPERLINK("https://my.pitchbook.com?c=102648-07", "View company online")</f>
      </c>
    </row>
    <row r="483">
      <c r="A483" s="9" t="inlineStr">
        <is>
          <t>98858-35</t>
        </is>
      </c>
      <c r="B483" s="10" t="inlineStr">
        <is>
          <t>Unomaly</t>
        </is>
      </c>
      <c r="C483" s="11" t="inlineStr">
        <is>
          <t/>
        </is>
      </c>
      <c r="D483" s="12" t="inlineStr">
        <is>
          <t/>
        </is>
      </c>
      <c r="E483" s="13" t="inlineStr">
        <is>
          <t>98858-35</t>
        </is>
      </c>
      <c r="F483" s="14" t="inlineStr">
        <is>
          <t>Operator of a platform for analysis of information technology operations. The company's platform enables users to monitor, detect and analyze data that IT systems, applications and infrastructures produce.</t>
        </is>
      </c>
      <c r="G483" s="15" t="inlineStr">
        <is>
          <t>Business Products and Services (B2B)</t>
        </is>
      </c>
      <c r="H483" s="16" t="inlineStr">
        <is>
          <t>Commercial Services</t>
        </is>
      </c>
      <c r="I483" s="17" t="inlineStr">
        <is>
          <t>Other Commercial Services</t>
        </is>
      </c>
      <c r="J483" s="18" t="inlineStr">
        <is>
          <t>Other Commercial Services*; Systems and Information Management; Network Management Software</t>
        </is>
      </c>
      <c r="K483" s="19" t="inlineStr">
        <is>
          <t/>
        </is>
      </c>
      <c r="L483" s="20" t="inlineStr">
        <is>
          <t>Venture Capital-Backed</t>
        </is>
      </c>
      <c r="M483" s="21" t="n">
        <v>6.5</v>
      </c>
      <c r="N483" s="22" t="inlineStr">
        <is>
          <t>Generating Revenue/Not Profitable</t>
        </is>
      </c>
      <c r="O483" s="23" t="inlineStr">
        <is>
          <t>Privately Held (backing)</t>
        </is>
      </c>
      <c r="P483" s="24" t="inlineStr">
        <is>
          <t>Venture Capital</t>
        </is>
      </c>
      <c r="Q483" s="25" t="inlineStr">
        <is>
          <t>www.unomaly.com</t>
        </is>
      </c>
      <c r="R483" s="26" t="n">
        <v>11.0</v>
      </c>
      <c r="S483" s="27" t="inlineStr">
        <is>
          <t/>
        </is>
      </c>
      <c r="T483" s="28" t="inlineStr">
        <is>
          <t/>
        </is>
      </c>
      <c r="U483" s="29" t="n">
        <v>2012.0</v>
      </c>
      <c r="V483" s="30" t="inlineStr">
        <is>
          <t/>
        </is>
      </c>
      <c r="W483" s="31" t="inlineStr">
        <is>
          <t/>
        </is>
      </c>
      <c r="X483" s="32" t="inlineStr">
        <is>
          <t/>
        </is>
      </c>
      <c r="Y483" s="33" t="n">
        <v>0.30322</v>
      </c>
      <c r="Z483" s="34" t="inlineStr">
        <is>
          <t/>
        </is>
      </c>
      <c r="AA483" s="35" t="inlineStr">
        <is>
          <t/>
        </is>
      </c>
      <c r="AB483" s="36" t="inlineStr">
        <is>
          <t/>
        </is>
      </c>
      <c r="AC483" s="37" t="n">
        <v>-0.63319</v>
      </c>
      <c r="AD483" s="38" t="inlineStr">
        <is>
          <t>FY 2015</t>
        </is>
      </c>
      <c r="AE483" s="39" t="inlineStr">
        <is>
          <t>138191-14P</t>
        </is>
      </c>
      <c r="AF483" s="40" t="inlineStr">
        <is>
          <t>Johan Gustafsson</t>
        </is>
      </c>
      <c r="AG483" s="41" t="inlineStr">
        <is>
          <t>Co-Founder &amp; Chief Executive Officer</t>
        </is>
      </c>
      <c r="AH483" s="42" t="inlineStr">
        <is>
          <t>johan@unomaly.com</t>
        </is>
      </c>
      <c r="AI483" s="43" t="inlineStr">
        <is>
          <t>+46 (0)70 285 23 13</t>
        </is>
      </c>
      <c r="AJ483" s="44" t="inlineStr">
        <is>
          <t>Stockholm, Sweden</t>
        </is>
      </c>
      <c r="AK483" s="45" t="inlineStr">
        <is>
          <t>Regeringsgatan 29</t>
        </is>
      </c>
      <c r="AL483" s="46" t="inlineStr">
        <is>
          <t/>
        </is>
      </c>
      <c r="AM483" s="47" t="inlineStr">
        <is>
          <t>Stockholm</t>
        </is>
      </c>
      <c r="AN483" s="48" t="inlineStr">
        <is>
          <t/>
        </is>
      </c>
      <c r="AO483" s="49" t="inlineStr">
        <is>
          <t>111 53</t>
        </is>
      </c>
      <c r="AP483" s="50" t="inlineStr">
        <is>
          <t>Sweden</t>
        </is>
      </c>
      <c r="AQ483" s="51" t="inlineStr">
        <is>
          <t/>
        </is>
      </c>
      <c r="AR483" s="52" t="inlineStr">
        <is>
          <t/>
        </is>
      </c>
      <c r="AS483" s="53" t="inlineStr">
        <is>
          <t>info@unomaly.com</t>
        </is>
      </c>
      <c r="AT483" s="54" t="inlineStr">
        <is>
          <t>Europe</t>
        </is>
      </c>
      <c r="AU483" s="55" t="inlineStr">
        <is>
          <t>Northern Europe</t>
        </is>
      </c>
      <c r="AV483" s="56" t="inlineStr">
        <is>
          <t>The company raised EUR 4.6 million of Series A venture funding in a deal led by EQT Ventures on June 20, 2016. Other undisclosed investors also participated in the round. The company intends to use the funds for further development its software product and enhance its global customer base.</t>
        </is>
      </c>
      <c r="AW483" s="57" t="inlineStr">
        <is>
          <t>EQT Ventures, Stockholm Innovation &amp; Growth</t>
        </is>
      </c>
      <c r="AX483" s="58" t="n">
        <v>2.0</v>
      </c>
      <c r="AY483" s="59" t="inlineStr">
        <is>
          <t/>
        </is>
      </c>
      <c r="AZ483" s="60" t="inlineStr">
        <is>
          <t/>
        </is>
      </c>
      <c r="BA483" s="61" t="inlineStr">
        <is>
          <t/>
        </is>
      </c>
      <c r="BB483" s="62" t="inlineStr">
        <is>
          <t>EQT Ventures (www.eqtventures.com), Stockholm Innovation &amp; Growth (www.sting.co)</t>
        </is>
      </c>
      <c r="BC483" s="63" t="inlineStr">
        <is>
          <t/>
        </is>
      </c>
      <c r="BD483" s="64" t="inlineStr">
        <is>
          <t/>
        </is>
      </c>
      <c r="BE483" s="65" t="inlineStr">
        <is>
          <t/>
        </is>
      </c>
      <c r="BF483" s="66" t="inlineStr">
        <is>
          <t/>
        </is>
      </c>
      <c r="BG483" s="67" t="n">
        <v>41275.0</v>
      </c>
      <c r="BH483" s="68" t="n">
        <v>1.9</v>
      </c>
      <c r="BI483" s="69" t="inlineStr">
        <is>
          <t>Actual</t>
        </is>
      </c>
      <c r="BJ483" s="70" t="inlineStr">
        <is>
          <t/>
        </is>
      </c>
      <c r="BK483" s="71" t="inlineStr">
        <is>
          <t/>
        </is>
      </c>
      <c r="BL483" s="72" t="inlineStr">
        <is>
          <t>Seed Round</t>
        </is>
      </c>
      <c r="BM483" s="73" t="inlineStr">
        <is>
          <t>Seed</t>
        </is>
      </c>
      <c r="BN483" s="74" t="inlineStr">
        <is>
          <t/>
        </is>
      </c>
      <c r="BO483" s="75" t="inlineStr">
        <is>
          <t>Other</t>
        </is>
      </c>
      <c r="BP483" s="76" t="inlineStr">
        <is>
          <t/>
        </is>
      </c>
      <c r="BQ483" s="77" t="inlineStr">
        <is>
          <t/>
        </is>
      </c>
      <c r="BR483" s="78" t="inlineStr">
        <is>
          <t/>
        </is>
      </c>
      <c r="BS483" s="79" t="inlineStr">
        <is>
          <t>Completed</t>
        </is>
      </c>
      <c r="BT483" s="80" t="n">
        <v>42541.0</v>
      </c>
      <c r="BU483" s="81" t="n">
        <v>4.6</v>
      </c>
      <c r="BV483" s="82" t="inlineStr">
        <is>
          <t>Actual</t>
        </is>
      </c>
      <c r="BW483" s="83" t="inlineStr">
        <is>
          <t/>
        </is>
      </c>
      <c r="BX483" s="84" t="inlineStr">
        <is>
          <t/>
        </is>
      </c>
      <c r="BY483" s="85" t="inlineStr">
        <is>
          <t>Early Stage VC</t>
        </is>
      </c>
      <c r="BZ483" s="86" t="inlineStr">
        <is>
          <t>Series A</t>
        </is>
      </c>
      <c r="CA483" s="87" t="inlineStr">
        <is>
          <t/>
        </is>
      </c>
      <c r="CB483" s="88" t="inlineStr">
        <is>
          <t>Venture Capital</t>
        </is>
      </c>
      <c r="CC483" s="89" t="inlineStr">
        <is>
          <t/>
        </is>
      </c>
      <c r="CD483" s="90" t="inlineStr">
        <is>
          <t/>
        </is>
      </c>
      <c r="CE483" s="91" t="inlineStr">
        <is>
          <t/>
        </is>
      </c>
      <c r="CF483" s="92" t="inlineStr">
        <is>
          <t>Completed</t>
        </is>
      </c>
      <c r="CG483" s="93" t="inlineStr">
        <is>
          <t>0,05%</t>
        </is>
      </c>
      <c r="CH483" s="94" t="inlineStr">
        <is>
          <t>69</t>
        </is>
      </c>
      <c r="CI483" s="95" t="inlineStr">
        <is>
          <t>0,03%</t>
        </is>
      </c>
      <c r="CJ483" s="96" t="inlineStr">
        <is>
          <t>98,65%</t>
        </is>
      </c>
      <c r="CK483" s="97" t="inlineStr">
        <is>
          <t>0,00%</t>
        </is>
      </c>
      <c r="CL483" s="98" t="inlineStr">
        <is>
          <t>18</t>
        </is>
      </c>
      <c r="CM483" s="99" t="inlineStr">
        <is>
          <t>0,10%</t>
        </is>
      </c>
      <c r="CN483" s="100" t="inlineStr">
        <is>
          <t>60</t>
        </is>
      </c>
      <c r="CO483" s="101" t="inlineStr">
        <is>
          <t>0,00%</t>
        </is>
      </c>
      <c r="CP483" s="102" t="inlineStr">
        <is>
          <t>26</t>
        </is>
      </c>
      <c r="CQ483" s="103" t="inlineStr">
        <is>
          <t>0,00%</t>
        </is>
      </c>
      <c r="CR483" s="104" t="inlineStr">
        <is>
          <t>13</t>
        </is>
      </c>
      <c r="CS483" s="105" t="inlineStr">
        <is>
          <t>0,12%</t>
        </is>
      </c>
      <c r="CT483" s="106" t="inlineStr">
        <is>
          <t>61</t>
        </is>
      </c>
      <c r="CU483" s="107" t="inlineStr">
        <is>
          <t>0,09%</t>
        </is>
      </c>
      <c r="CV483" s="108" t="inlineStr">
        <is>
          <t>66</t>
        </is>
      </c>
      <c r="CW483" s="109" t="inlineStr">
        <is>
          <t>0,71x</t>
        </is>
      </c>
      <c r="CX483" s="110" t="inlineStr">
        <is>
          <t>41</t>
        </is>
      </c>
      <c r="CY483" s="111" t="inlineStr">
        <is>
          <t>0,00x</t>
        </is>
      </c>
      <c r="CZ483" s="112" t="inlineStr">
        <is>
          <t>-0,26%</t>
        </is>
      </c>
      <c r="DA483" s="113" t="inlineStr">
        <is>
          <t>0,89x</t>
        </is>
      </c>
      <c r="DB483" s="114" t="inlineStr">
        <is>
          <t>49</t>
        </is>
      </c>
      <c r="DC483" s="115" t="inlineStr">
        <is>
          <t>0,54x</t>
        </is>
      </c>
      <c r="DD483" s="116" t="inlineStr">
        <is>
          <t>37</t>
        </is>
      </c>
      <c r="DE483" s="117" t="inlineStr">
        <is>
          <t>0,97x</t>
        </is>
      </c>
      <c r="DF483" s="118" t="inlineStr">
        <is>
          <t>50</t>
        </is>
      </c>
      <c r="DG483" s="119" t="inlineStr">
        <is>
          <t>0,81x</t>
        </is>
      </c>
      <c r="DH483" s="120" t="inlineStr">
        <is>
          <t>46</t>
        </is>
      </c>
      <c r="DI483" s="121" t="inlineStr">
        <is>
          <t>0,27x</t>
        </is>
      </c>
      <c r="DJ483" s="122" t="inlineStr">
        <is>
          <t>28</t>
        </is>
      </c>
      <c r="DK483" s="123" t="inlineStr">
        <is>
          <t>0,82x</t>
        </is>
      </c>
      <c r="DL483" s="124" t="inlineStr">
        <is>
          <t>47</t>
        </is>
      </c>
      <c r="DM483" s="125" t="inlineStr">
        <is>
          <t>589</t>
        </is>
      </c>
      <c r="DN483" s="126" t="inlineStr">
        <is>
          <t>14</t>
        </is>
      </c>
      <c r="DO483" s="127" t="inlineStr">
        <is>
          <t>2,43%</t>
        </is>
      </c>
      <c r="DP483" s="128" t="inlineStr">
        <is>
          <t>215</t>
        </is>
      </c>
      <c r="DQ483" s="129" t="inlineStr">
        <is>
          <t>1</t>
        </is>
      </c>
      <c r="DR483" s="130" t="inlineStr">
        <is>
          <t>0,47%</t>
        </is>
      </c>
      <c r="DS483" s="131" t="inlineStr">
        <is>
          <t>29</t>
        </is>
      </c>
      <c r="DT483" s="132" t="inlineStr">
        <is>
          <t>-2</t>
        </is>
      </c>
      <c r="DU483" s="133" t="inlineStr">
        <is>
          <t>-6,45%</t>
        </is>
      </c>
      <c r="DV483" s="134" t="inlineStr">
        <is>
          <t>280</t>
        </is>
      </c>
      <c r="DW483" s="135" t="inlineStr">
        <is>
          <t>0</t>
        </is>
      </c>
      <c r="DX483" s="136" t="inlineStr">
        <is>
          <t>0,00%</t>
        </is>
      </c>
      <c r="DY483" s="137" t="inlineStr">
        <is>
          <t>PitchBook Research</t>
        </is>
      </c>
      <c r="DZ483" s="785">
        <f>HYPERLINK("https://my.pitchbook.com?c=98858-35", "View company online")</f>
      </c>
    </row>
    <row r="484">
      <c r="A484" s="139" t="inlineStr">
        <is>
          <t>95544-37</t>
        </is>
      </c>
      <c r="B484" s="140" t="inlineStr">
        <is>
          <t>Unu</t>
        </is>
      </c>
      <c r="C484" s="141" t="inlineStr">
        <is>
          <t/>
        </is>
      </c>
      <c r="D484" s="142" t="inlineStr">
        <is>
          <t/>
        </is>
      </c>
      <c r="E484" s="143" t="inlineStr">
        <is>
          <t>95544-37</t>
        </is>
      </c>
      <c r="F484" s="144" t="inlineStr">
        <is>
          <t>Manufacturer of smart electric scooters designed to connect people to their city. The company's smart electric scooters are emission-free, noise-free and runs on electricity with the help of portable batteries enabling users to order directly from the manufacturer without incurring any additional costs.</t>
        </is>
      </c>
      <c r="G484" s="145" t="inlineStr">
        <is>
          <t>Consumer Products and Services (B2C)</t>
        </is>
      </c>
      <c r="H484" s="146" t="inlineStr">
        <is>
          <t>Transportation</t>
        </is>
      </c>
      <c r="I484" s="147" t="inlineStr">
        <is>
          <t>Automotive</t>
        </is>
      </c>
      <c r="J484" s="148" t="inlineStr">
        <is>
          <t>Automotive*; Internet Retail</t>
        </is>
      </c>
      <c r="K484" s="149" t="inlineStr">
        <is>
          <t>E-Commerce, LOHAS &amp; Wellness, Manufacturing</t>
        </is>
      </c>
      <c r="L484" s="150" t="inlineStr">
        <is>
          <t>Venture Capital-Backed</t>
        </is>
      </c>
      <c r="M484" s="151" t="n">
        <v>10.3</v>
      </c>
      <c r="N484" s="152" t="inlineStr">
        <is>
          <t>Generating Revenue</t>
        </is>
      </c>
      <c r="O484" s="153" t="inlineStr">
        <is>
          <t>Privately Held (backing)</t>
        </is>
      </c>
      <c r="P484" s="154" t="inlineStr">
        <is>
          <t>Venture Capital</t>
        </is>
      </c>
      <c r="Q484" s="155" t="inlineStr">
        <is>
          <t>www.unumotors.com</t>
        </is>
      </c>
      <c r="R484" s="156" t="n">
        <v>40.0</v>
      </c>
      <c r="S484" s="157" t="inlineStr">
        <is>
          <t/>
        </is>
      </c>
      <c r="T484" s="158" t="inlineStr">
        <is>
          <t/>
        </is>
      </c>
      <c r="U484" s="159" t="n">
        <v>2013.0</v>
      </c>
      <c r="V484" s="160" t="inlineStr">
        <is>
          <t/>
        </is>
      </c>
      <c r="W484" s="161" t="inlineStr">
        <is>
          <t/>
        </is>
      </c>
      <c r="X484" s="162" t="inlineStr">
        <is>
          <t/>
        </is>
      </c>
      <c r="Y484" s="163" t="inlineStr">
        <is>
          <t/>
        </is>
      </c>
      <c r="Z484" s="164" t="inlineStr">
        <is>
          <t/>
        </is>
      </c>
      <c r="AA484" s="165" t="inlineStr">
        <is>
          <t/>
        </is>
      </c>
      <c r="AB484" s="166" t="inlineStr">
        <is>
          <t/>
        </is>
      </c>
      <c r="AC484" s="167" t="inlineStr">
        <is>
          <t/>
        </is>
      </c>
      <c r="AD484" s="168" t="inlineStr">
        <is>
          <t/>
        </is>
      </c>
      <c r="AE484" s="169" t="inlineStr">
        <is>
          <t>102088-90P</t>
        </is>
      </c>
      <c r="AF484" s="170" t="inlineStr">
        <is>
          <t>Elias Atahi</t>
        </is>
      </c>
      <c r="AG484" s="171" t="inlineStr">
        <is>
          <t>Co-Founder, Brand, Product &amp; Managing Director</t>
        </is>
      </c>
      <c r="AH484" s="172" t="inlineStr">
        <is>
          <t>elias@unumotors.com</t>
        </is>
      </c>
      <c r="AI484" s="173" t="inlineStr">
        <is>
          <t>+49 (0)30 2201 2129 8</t>
        </is>
      </c>
      <c r="AJ484" s="174" t="inlineStr">
        <is>
          <t>Berlin, Germany</t>
        </is>
      </c>
      <c r="AK484" s="175" t="inlineStr">
        <is>
          <t>Tempelhofer Ufer 17</t>
        </is>
      </c>
      <c r="AL484" s="176" t="inlineStr">
        <is>
          <t/>
        </is>
      </c>
      <c r="AM484" s="177" t="inlineStr">
        <is>
          <t>Berlin</t>
        </is>
      </c>
      <c r="AN484" s="178" t="inlineStr">
        <is>
          <t/>
        </is>
      </c>
      <c r="AO484" s="179" t="inlineStr">
        <is>
          <t>10963</t>
        </is>
      </c>
      <c r="AP484" s="180" t="inlineStr">
        <is>
          <t>Germany</t>
        </is>
      </c>
      <c r="AQ484" s="181" t="inlineStr">
        <is>
          <t>+49 (0)30 2201 2129 8</t>
        </is>
      </c>
      <c r="AR484" s="182" t="inlineStr">
        <is>
          <t>+49 (0)30 2201 2129 5</t>
        </is>
      </c>
      <c r="AS484" s="183" t="inlineStr">
        <is>
          <t>office@unumotors.com</t>
        </is>
      </c>
      <c r="AT484" s="184" t="inlineStr">
        <is>
          <t>Europe</t>
        </is>
      </c>
      <c r="AU484" s="185" t="inlineStr">
        <is>
          <t>Western Europe</t>
        </is>
      </c>
      <c r="AV484" s="186" t="inlineStr">
        <is>
          <t>The company raised EUR 7.5 million of venture funding in a deal co-led by Capnamic Ventures and Iris Capital on April 11, 2017. Michael Baum through Founder.org and NRW.Bank also participated in the round. The company intends to use the funds for further expansion in France, Netherlands and US. Proyecta Ventures also participated.</t>
        </is>
      </c>
      <c r="AW484" s="187" t="inlineStr">
        <is>
          <t>Capnamic Ventures, Founder.org, Iris Capital Management, LMU Entrepreneurship Center, Michael Baum, Michael Hoeck, NRW.Bank, Proyecta Ventures</t>
        </is>
      </c>
      <c r="AX484" s="188" t="n">
        <v>8.0</v>
      </c>
      <c r="AY484" s="189" t="inlineStr">
        <is>
          <t/>
        </is>
      </c>
      <c r="AZ484" s="190" t="inlineStr">
        <is>
          <t/>
        </is>
      </c>
      <c r="BA484" s="191" t="inlineStr">
        <is>
          <t/>
        </is>
      </c>
      <c r="BB484" s="192" t="inlineStr">
        <is>
          <t>Capnamic Ventures (www.capnamic.com), Founder.org (www.founder.org), Iris Capital Management (www.iriscapital.com), LMU Entrepreneurship Center (www.entrepreneurship-center.uni-muenchen.de/index.html), NRW.Bank (www.nrwbank.de), Proyecta Ventures (www.proyectaventures.de)</t>
        </is>
      </c>
      <c r="BC484" s="193" t="inlineStr">
        <is>
          <t/>
        </is>
      </c>
      <c r="BD484" s="194" t="inlineStr">
        <is>
          <t/>
        </is>
      </c>
      <c r="BE484" s="195" t="inlineStr">
        <is>
          <t/>
        </is>
      </c>
      <c r="BF484" s="196" t="inlineStr">
        <is>
          <t/>
        </is>
      </c>
      <c r="BG484" s="197" t="inlineStr">
        <is>
          <t/>
        </is>
      </c>
      <c r="BH484" s="198" t="n">
        <v>1.6</v>
      </c>
      <c r="BI484" s="199" t="inlineStr">
        <is>
          <t>Actual</t>
        </is>
      </c>
      <c r="BJ484" s="200" t="inlineStr">
        <is>
          <t/>
        </is>
      </c>
      <c r="BK484" s="201" t="inlineStr">
        <is>
          <t/>
        </is>
      </c>
      <c r="BL484" s="202" t="inlineStr">
        <is>
          <t>Early Stage VC</t>
        </is>
      </c>
      <c r="BM484" s="203" t="inlineStr">
        <is>
          <t/>
        </is>
      </c>
      <c r="BN484" s="204" t="inlineStr">
        <is>
          <t/>
        </is>
      </c>
      <c r="BO484" s="205" t="inlineStr">
        <is>
          <t>Venture Capital</t>
        </is>
      </c>
      <c r="BP484" s="206" t="inlineStr">
        <is>
          <t/>
        </is>
      </c>
      <c r="BQ484" s="207" t="inlineStr">
        <is>
          <t/>
        </is>
      </c>
      <c r="BR484" s="208" t="inlineStr">
        <is>
          <t/>
        </is>
      </c>
      <c r="BS484" s="209" t="inlineStr">
        <is>
          <t>Completed</t>
        </is>
      </c>
      <c r="BT484" s="210" t="n">
        <v>42836.0</v>
      </c>
      <c r="BU484" s="211" t="n">
        <v>7.5</v>
      </c>
      <c r="BV484" s="212" t="inlineStr">
        <is>
          <t>Actual</t>
        </is>
      </c>
      <c r="BW484" s="213" t="inlineStr">
        <is>
          <t/>
        </is>
      </c>
      <c r="BX484" s="214" t="inlineStr">
        <is>
          <t/>
        </is>
      </c>
      <c r="BY484" s="215" t="inlineStr">
        <is>
          <t>Early Stage VC</t>
        </is>
      </c>
      <c r="BZ484" s="216" t="inlineStr">
        <is>
          <t/>
        </is>
      </c>
      <c r="CA484" s="217" t="inlineStr">
        <is>
          <t/>
        </is>
      </c>
      <c r="CB484" s="218" t="inlineStr">
        <is>
          <t>Venture Capital</t>
        </is>
      </c>
      <c r="CC484" s="219" t="inlineStr">
        <is>
          <t/>
        </is>
      </c>
      <c r="CD484" s="220" t="inlineStr">
        <is>
          <t/>
        </is>
      </c>
      <c r="CE484" s="221" t="inlineStr">
        <is>
          <t/>
        </is>
      </c>
      <c r="CF484" s="222" t="inlineStr">
        <is>
          <t>Completed</t>
        </is>
      </c>
      <c r="CG484" s="223" t="inlineStr">
        <is>
          <t>-0,44%</t>
        </is>
      </c>
      <c r="CH484" s="224" t="inlineStr">
        <is>
          <t>9</t>
        </is>
      </c>
      <c r="CI484" s="225" t="inlineStr">
        <is>
          <t>-0,04%</t>
        </is>
      </c>
      <c r="CJ484" s="226" t="inlineStr">
        <is>
          <t>-9,88%</t>
        </is>
      </c>
      <c r="CK484" s="227" t="inlineStr">
        <is>
          <t>-2,08%</t>
        </is>
      </c>
      <c r="CL484" s="228" t="inlineStr">
        <is>
          <t>5</t>
        </is>
      </c>
      <c r="CM484" s="229" t="inlineStr">
        <is>
          <t>1,19%</t>
        </is>
      </c>
      <c r="CN484" s="230" t="inlineStr">
        <is>
          <t>97</t>
        </is>
      </c>
      <c r="CO484" s="231" t="inlineStr">
        <is>
          <t>-4,17%</t>
        </is>
      </c>
      <c r="CP484" s="232" t="inlineStr">
        <is>
          <t>9</t>
        </is>
      </c>
      <c r="CQ484" s="233" t="inlineStr">
        <is>
          <t>0,00%</t>
        </is>
      </c>
      <c r="CR484" s="234" t="inlineStr">
        <is>
          <t>13</t>
        </is>
      </c>
      <c r="CS484" s="235" t="inlineStr">
        <is>
          <t>1,04%</t>
        </is>
      </c>
      <c r="CT484" s="236" t="inlineStr">
        <is>
          <t>95</t>
        </is>
      </c>
      <c r="CU484" s="237" t="inlineStr">
        <is>
          <t>1,35%</t>
        </is>
      </c>
      <c r="CV484" s="238" t="inlineStr">
        <is>
          <t>98</t>
        </is>
      </c>
      <c r="CW484" s="239" t="inlineStr">
        <is>
          <t>26,41x</t>
        </is>
      </c>
      <c r="CX484" s="240" t="inlineStr">
        <is>
          <t>93</t>
        </is>
      </c>
      <c r="CY484" s="241" t="inlineStr">
        <is>
          <t>0,15x</t>
        </is>
      </c>
      <c r="CZ484" s="242" t="inlineStr">
        <is>
          <t>0,59%</t>
        </is>
      </c>
      <c r="DA484" s="243" t="inlineStr">
        <is>
          <t>44,20x</t>
        </is>
      </c>
      <c r="DB484" s="244" t="inlineStr">
        <is>
          <t>96</t>
        </is>
      </c>
      <c r="DC484" s="245" t="inlineStr">
        <is>
          <t>8,62x</t>
        </is>
      </c>
      <c r="DD484" s="246" t="inlineStr">
        <is>
          <t>82</t>
        </is>
      </c>
      <c r="DE484" s="247" t="inlineStr">
        <is>
          <t>85,92x</t>
        </is>
      </c>
      <c r="DF484" s="248" t="inlineStr">
        <is>
          <t>95</t>
        </is>
      </c>
      <c r="DG484" s="249" t="inlineStr">
        <is>
          <t>2,47x</t>
        </is>
      </c>
      <c r="DH484" s="250" t="inlineStr">
        <is>
          <t>68</t>
        </is>
      </c>
      <c r="DI484" s="251" t="inlineStr">
        <is>
          <t>14,43x</t>
        </is>
      </c>
      <c r="DJ484" s="252" t="inlineStr">
        <is>
          <t>85</t>
        </is>
      </c>
      <c r="DK484" s="253" t="inlineStr">
        <is>
          <t>2,81x</t>
        </is>
      </c>
      <c r="DL484" s="254" t="inlineStr">
        <is>
          <t>69</t>
        </is>
      </c>
      <c r="DM484" s="255" t="inlineStr">
        <is>
          <t>52.888</t>
        </is>
      </c>
      <c r="DN484" s="256" t="inlineStr">
        <is>
          <t>-137</t>
        </is>
      </c>
      <c r="DO484" s="257" t="inlineStr">
        <is>
          <t>-0,26%</t>
        </is>
      </c>
      <c r="DP484" s="258" t="inlineStr">
        <is>
          <t>11.475</t>
        </is>
      </c>
      <c r="DQ484" s="259" t="inlineStr">
        <is>
          <t>113</t>
        </is>
      </c>
      <c r="DR484" s="260" t="inlineStr">
        <is>
          <t>0,99%</t>
        </is>
      </c>
      <c r="DS484" s="261" t="inlineStr">
        <is>
          <t>89</t>
        </is>
      </c>
      <c r="DT484" s="262" t="inlineStr">
        <is>
          <t>0</t>
        </is>
      </c>
      <c r="DU484" s="263" t="inlineStr">
        <is>
          <t>0,00%</t>
        </is>
      </c>
      <c r="DV484" s="264" t="inlineStr">
        <is>
          <t>956</t>
        </is>
      </c>
      <c r="DW484" s="265" t="inlineStr">
        <is>
          <t>15</t>
        </is>
      </c>
      <c r="DX484" s="266" t="inlineStr">
        <is>
          <t>1,59%</t>
        </is>
      </c>
      <c r="DY484" s="267" t="inlineStr">
        <is>
          <t>PitchBook Research</t>
        </is>
      </c>
      <c r="DZ484" s="786">
        <f>HYPERLINK("https://my.pitchbook.com?c=95544-37", "View company online")</f>
      </c>
    </row>
    <row r="485">
      <c r="A485" s="9" t="inlineStr">
        <is>
          <t>133173-19</t>
        </is>
      </c>
      <c r="B485" s="10" t="inlineStr">
        <is>
          <t>USound</t>
        </is>
      </c>
      <c r="C485" s="11" t="inlineStr">
        <is>
          <t/>
        </is>
      </c>
      <c r="D485" s="12" t="inlineStr">
        <is>
          <t/>
        </is>
      </c>
      <c r="E485" s="13" t="inlineStr">
        <is>
          <t>133173-19</t>
        </is>
      </c>
      <c r="F485" s="14" t="inlineStr">
        <is>
          <t>Developer of a technology platform for audio systems. The company develops micro speakers for mobile applications based on MEMS technology.</t>
        </is>
      </c>
      <c r="G485" s="15" t="inlineStr">
        <is>
          <t>Business Products and Services (B2B)</t>
        </is>
      </c>
      <c r="H485" s="16" t="inlineStr">
        <is>
          <t>Other Business Products and Services</t>
        </is>
      </c>
      <c r="I485" s="17" t="inlineStr">
        <is>
          <t>Other Business Products and Services</t>
        </is>
      </c>
      <c r="J485" s="18" t="inlineStr">
        <is>
          <t>Other Business Products and Services*; Accessories</t>
        </is>
      </c>
      <c r="K485" s="19" t="inlineStr">
        <is>
          <t/>
        </is>
      </c>
      <c r="L485" s="20" t="inlineStr">
        <is>
          <t>Venture Capital-Backed</t>
        </is>
      </c>
      <c r="M485" s="21" t="n">
        <v>17.0</v>
      </c>
      <c r="N485" s="22" t="inlineStr">
        <is>
          <t>Startup</t>
        </is>
      </c>
      <c r="O485" s="23" t="inlineStr">
        <is>
          <t>Privately Held (backing)</t>
        </is>
      </c>
      <c r="P485" s="24" t="inlineStr">
        <is>
          <t>Venture Capital</t>
        </is>
      </c>
      <c r="Q485" s="25" t="inlineStr">
        <is>
          <t>www.usound.com</t>
        </is>
      </c>
      <c r="R485" s="26" t="inlineStr">
        <is>
          <t/>
        </is>
      </c>
      <c r="S485" s="27" t="inlineStr">
        <is>
          <t/>
        </is>
      </c>
      <c r="T485" s="28" t="inlineStr">
        <is>
          <t/>
        </is>
      </c>
      <c r="U485" s="29" t="n">
        <v>2013.0</v>
      </c>
      <c r="V485" s="30" t="inlineStr">
        <is>
          <t/>
        </is>
      </c>
      <c r="W485" s="31" t="inlineStr">
        <is>
          <t/>
        </is>
      </c>
      <c r="X485" s="32" t="inlineStr">
        <is>
          <t/>
        </is>
      </c>
      <c r="Y485" s="33" t="inlineStr">
        <is>
          <t/>
        </is>
      </c>
      <c r="Z485" s="34" t="inlineStr">
        <is>
          <t/>
        </is>
      </c>
      <c r="AA485" s="35" t="inlineStr">
        <is>
          <t/>
        </is>
      </c>
      <c r="AB485" s="36" t="inlineStr">
        <is>
          <t/>
        </is>
      </c>
      <c r="AC485" s="37" t="inlineStr">
        <is>
          <t/>
        </is>
      </c>
      <c r="AD485" s="38" t="inlineStr">
        <is>
          <t/>
        </is>
      </c>
      <c r="AE485" s="39" t="inlineStr">
        <is>
          <t>154701-01P</t>
        </is>
      </c>
      <c r="AF485" s="40" t="inlineStr">
        <is>
          <t>Andrea Rusconi-Clerici</t>
        </is>
      </c>
      <c r="AG485" s="41" t="inlineStr">
        <is>
          <t>Co-Founder &amp; Managing Director</t>
        </is>
      </c>
      <c r="AH485" s="42" t="inlineStr">
        <is>
          <t>andrea.rusconi@usound-tech.com</t>
        </is>
      </c>
      <c r="AI485" s="43" t="inlineStr">
        <is>
          <t/>
        </is>
      </c>
      <c r="AJ485" s="44" t="inlineStr">
        <is>
          <t>Graz, Austria</t>
        </is>
      </c>
      <c r="AK485" s="45" t="inlineStr">
        <is>
          <t>Reininghausstrasse 13a</t>
        </is>
      </c>
      <c r="AL485" s="46" t="inlineStr">
        <is>
          <t/>
        </is>
      </c>
      <c r="AM485" s="47" t="inlineStr">
        <is>
          <t>Graz</t>
        </is>
      </c>
      <c r="AN485" s="48" t="inlineStr">
        <is>
          <t/>
        </is>
      </c>
      <c r="AO485" s="49" t="inlineStr">
        <is>
          <t>8020</t>
        </is>
      </c>
      <c r="AP485" s="50" t="inlineStr">
        <is>
          <t>Austria</t>
        </is>
      </c>
      <c r="AQ485" s="51" t="inlineStr">
        <is>
          <t/>
        </is>
      </c>
      <c r="AR485" s="52" t="inlineStr">
        <is>
          <t/>
        </is>
      </c>
      <c r="AS485" s="53" t="inlineStr">
        <is>
          <t/>
        </is>
      </c>
      <c r="AT485" s="54" t="inlineStr">
        <is>
          <t>Europe</t>
        </is>
      </c>
      <c r="AU485" s="55" t="inlineStr">
        <is>
          <t>Western Europe</t>
        </is>
      </c>
      <c r="AV485" s="56" t="inlineStr">
        <is>
          <t>The company raised EUR 12 million of venture funding in a deal led by eQventures on January 16, 2017. Austria Wirtschaftsservice and Hermann Hauser also participated. The new capital will be used to accelerate organizational growth and to hire additional staff. Earlier in June, the company joined Science Park Graz and raised EUR 5 million of angel funding from Herbert Gartner, Greg Galvin and Ignazio Rusconi-Clerici.</t>
        </is>
      </c>
      <c r="AW485" s="57" t="inlineStr">
        <is>
          <t>eQventure, Gregory Galvin, Herbert Gartner, Hermann Hauser, Horizon 2020, Ignazio Rusconi-Clerici, Science Park Graz</t>
        </is>
      </c>
      <c r="AX485" s="58" t="n">
        <v>7.0</v>
      </c>
      <c r="AY485" s="59" t="inlineStr">
        <is>
          <t/>
        </is>
      </c>
      <c r="AZ485" s="60" t="inlineStr">
        <is>
          <t/>
        </is>
      </c>
      <c r="BA485" s="61" t="inlineStr">
        <is>
          <t/>
        </is>
      </c>
      <c r="BB485" s="62" t="inlineStr">
        <is>
          <t>eQventure (www.eqventure.com), Science Park Graz (www.sciencepark.at)</t>
        </is>
      </c>
      <c r="BC485" s="63" t="inlineStr">
        <is>
          <t/>
        </is>
      </c>
      <c r="BD485" s="64" t="inlineStr">
        <is>
          <t/>
        </is>
      </c>
      <c r="BE485" s="65" t="inlineStr">
        <is>
          <t/>
        </is>
      </c>
      <c r="BF485" s="66" t="inlineStr">
        <is>
          <t/>
        </is>
      </c>
      <c r="BG485" s="67" t="n">
        <v>42522.0</v>
      </c>
      <c r="BH485" s="68" t="n">
        <v>5.0</v>
      </c>
      <c r="BI485" s="69" t="inlineStr">
        <is>
          <t>Estimated</t>
        </is>
      </c>
      <c r="BJ485" s="70" t="inlineStr">
        <is>
          <t/>
        </is>
      </c>
      <c r="BK485" s="71" t="inlineStr">
        <is>
          <t/>
        </is>
      </c>
      <c r="BL485" s="72" t="inlineStr">
        <is>
          <t>Accelerator/Incubator</t>
        </is>
      </c>
      <c r="BM485" s="73" t="inlineStr">
        <is>
          <t/>
        </is>
      </c>
      <c r="BN485" s="74" t="inlineStr">
        <is>
          <t/>
        </is>
      </c>
      <c r="BO485" s="75" t="inlineStr">
        <is>
          <t>Individual</t>
        </is>
      </c>
      <c r="BP485" s="76" t="inlineStr">
        <is>
          <t/>
        </is>
      </c>
      <c r="BQ485" s="77" t="inlineStr">
        <is>
          <t/>
        </is>
      </c>
      <c r="BR485" s="78" t="inlineStr">
        <is>
          <t/>
        </is>
      </c>
      <c r="BS485" s="79" t="inlineStr">
        <is>
          <t>Completed</t>
        </is>
      </c>
      <c r="BT485" s="80" t="n">
        <v>42751.0</v>
      </c>
      <c r="BU485" s="81" t="n">
        <v>12.0</v>
      </c>
      <c r="BV485" s="82" t="inlineStr">
        <is>
          <t>Actual</t>
        </is>
      </c>
      <c r="BW485" s="83" t="inlineStr">
        <is>
          <t/>
        </is>
      </c>
      <c r="BX485" s="84" t="inlineStr">
        <is>
          <t/>
        </is>
      </c>
      <c r="BY485" s="85" t="inlineStr">
        <is>
          <t>Early Stage VC</t>
        </is>
      </c>
      <c r="BZ485" s="86" t="inlineStr">
        <is>
          <t/>
        </is>
      </c>
      <c r="CA485" s="87" t="inlineStr">
        <is>
          <t/>
        </is>
      </c>
      <c r="CB485" s="88" t="inlineStr">
        <is>
          <t>Venture Capital</t>
        </is>
      </c>
      <c r="CC485" s="89" t="inlineStr">
        <is>
          <t/>
        </is>
      </c>
      <c r="CD485" s="90" t="inlineStr">
        <is>
          <t/>
        </is>
      </c>
      <c r="CE485" s="91" t="inlineStr">
        <is>
          <t/>
        </is>
      </c>
      <c r="CF485" s="92" t="inlineStr">
        <is>
          <t>Completed</t>
        </is>
      </c>
      <c r="CG485" s="93" t="inlineStr">
        <is>
          <t>0,00%</t>
        </is>
      </c>
      <c r="CH485" s="94" t="inlineStr">
        <is>
          <t>23</t>
        </is>
      </c>
      <c r="CI485" s="95" t="inlineStr">
        <is>
          <t>0,00%</t>
        </is>
      </c>
      <c r="CJ485" s="96" t="inlineStr">
        <is>
          <t>0,00%</t>
        </is>
      </c>
      <c r="CK485" s="97" t="inlineStr">
        <is>
          <t>0,00%</t>
        </is>
      </c>
      <c r="CL485" s="98" t="inlineStr">
        <is>
          <t>18</t>
        </is>
      </c>
      <c r="CM485" s="99" t="inlineStr">
        <is>
          <t/>
        </is>
      </c>
      <c r="CN485" s="100" t="inlineStr">
        <is>
          <t/>
        </is>
      </c>
      <c r="CO485" s="101" t="inlineStr">
        <is>
          <t>0,00%</t>
        </is>
      </c>
      <c r="CP485" s="102" t="inlineStr">
        <is>
          <t>26</t>
        </is>
      </c>
      <c r="CQ485" s="103" t="inlineStr">
        <is>
          <t/>
        </is>
      </c>
      <c r="CR485" s="104" t="inlineStr">
        <is>
          <t/>
        </is>
      </c>
      <c r="CS485" s="105" t="inlineStr">
        <is>
          <t/>
        </is>
      </c>
      <c r="CT485" s="106" t="inlineStr">
        <is>
          <t/>
        </is>
      </c>
      <c r="CU485" s="107" t="inlineStr">
        <is>
          <t/>
        </is>
      </c>
      <c r="CV485" s="108" t="inlineStr">
        <is>
          <t/>
        </is>
      </c>
      <c r="CW485" s="109" t="inlineStr">
        <is>
          <t>0,44x</t>
        </is>
      </c>
      <c r="CX485" s="110" t="inlineStr">
        <is>
          <t>31</t>
        </is>
      </c>
      <c r="CY485" s="111" t="inlineStr">
        <is>
          <t>0,00x</t>
        </is>
      </c>
      <c r="CZ485" s="112" t="inlineStr">
        <is>
          <t>0,00%</t>
        </is>
      </c>
      <c r="DA485" s="113" t="inlineStr">
        <is>
          <t>0,44x</t>
        </is>
      </c>
      <c r="DB485" s="114" t="inlineStr">
        <is>
          <t>33</t>
        </is>
      </c>
      <c r="DC485" s="115" t="inlineStr">
        <is>
          <t/>
        </is>
      </c>
      <c r="DD485" s="116" t="inlineStr">
        <is>
          <t/>
        </is>
      </c>
      <c r="DE485" s="117" t="inlineStr">
        <is>
          <t>0,44x</t>
        </is>
      </c>
      <c r="DF485" s="118" t="inlineStr">
        <is>
          <t>33</t>
        </is>
      </c>
      <c r="DG485" s="119" t="inlineStr">
        <is>
          <t/>
        </is>
      </c>
      <c r="DH485" s="120" t="inlineStr">
        <is>
          <t/>
        </is>
      </c>
      <c r="DI485" s="121" t="inlineStr">
        <is>
          <t/>
        </is>
      </c>
      <c r="DJ485" s="122" t="inlineStr">
        <is>
          <t/>
        </is>
      </c>
      <c r="DK485" s="123" t="inlineStr">
        <is>
          <t/>
        </is>
      </c>
      <c r="DL485" s="124" t="inlineStr">
        <is>
          <t/>
        </is>
      </c>
      <c r="DM485" s="125" t="inlineStr">
        <is>
          <t>306</t>
        </is>
      </c>
      <c r="DN485" s="126" t="inlineStr">
        <is>
          <t>-114</t>
        </is>
      </c>
      <c r="DO485" s="127" t="inlineStr">
        <is>
          <t>-27,14%</t>
        </is>
      </c>
      <c r="DP485" s="128" t="inlineStr">
        <is>
          <t/>
        </is>
      </c>
      <c r="DQ485" s="129" t="inlineStr">
        <is>
          <t/>
        </is>
      </c>
      <c r="DR485" s="130" t="inlineStr">
        <is>
          <t/>
        </is>
      </c>
      <c r="DS485" s="131" t="inlineStr">
        <is>
          <t/>
        </is>
      </c>
      <c r="DT485" s="132" t="inlineStr">
        <is>
          <t/>
        </is>
      </c>
      <c r="DU485" s="133" t="inlineStr">
        <is>
          <t/>
        </is>
      </c>
      <c r="DV485" s="134" t="inlineStr">
        <is>
          <t/>
        </is>
      </c>
      <c r="DW485" s="135" t="inlineStr">
        <is>
          <t/>
        </is>
      </c>
      <c r="DX485" s="136" t="inlineStr">
        <is>
          <t/>
        </is>
      </c>
      <c r="DY485" s="137" t="inlineStr">
        <is>
          <t>PitchBook Research</t>
        </is>
      </c>
      <c r="DZ485" s="785">
        <f>HYPERLINK("https://my.pitchbook.com?c=133173-19", "View company online")</f>
      </c>
    </row>
    <row r="486">
      <c r="A486" s="139" t="inlineStr">
        <is>
          <t>159094-99</t>
        </is>
      </c>
      <c r="B486" s="140" t="inlineStr">
        <is>
          <t>Vaccitech</t>
        </is>
      </c>
      <c r="C486" s="141" t="inlineStr">
        <is>
          <t/>
        </is>
      </c>
      <c r="D486" s="142" t="inlineStr">
        <is>
          <t/>
        </is>
      </c>
      <c r="E486" s="143" t="inlineStr">
        <is>
          <t>159094-99</t>
        </is>
      </c>
      <c r="F486" s="144" t="inlineStr">
        <is>
          <t>Developer of flu vaccines. The company provides a vaccine for the treatment of prostate cancer by turning the immune system against the disease.</t>
        </is>
      </c>
      <c r="G486" s="145" t="inlineStr">
        <is>
          <t>Healthcare</t>
        </is>
      </c>
      <c r="H486" s="146" t="inlineStr">
        <is>
          <t>Pharmaceuticals and Biotechnology</t>
        </is>
      </c>
      <c r="I486" s="147" t="inlineStr">
        <is>
          <t>Biotechnology</t>
        </is>
      </c>
      <c r="J486" s="148" t="inlineStr">
        <is>
          <t>Biotechnology*; Drug Discovery</t>
        </is>
      </c>
      <c r="K486" s="149" t="inlineStr">
        <is>
          <t>Life Sciences, Oncology</t>
        </is>
      </c>
      <c r="L486" s="150" t="inlineStr">
        <is>
          <t>Venture Capital-Backed</t>
        </is>
      </c>
      <c r="M486" s="151" t="n">
        <v>12.84</v>
      </c>
      <c r="N486" s="152" t="inlineStr">
        <is>
          <t>Product Development</t>
        </is>
      </c>
      <c r="O486" s="153" t="inlineStr">
        <is>
          <t>Privately Held (backing)</t>
        </is>
      </c>
      <c r="P486" s="154" t="inlineStr">
        <is>
          <t>Venture Capital</t>
        </is>
      </c>
      <c r="Q486" s="155" t="inlineStr">
        <is>
          <t/>
        </is>
      </c>
      <c r="R486" s="156" t="inlineStr">
        <is>
          <t/>
        </is>
      </c>
      <c r="S486" s="157" t="inlineStr">
        <is>
          <t/>
        </is>
      </c>
      <c r="T486" s="158" t="inlineStr">
        <is>
          <t/>
        </is>
      </c>
      <c r="U486" s="159" t="n">
        <v>2016.0</v>
      </c>
      <c r="V486" s="160" t="inlineStr">
        <is>
          <t/>
        </is>
      </c>
      <c r="W486" s="161" t="inlineStr">
        <is>
          <t/>
        </is>
      </c>
      <c r="X486" s="162" t="inlineStr">
        <is>
          <t/>
        </is>
      </c>
      <c r="Y486" s="163" t="inlineStr">
        <is>
          <t/>
        </is>
      </c>
      <c r="Z486" s="164" t="inlineStr">
        <is>
          <t/>
        </is>
      </c>
      <c r="AA486" s="165" t="inlineStr">
        <is>
          <t/>
        </is>
      </c>
      <c r="AB486" s="166" t="inlineStr">
        <is>
          <t/>
        </is>
      </c>
      <c r="AC486" s="167" t="inlineStr">
        <is>
          <t/>
        </is>
      </c>
      <c r="AD486" s="168" t="inlineStr">
        <is>
          <t/>
        </is>
      </c>
      <c r="AE486" s="169" t="inlineStr">
        <is>
          <t>135385-48P</t>
        </is>
      </c>
      <c r="AF486" s="170" t="inlineStr">
        <is>
          <t>Adrian Hill</t>
        </is>
      </c>
      <c r="AG486" s="171" t="inlineStr">
        <is>
          <t>Managing Director &amp; Board Member</t>
        </is>
      </c>
      <c r="AH486" s="172" t="inlineStr">
        <is>
          <t/>
        </is>
      </c>
      <c r="AI486" s="173" t="inlineStr">
        <is>
          <t/>
        </is>
      </c>
      <c r="AJ486" s="174" t="inlineStr">
        <is>
          <t>Oxford, United Kingdom</t>
        </is>
      </c>
      <c r="AK486" s="175" t="inlineStr">
        <is>
          <t>Weston Library, Broad Street</t>
        </is>
      </c>
      <c r="AL486" s="176" t="inlineStr">
        <is>
          <t/>
        </is>
      </c>
      <c r="AM486" s="177" t="inlineStr">
        <is>
          <t>Oxford</t>
        </is>
      </c>
      <c r="AN486" s="178" t="inlineStr">
        <is>
          <t>England</t>
        </is>
      </c>
      <c r="AO486" s="179" t="inlineStr">
        <is>
          <t>OX1 3BG</t>
        </is>
      </c>
      <c r="AP486" s="180" t="inlineStr">
        <is>
          <t>United Kingdom</t>
        </is>
      </c>
      <c r="AQ486" s="181" t="inlineStr">
        <is>
          <t/>
        </is>
      </c>
      <c r="AR486" s="182" t="inlineStr">
        <is>
          <t/>
        </is>
      </c>
      <c r="AS486" s="183" t="inlineStr">
        <is>
          <t/>
        </is>
      </c>
      <c r="AT486" s="184" t="inlineStr">
        <is>
          <t>Europe</t>
        </is>
      </c>
      <c r="AU486" s="185" t="inlineStr">
        <is>
          <t>Western Europe</t>
        </is>
      </c>
      <c r="AV486" s="186" t="inlineStr">
        <is>
          <t>The company raised GBP 10 million of seed funding from Oxford Sciences Innovation on May 10, 2016, putting the pre-money valuation at GBP 7.6 million. The company intends to use the funding for development of universal flu vaccine. Oxford Spin-Out Equity Management also participated.</t>
        </is>
      </c>
      <c r="AW486" s="187" t="inlineStr">
        <is>
          <t>Oxford Sciences Innovation, Oxford Spin-out Equity Management</t>
        </is>
      </c>
      <c r="AX486" s="188" t="n">
        <v>2.0</v>
      </c>
      <c r="AY486" s="189" t="inlineStr">
        <is>
          <t/>
        </is>
      </c>
      <c r="AZ486" s="190" t="inlineStr">
        <is>
          <t/>
        </is>
      </c>
      <c r="BA486" s="191" t="inlineStr">
        <is>
          <t/>
        </is>
      </c>
      <c r="BB486" s="192" t="inlineStr">
        <is>
          <t>Oxford Sciences Innovation (www.oxfordsciencesinnovation.com), Oxford Spin-out Equity Management (www.osem.ox.ac.uk)</t>
        </is>
      </c>
      <c r="BC486" s="193" t="inlineStr">
        <is>
          <t/>
        </is>
      </c>
      <c r="BD486" s="194" t="inlineStr">
        <is>
          <t/>
        </is>
      </c>
      <c r="BE486" s="195" t="inlineStr">
        <is>
          <t/>
        </is>
      </c>
      <c r="BF486" s="196" t="inlineStr">
        <is>
          <t/>
        </is>
      </c>
      <c r="BG486" s="197" t="n">
        <v>42500.0</v>
      </c>
      <c r="BH486" s="198" t="n">
        <v>12.84</v>
      </c>
      <c r="BI486" s="199" t="inlineStr">
        <is>
          <t>Actual</t>
        </is>
      </c>
      <c r="BJ486" s="200" t="n">
        <v>22.59</v>
      </c>
      <c r="BK486" s="201" t="inlineStr">
        <is>
          <t>Actual</t>
        </is>
      </c>
      <c r="BL486" s="202" t="inlineStr">
        <is>
          <t>Seed Round</t>
        </is>
      </c>
      <c r="BM486" s="203" t="inlineStr">
        <is>
          <t>Seed</t>
        </is>
      </c>
      <c r="BN486" s="204" t="inlineStr">
        <is>
          <t/>
        </is>
      </c>
      <c r="BO486" s="205" t="inlineStr">
        <is>
          <t>Venture Capital</t>
        </is>
      </c>
      <c r="BP486" s="206" t="inlineStr">
        <is>
          <t/>
        </is>
      </c>
      <c r="BQ486" s="207" t="inlineStr">
        <is>
          <t/>
        </is>
      </c>
      <c r="BR486" s="208" t="inlineStr">
        <is>
          <t/>
        </is>
      </c>
      <c r="BS486" s="209" t="inlineStr">
        <is>
          <t>Completed</t>
        </is>
      </c>
      <c r="BT486" s="210" t="n">
        <v>42500.0</v>
      </c>
      <c r="BU486" s="211" t="n">
        <v>12.84</v>
      </c>
      <c r="BV486" s="212" t="inlineStr">
        <is>
          <t>Actual</t>
        </is>
      </c>
      <c r="BW486" s="213" t="n">
        <v>22.59</v>
      </c>
      <c r="BX486" s="214" t="inlineStr">
        <is>
          <t>Actual</t>
        </is>
      </c>
      <c r="BY486" s="215" t="inlineStr">
        <is>
          <t>Seed Round</t>
        </is>
      </c>
      <c r="BZ486" s="216" t="inlineStr">
        <is>
          <t>Seed</t>
        </is>
      </c>
      <c r="CA486" s="217" t="inlineStr">
        <is>
          <t/>
        </is>
      </c>
      <c r="CB486" s="218" t="inlineStr">
        <is>
          <t>Venture Capital</t>
        </is>
      </c>
      <c r="CC486" s="219" t="inlineStr">
        <is>
          <t/>
        </is>
      </c>
      <c r="CD486" s="220" t="inlineStr">
        <is>
          <t/>
        </is>
      </c>
      <c r="CE486" s="221" t="inlineStr">
        <is>
          <t/>
        </is>
      </c>
      <c r="CF486" s="222" t="inlineStr">
        <is>
          <t>Completed</t>
        </is>
      </c>
      <c r="CG486" s="223" t="inlineStr">
        <is>
          <t/>
        </is>
      </c>
      <c r="CH486" s="224" t="inlineStr">
        <is>
          <t/>
        </is>
      </c>
      <c r="CI486" s="225" t="inlineStr">
        <is>
          <t/>
        </is>
      </c>
      <c r="CJ486" s="226" t="inlineStr">
        <is>
          <t/>
        </is>
      </c>
      <c r="CK486" s="227" t="inlineStr">
        <is>
          <t/>
        </is>
      </c>
      <c r="CL486" s="228" t="inlineStr">
        <is>
          <t/>
        </is>
      </c>
      <c r="CM486" s="229" t="inlineStr">
        <is>
          <t/>
        </is>
      </c>
      <c r="CN486" s="230" t="inlineStr">
        <is>
          <t/>
        </is>
      </c>
      <c r="CO486" s="231" t="inlineStr">
        <is>
          <t/>
        </is>
      </c>
      <c r="CP486" s="232" t="inlineStr">
        <is>
          <t/>
        </is>
      </c>
      <c r="CQ486" s="233" t="inlineStr">
        <is>
          <t/>
        </is>
      </c>
      <c r="CR486" s="234" t="inlineStr">
        <is>
          <t/>
        </is>
      </c>
      <c r="CS486" s="235" t="inlineStr">
        <is>
          <t/>
        </is>
      </c>
      <c r="CT486" s="236" t="inlineStr">
        <is>
          <t/>
        </is>
      </c>
      <c r="CU486" s="237" t="inlineStr">
        <is>
          <t/>
        </is>
      </c>
      <c r="CV486" s="238" t="inlineStr">
        <is>
          <t/>
        </is>
      </c>
      <c r="CW486" s="239" t="inlineStr">
        <is>
          <t/>
        </is>
      </c>
      <c r="CX486" s="240" t="inlineStr">
        <is>
          <t/>
        </is>
      </c>
      <c r="CY486" s="241" t="inlineStr">
        <is>
          <t/>
        </is>
      </c>
      <c r="CZ486" s="242" t="inlineStr">
        <is>
          <t/>
        </is>
      </c>
      <c r="DA486" s="243" t="inlineStr">
        <is>
          <t/>
        </is>
      </c>
      <c r="DB486" s="244" t="inlineStr">
        <is>
          <t/>
        </is>
      </c>
      <c r="DC486" s="245" t="inlineStr">
        <is>
          <t/>
        </is>
      </c>
      <c r="DD486" s="246" t="inlineStr">
        <is>
          <t/>
        </is>
      </c>
      <c r="DE486" s="247" t="inlineStr">
        <is>
          <t/>
        </is>
      </c>
      <c r="DF486" s="248" t="inlineStr">
        <is>
          <t/>
        </is>
      </c>
      <c r="DG486" s="249" t="inlineStr">
        <is>
          <t/>
        </is>
      </c>
      <c r="DH486" s="250" t="inlineStr">
        <is>
          <t/>
        </is>
      </c>
      <c r="DI486" s="251" t="inlineStr">
        <is>
          <t/>
        </is>
      </c>
      <c r="DJ486" s="252" t="inlineStr">
        <is>
          <t/>
        </is>
      </c>
      <c r="DK486" s="253" t="inlineStr">
        <is>
          <t/>
        </is>
      </c>
      <c r="DL486" s="254" t="inlineStr">
        <is>
          <t/>
        </is>
      </c>
      <c r="DM486" s="255" t="inlineStr">
        <is>
          <t/>
        </is>
      </c>
      <c r="DN486" s="256" t="inlineStr">
        <is>
          <t/>
        </is>
      </c>
      <c r="DO486" s="257" t="inlineStr">
        <is>
          <t/>
        </is>
      </c>
      <c r="DP486" s="258" t="inlineStr">
        <is>
          <t/>
        </is>
      </c>
      <c r="DQ486" s="259" t="inlineStr">
        <is>
          <t/>
        </is>
      </c>
      <c r="DR486" s="260" t="inlineStr">
        <is>
          <t/>
        </is>
      </c>
      <c r="DS486" s="261" t="inlineStr">
        <is>
          <t/>
        </is>
      </c>
      <c r="DT486" s="262" t="inlineStr">
        <is>
          <t/>
        </is>
      </c>
      <c r="DU486" s="263" t="inlineStr">
        <is>
          <t/>
        </is>
      </c>
      <c r="DV486" s="264" t="inlineStr">
        <is>
          <t/>
        </is>
      </c>
      <c r="DW486" s="265" t="inlineStr">
        <is>
          <t/>
        </is>
      </c>
      <c r="DX486" s="266" t="inlineStr">
        <is>
          <t/>
        </is>
      </c>
      <c r="DY486" s="267" t="inlineStr">
        <is>
          <t>PitchBook Research</t>
        </is>
      </c>
      <c r="DZ486" s="786">
        <f>HYPERLINK("https://my.pitchbook.com?c=159094-99", "View company online")</f>
      </c>
    </row>
    <row r="487">
      <c r="A487" s="9" t="inlineStr">
        <is>
          <t>114110-47</t>
        </is>
      </c>
      <c r="B487" s="10" t="inlineStr">
        <is>
          <t>Velocity (Hospitality)</t>
        </is>
      </c>
      <c r="C487" s="11" t="inlineStr">
        <is>
          <t/>
        </is>
      </c>
      <c r="D487" s="12" t="inlineStr">
        <is>
          <t>Velocity Mobile</t>
        </is>
      </c>
      <c r="E487" s="13" t="inlineStr">
        <is>
          <t>114110-47</t>
        </is>
      </c>
      <c r="F487" s="14" t="inlineStr">
        <is>
          <t>Provider of a Web-based application for dining and hospitality experiences. The company offers digital hospitality service that helps diners to pay their bills, book restaurants and earn rewards through mobile phones.</t>
        </is>
      </c>
      <c r="G487" s="15" t="inlineStr">
        <is>
          <t>Information Technology</t>
        </is>
      </c>
      <c r="H487" s="16" t="inlineStr">
        <is>
          <t>Software</t>
        </is>
      </c>
      <c r="I487" s="17" t="inlineStr">
        <is>
          <t>Application Software</t>
        </is>
      </c>
      <c r="J487" s="18" t="inlineStr">
        <is>
          <t>Application Software*; Social/Platform Software</t>
        </is>
      </c>
      <c r="K487" s="19" t="inlineStr">
        <is>
          <t>Mobile</t>
        </is>
      </c>
      <c r="L487" s="20" t="inlineStr">
        <is>
          <t>Venture Capital-Backed</t>
        </is>
      </c>
      <c r="M487" s="21" t="n">
        <v>35.32</v>
      </c>
      <c r="N487" s="22" t="inlineStr">
        <is>
          <t>Generating Revenue</t>
        </is>
      </c>
      <c r="O487" s="23" t="inlineStr">
        <is>
          <t>Privately Held (backing)</t>
        </is>
      </c>
      <c r="P487" s="24" t="inlineStr">
        <is>
          <t>Venture Capital</t>
        </is>
      </c>
      <c r="Q487" s="25" t="inlineStr">
        <is>
          <t>www.velocityapp.com</t>
        </is>
      </c>
      <c r="R487" s="26" t="n">
        <v>60.0</v>
      </c>
      <c r="S487" s="27" t="inlineStr">
        <is>
          <t/>
        </is>
      </c>
      <c r="T487" s="28" t="inlineStr">
        <is>
          <t/>
        </is>
      </c>
      <c r="U487" s="29" t="n">
        <v>2014.0</v>
      </c>
      <c r="V487" s="30" t="inlineStr">
        <is>
          <t/>
        </is>
      </c>
      <c r="W487" s="31" t="inlineStr">
        <is>
          <t/>
        </is>
      </c>
      <c r="X487" s="32" t="inlineStr">
        <is>
          <t/>
        </is>
      </c>
      <c r="Y487" s="33" t="inlineStr">
        <is>
          <t/>
        </is>
      </c>
      <c r="Z487" s="34" t="inlineStr">
        <is>
          <t/>
        </is>
      </c>
      <c r="AA487" s="35" t="inlineStr">
        <is>
          <t/>
        </is>
      </c>
      <c r="AB487" s="36" t="inlineStr">
        <is>
          <t/>
        </is>
      </c>
      <c r="AC487" s="37" t="inlineStr">
        <is>
          <t/>
        </is>
      </c>
      <c r="AD487" s="38" t="inlineStr">
        <is>
          <t/>
        </is>
      </c>
      <c r="AE487" s="39" t="inlineStr">
        <is>
          <t>101009-08P</t>
        </is>
      </c>
      <c r="AF487" s="40" t="inlineStr">
        <is>
          <t>Zia Yusuf</t>
        </is>
      </c>
      <c r="AG487" s="41" t="inlineStr">
        <is>
          <t>Co-Founder &amp; Co-Chief Executive Officer</t>
        </is>
      </c>
      <c r="AH487" s="42" t="inlineStr">
        <is>
          <t>zia.yusuf@velocityapp.com</t>
        </is>
      </c>
      <c r="AI487" s="43" t="inlineStr">
        <is>
          <t>+44 (0)34 5222 4547</t>
        </is>
      </c>
      <c r="AJ487" s="44" t="inlineStr">
        <is>
          <t>London, United Kingdom</t>
        </is>
      </c>
      <c r="AK487" s="45" t="inlineStr">
        <is>
          <t>16 Great Chapel Street</t>
        </is>
      </c>
      <c r="AL487" s="46" t="inlineStr">
        <is>
          <t>5th Floor</t>
        </is>
      </c>
      <c r="AM487" s="47" t="inlineStr">
        <is>
          <t>London</t>
        </is>
      </c>
      <c r="AN487" s="48" t="inlineStr">
        <is>
          <t>England</t>
        </is>
      </c>
      <c r="AO487" s="49" t="inlineStr">
        <is>
          <t>W1F 8FL</t>
        </is>
      </c>
      <c r="AP487" s="50" t="inlineStr">
        <is>
          <t>United Kingdom</t>
        </is>
      </c>
      <c r="AQ487" s="51" t="inlineStr">
        <is>
          <t>+44 (0)34 5222 4547</t>
        </is>
      </c>
      <c r="AR487" s="52" t="inlineStr">
        <is>
          <t/>
        </is>
      </c>
      <c r="AS487" s="53" t="inlineStr">
        <is>
          <t>info@velocityapp.com</t>
        </is>
      </c>
      <c r="AT487" s="54" t="inlineStr">
        <is>
          <t>Europe</t>
        </is>
      </c>
      <c r="AU487" s="55" t="inlineStr">
        <is>
          <t>Western Europe</t>
        </is>
      </c>
      <c r="AV487" s="56" t="inlineStr">
        <is>
          <t>The company raised $22.5 million of Series B venture funding in a deal led by Dragoneer Investment Group on August 29, 2016. Barry Sternlicht and John Paul also participated in the round. The funds will be used to support the company's expansion to 29 cities worldwide by 2020. Previously, the company raised $16 million of Series A venture funding from lead investors Thomas H. Glocer and Shukri Shammas on September 23, 2015.</t>
        </is>
      </c>
      <c r="AW487" s="57" t="inlineStr">
        <is>
          <t>Alex Macdonald, Barry Sternlicht, Crystal Stream Capital, Dragoneer Investment Group, Force Over Mass Capital, Initial Capital, John Paul, Lars Christensen, Lerer Hippeau Ventures, O'Reilly AlphaTech Ventures, Saavan Shah, Shukri Shammas, Spark Capital, Swordfish Investments, Thomas Glocer, Zia Yusuf</t>
        </is>
      </c>
      <c r="AX487" s="58" t="n">
        <v>16.0</v>
      </c>
      <c r="AY487" s="59" t="inlineStr">
        <is>
          <t/>
        </is>
      </c>
      <c r="AZ487" s="60" t="inlineStr">
        <is>
          <t/>
        </is>
      </c>
      <c r="BA487" s="61" t="inlineStr">
        <is>
          <t/>
        </is>
      </c>
      <c r="BB487" s="62" t="inlineStr">
        <is>
          <t>Force Over Mass Capital (www.fomcap.com), Initial Capital (www.initialcapital.com), John Paul (www.johnpaul.com), Lerer Hippeau Ventures (www.lererhippeau.com), O'Reilly AlphaTech Ventures (www.oatv.com), Spark Capital (www.sparkcapital.com), Swordfish Investments (www.swordfishinvestments.com), Thomas Glocer (www.tomglocer.com)</t>
        </is>
      </c>
      <c r="BC487" s="63" t="inlineStr">
        <is>
          <t/>
        </is>
      </c>
      <c r="BD487" s="64" t="inlineStr">
        <is>
          <t/>
        </is>
      </c>
      <c r="BE487" s="65" t="inlineStr">
        <is>
          <t>Erevena (Consulting)</t>
        </is>
      </c>
      <c r="BF487" s="66" t="inlineStr">
        <is>
          <t>Chrystal Capital Partners (Lead Manager or Arranger), Fox Williams (Legal Advisor), Chrystal Capital Partners (Placement Agent)</t>
        </is>
      </c>
      <c r="BG487" s="67" t="n">
        <v>41730.0</v>
      </c>
      <c r="BH487" s="68" t="n">
        <v>0.18</v>
      </c>
      <c r="BI487" s="69" t="inlineStr">
        <is>
          <t>Actual</t>
        </is>
      </c>
      <c r="BJ487" s="70" t="inlineStr">
        <is>
          <t/>
        </is>
      </c>
      <c r="BK487" s="71" t="inlineStr">
        <is>
          <t/>
        </is>
      </c>
      <c r="BL487" s="72" t="inlineStr">
        <is>
          <t>Seed Round</t>
        </is>
      </c>
      <c r="BM487" s="73" t="inlineStr">
        <is>
          <t>Seed</t>
        </is>
      </c>
      <c r="BN487" s="74" t="inlineStr">
        <is>
          <t/>
        </is>
      </c>
      <c r="BO487" s="75" t="inlineStr">
        <is>
          <t>Individual</t>
        </is>
      </c>
      <c r="BP487" s="76" t="inlineStr">
        <is>
          <t/>
        </is>
      </c>
      <c r="BQ487" s="77" t="inlineStr">
        <is>
          <t/>
        </is>
      </c>
      <c r="BR487" s="78" t="inlineStr">
        <is>
          <t/>
        </is>
      </c>
      <c r="BS487" s="79" t="inlineStr">
        <is>
          <t>Completed</t>
        </is>
      </c>
      <c r="BT487" s="80" t="n">
        <v>42611.0</v>
      </c>
      <c r="BU487" s="81" t="n">
        <v>20.08</v>
      </c>
      <c r="BV487" s="82" t="inlineStr">
        <is>
          <t>Actual</t>
        </is>
      </c>
      <c r="BW487" s="83" t="inlineStr">
        <is>
          <t/>
        </is>
      </c>
      <c r="BX487" s="84" t="inlineStr">
        <is>
          <t/>
        </is>
      </c>
      <c r="BY487" s="85" t="inlineStr">
        <is>
          <t>Early Stage VC</t>
        </is>
      </c>
      <c r="BZ487" s="86" t="inlineStr">
        <is>
          <t>Series B</t>
        </is>
      </c>
      <c r="CA487" s="87" t="inlineStr">
        <is>
          <t/>
        </is>
      </c>
      <c r="CB487" s="88" t="inlineStr">
        <is>
          <t>Venture Capital</t>
        </is>
      </c>
      <c r="CC487" s="89" t="inlineStr">
        <is>
          <t/>
        </is>
      </c>
      <c r="CD487" s="90" t="inlineStr">
        <is>
          <t/>
        </is>
      </c>
      <c r="CE487" s="91" t="inlineStr">
        <is>
          <t/>
        </is>
      </c>
      <c r="CF487" s="92" t="inlineStr">
        <is>
          <t>Completed</t>
        </is>
      </c>
      <c r="CG487" s="93" t="inlineStr">
        <is>
          <t>-3,06%</t>
        </is>
      </c>
      <c r="CH487" s="94" t="inlineStr">
        <is>
          <t>1</t>
        </is>
      </c>
      <c r="CI487" s="95" t="inlineStr">
        <is>
          <t>-0,01%</t>
        </is>
      </c>
      <c r="CJ487" s="96" t="inlineStr">
        <is>
          <t>-0,22%</t>
        </is>
      </c>
      <c r="CK487" s="97" t="inlineStr">
        <is>
          <t>-6,06%</t>
        </is>
      </c>
      <c r="CL487" s="98" t="inlineStr">
        <is>
          <t>1</t>
        </is>
      </c>
      <c r="CM487" s="99" t="inlineStr">
        <is>
          <t>-0,06%</t>
        </is>
      </c>
      <c r="CN487" s="100" t="inlineStr">
        <is>
          <t>6</t>
        </is>
      </c>
      <c r="CO487" s="101" t="inlineStr">
        <is>
          <t>-6,06%</t>
        </is>
      </c>
      <c r="CP487" s="102" t="inlineStr">
        <is>
          <t>5</t>
        </is>
      </c>
      <c r="CQ487" s="103" t="inlineStr">
        <is>
          <t/>
        </is>
      </c>
      <c r="CR487" s="104" t="inlineStr">
        <is>
          <t/>
        </is>
      </c>
      <c r="CS487" s="105" t="inlineStr">
        <is>
          <t/>
        </is>
      </c>
      <c r="CT487" s="106" t="inlineStr">
        <is>
          <t/>
        </is>
      </c>
      <c r="CU487" s="107" t="inlineStr">
        <is>
          <t>-0,06%</t>
        </is>
      </c>
      <c r="CV487" s="108" t="inlineStr">
        <is>
          <t>10</t>
        </is>
      </c>
      <c r="CW487" s="109" t="inlineStr">
        <is>
          <t>10,03x</t>
        </is>
      </c>
      <c r="CX487" s="110" t="inlineStr">
        <is>
          <t>87</t>
        </is>
      </c>
      <c r="CY487" s="111" t="inlineStr">
        <is>
          <t>0,16x</t>
        </is>
      </c>
      <c r="CZ487" s="112" t="inlineStr">
        <is>
          <t>1,60%</t>
        </is>
      </c>
      <c r="DA487" s="113" t="inlineStr">
        <is>
          <t>3,85x</t>
        </is>
      </c>
      <c r="DB487" s="114" t="inlineStr">
        <is>
          <t>77</t>
        </is>
      </c>
      <c r="DC487" s="115" t="inlineStr">
        <is>
          <t>16,22x</t>
        </is>
      </c>
      <c r="DD487" s="116" t="inlineStr">
        <is>
          <t>88</t>
        </is>
      </c>
      <c r="DE487" s="117" t="inlineStr">
        <is>
          <t>3,85x</t>
        </is>
      </c>
      <c r="DF487" s="118" t="inlineStr">
        <is>
          <t>73</t>
        </is>
      </c>
      <c r="DG487" s="119" t="inlineStr">
        <is>
          <t/>
        </is>
      </c>
      <c r="DH487" s="120" t="inlineStr">
        <is>
          <t/>
        </is>
      </c>
      <c r="DI487" s="121" t="inlineStr">
        <is>
          <t/>
        </is>
      </c>
      <c r="DJ487" s="122" t="inlineStr">
        <is>
          <t/>
        </is>
      </c>
      <c r="DK487" s="123" t="inlineStr">
        <is>
          <t>16,22x</t>
        </is>
      </c>
      <c r="DL487" s="124" t="inlineStr">
        <is>
          <t>90</t>
        </is>
      </c>
      <c r="DM487" s="125" t="inlineStr">
        <is>
          <t>2.412</t>
        </is>
      </c>
      <c r="DN487" s="126" t="inlineStr">
        <is>
          <t>-132</t>
        </is>
      </c>
      <c r="DO487" s="127" t="inlineStr">
        <is>
          <t>-5,19%</t>
        </is>
      </c>
      <c r="DP487" s="128" t="inlineStr">
        <is>
          <t/>
        </is>
      </c>
      <c r="DQ487" s="129" t="inlineStr">
        <is>
          <t/>
        </is>
      </c>
      <c r="DR487" s="130" t="inlineStr">
        <is>
          <t/>
        </is>
      </c>
      <c r="DS487" s="131" t="inlineStr">
        <is>
          <t/>
        </is>
      </c>
      <c r="DT487" s="132" t="inlineStr">
        <is>
          <t/>
        </is>
      </c>
      <c r="DU487" s="133" t="inlineStr">
        <is>
          <t/>
        </is>
      </c>
      <c r="DV487" s="134" t="inlineStr">
        <is>
          <t>5.562</t>
        </is>
      </c>
      <c r="DW487" s="135" t="inlineStr">
        <is>
          <t>-5</t>
        </is>
      </c>
      <c r="DX487" s="136" t="inlineStr">
        <is>
          <t>-0,09%</t>
        </is>
      </c>
      <c r="DY487" s="137" t="inlineStr">
        <is>
          <t>PitchBook Research</t>
        </is>
      </c>
      <c r="DZ487" s="785">
        <f>HYPERLINK("https://my.pitchbook.com?c=114110-47", "View company online")</f>
      </c>
    </row>
    <row r="488">
      <c r="A488" s="139" t="inlineStr">
        <is>
          <t>60738-76</t>
        </is>
      </c>
      <c r="B488" s="140" t="inlineStr">
        <is>
          <t>ViCentra</t>
        </is>
      </c>
      <c r="C488" s="141" t="inlineStr">
        <is>
          <t/>
        </is>
      </c>
      <c r="D488" s="142" t="inlineStr">
        <is>
          <t/>
        </is>
      </c>
      <c r="E488" s="143" t="inlineStr">
        <is>
          <t>60738-76</t>
        </is>
      </c>
      <c r="F488" s="144" t="inlineStr">
        <is>
          <t>Developer of medical devices for treatment of diabetes. The company develops insulin pumps which helps in controlling the glucose level for diabetic patients.</t>
        </is>
      </c>
      <c r="G488" s="145" t="inlineStr">
        <is>
          <t>Healthcare</t>
        </is>
      </c>
      <c r="H488" s="146" t="inlineStr">
        <is>
          <t>Healthcare Devices and Supplies</t>
        </is>
      </c>
      <c r="I488" s="147" t="inlineStr">
        <is>
          <t>Diagnostic Equipment</t>
        </is>
      </c>
      <c r="J488" s="148" t="inlineStr">
        <is>
          <t>Diagnostic Equipment*; Monitoring Equipment; Other Devices and Supplies</t>
        </is>
      </c>
      <c r="K488" s="149" t="inlineStr">
        <is>
          <t/>
        </is>
      </c>
      <c r="L488" s="150" t="inlineStr">
        <is>
          <t>Venture Capital-Backed</t>
        </is>
      </c>
      <c r="M488" s="151" t="n">
        <v>10.0</v>
      </c>
      <c r="N488" s="152" t="inlineStr">
        <is>
          <t>Startup</t>
        </is>
      </c>
      <c r="O488" s="153" t="inlineStr">
        <is>
          <t>Privately Held (backing)</t>
        </is>
      </c>
      <c r="P488" s="154" t="inlineStr">
        <is>
          <t>Venture Capital</t>
        </is>
      </c>
      <c r="Q488" s="155" t="inlineStr">
        <is>
          <t>www.vicentra.com</t>
        </is>
      </c>
      <c r="R488" s="156" t="n">
        <v>11.0</v>
      </c>
      <c r="S488" s="157" t="inlineStr">
        <is>
          <t/>
        </is>
      </c>
      <c r="T488" s="158" t="inlineStr">
        <is>
          <t/>
        </is>
      </c>
      <c r="U488" s="159" t="n">
        <v>2013.0</v>
      </c>
      <c r="V488" s="160" t="inlineStr">
        <is>
          <t/>
        </is>
      </c>
      <c r="W488" s="161" t="inlineStr">
        <is>
          <t/>
        </is>
      </c>
      <c r="X488" s="162" t="inlineStr">
        <is>
          <t/>
        </is>
      </c>
      <c r="Y488" s="163" t="inlineStr">
        <is>
          <t/>
        </is>
      </c>
      <c r="Z488" s="164" t="inlineStr">
        <is>
          <t/>
        </is>
      </c>
      <c r="AA488" s="165" t="inlineStr">
        <is>
          <t/>
        </is>
      </c>
      <c r="AB488" s="166" t="inlineStr">
        <is>
          <t/>
        </is>
      </c>
      <c r="AC488" s="167" t="inlineStr">
        <is>
          <t/>
        </is>
      </c>
      <c r="AD488" s="168" t="inlineStr">
        <is>
          <t/>
        </is>
      </c>
      <c r="AE488" s="169" t="inlineStr">
        <is>
          <t>123952-69P</t>
        </is>
      </c>
      <c r="AF488" s="170" t="inlineStr">
        <is>
          <t>Michael Graves</t>
        </is>
      </c>
      <c r="AG488" s="171" t="inlineStr">
        <is>
          <t>Chief Executive Officer</t>
        </is>
      </c>
      <c r="AH488" s="172" t="inlineStr">
        <is>
          <t>michael.graves@vicentra.com</t>
        </is>
      </c>
      <c r="AI488" s="173" t="inlineStr">
        <is>
          <t>+31 (0)88 323 2871</t>
        </is>
      </c>
      <c r="AJ488" s="174" t="inlineStr">
        <is>
          <t>Utrecht, Netherlands</t>
        </is>
      </c>
      <c r="AK488" s="175" t="inlineStr">
        <is>
          <t>Kanaalweg 17B2</t>
        </is>
      </c>
      <c r="AL488" s="176" t="inlineStr">
        <is>
          <t/>
        </is>
      </c>
      <c r="AM488" s="177" t="inlineStr">
        <is>
          <t>Utrecht</t>
        </is>
      </c>
      <c r="AN488" s="178" t="inlineStr">
        <is>
          <t/>
        </is>
      </c>
      <c r="AO488" s="179" t="inlineStr">
        <is>
          <t>3526 KL</t>
        </is>
      </c>
      <c r="AP488" s="180" t="inlineStr">
        <is>
          <t>Netherlands</t>
        </is>
      </c>
      <c r="AQ488" s="181" t="inlineStr">
        <is>
          <t>+31 (0)88 323 2871</t>
        </is>
      </c>
      <c r="AR488" s="182" t="inlineStr">
        <is>
          <t/>
        </is>
      </c>
      <c r="AS488" s="183" t="inlineStr">
        <is>
          <t>hello@vicentra.com</t>
        </is>
      </c>
      <c r="AT488" s="184" t="inlineStr">
        <is>
          <t>Europe</t>
        </is>
      </c>
      <c r="AU488" s="185" t="inlineStr">
        <is>
          <t>Western Europe</t>
        </is>
      </c>
      <c r="AV488" s="186" t="inlineStr">
        <is>
          <t>The company raised EUR 10 million of Series B venture funding in a deal led by Life Sciences Partners on January 20, 2016. INKEF Capital and other undisclosed investors also participated. The funding will support European commercialization of the Kaleido system and preparations for US market entry.</t>
        </is>
      </c>
      <c r="AW488" s="187" t="inlineStr">
        <is>
          <t>Health Innovations, INKEF Capital, Life Sciences Partners</t>
        </is>
      </c>
      <c r="AX488" s="188" t="n">
        <v>3.0</v>
      </c>
      <c r="AY488" s="189" t="inlineStr">
        <is>
          <t/>
        </is>
      </c>
      <c r="AZ488" s="190" t="inlineStr">
        <is>
          <t/>
        </is>
      </c>
      <c r="BA488" s="191" t="inlineStr">
        <is>
          <t/>
        </is>
      </c>
      <c r="BB488" s="192" t="inlineStr">
        <is>
          <t>Health Innovations (www.health-innovations.nl), INKEF Capital (www.inkefcapital.com), Life Sciences Partners (www.lspvc.com)</t>
        </is>
      </c>
      <c r="BC488" s="193" t="inlineStr">
        <is>
          <t/>
        </is>
      </c>
      <c r="BD488" s="194" t="inlineStr">
        <is>
          <t/>
        </is>
      </c>
      <c r="BE488" s="195" t="inlineStr">
        <is>
          <t/>
        </is>
      </c>
      <c r="BF488" s="196" t="inlineStr">
        <is>
          <t/>
        </is>
      </c>
      <c r="BG488" s="197" t="n">
        <v>41345.0</v>
      </c>
      <c r="BH488" s="198" t="inlineStr">
        <is>
          <t/>
        </is>
      </c>
      <c r="BI488" s="199" t="inlineStr">
        <is>
          <t/>
        </is>
      </c>
      <c r="BJ488" s="200" t="inlineStr">
        <is>
          <t/>
        </is>
      </c>
      <c r="BK488" s="201" t="inlineStr">
        <is>
          <t/>
        </is>
      </c>
      <c r="BL488" s="202" t="inlineStr">
        <is>
          <t>Early Stage VC</t>
        </is>
      </c>
      <c r="BM488" s="203" t="inlineStr">
        <is>
          <t/>
        </is>
      </c>
      <c r="BN488" s="204" t="inlineStr">
        <is>
          <t/>
        </is>
      </c>
      <c r="BO488" s="205" t="inlineStr">
        <is>
          <t>Venture Capital</t>
        </is>
      </c>
      <c r="BP488" s="206" t="inlineStr">
        <is>
          <t/>
        </is>
      </c>
      <c r="BQ488" s="207" t="inlineStr">
        <is>
          <t/>
        </is>
      </c>
      <c r="BR488" s="208" t="inlineStr">
        <is>
          <t/>
        </is>
      </c>
      <c r="BS488" s="209" t="inlineStr">
        <is>
          <t>Completed</t>
        </is>
      </c>
      <c r="BT488" s="210" t="n">
        <v>42389.0</v>
      </c>
      <c r="BU488" s="211" t="n">
        <v>10.0</v>
      </c>
      <c r="BV488" s="212" t="inlineStr">
        <is>
          <t>Actual</t>
        </is>
      </c>
      <c r="BW488" s="213" t="inlineStr">
        <is>
          <t/>
        </is>
      </c>
      <c r="BX488" s="214" t="inlineStr">
        <is>
          <t/>
        </is>
      </c>
      <c r="BY488" s="215" t="inlineStr">
        <is>
          <t>Early Stage VC</t>
        </is>
      </c>
      <c r="BZ488" s="216" t="inlineStr">
        <is>
          <t>Series B</t>
        </is>
      </c>
      <c r="CA488" s="217" t="inlineStr">
        <is>
          <t/>
        </is>
      </c>
      <c r="CB488" s="218" t="inlineStr">
        <is>
          <t>Venture Capital</t>
        </is>
      </c>
      <c r="CC488" s="219" t="inlineStr">
        <is>
          <t/>
        </is>
      </c>
      <c r="CD488" s="220" t="inlineStr">
        <is>
          <t/>
        </is>
      </c>
      <c r="CE488" s="221" t="inlineStr">
        <is>
          <t/>
        </is>
      </c>
      <c r="CF488" s="222" t="inlineStr">
        <is>
          <t>Completed</t>
        </is>
      </c>
      <c r="CG488" s="223" t="inlineStr">
        <is>
          <t>0,26%</t>
        </is>
      </c>
      <c r="CH488" s="224" t="inlineStr">
        <is>
          <t>80</t>
        </is>
      </c>
      <c r="CI488" s="225" t="inlineStr">
        <is>
          <t>0,00%</t>
        </is>
      </c>
      <c r="CJ488" s="226" t="inlineStr">
        <is>
          <t>0,00%</t>
        </is>
      </c>
      <c r="CK488" s="227" t="inlineStr">
        <is>
          <t>0,26%</t>
        </is>
      </c>
      <c r="CL488" s="228" t="inlineStr">
        <is>
          <t>82</t>
        </is>
      </c>
      <c r="CM488" s="229" t="inlineStr">
        <is>
          <t/>
        </is>
      </c>
      <c r="CN488" s="230" t="inlineStr">
        <is>
          <t/>
        </is>
      </c>
      <c r="CO488" s="231" t="inlineStr">
        <is>
          <t>0,26%</t>
        </is>
      </c>
      <c r="CP488" s="232" t="inlineStr">
        <is>
          <t>80</t>
        </is>
      </c>
      <c r="CQ488" s="233" t="inlineStr">
        <is>
          <t/>
        </is>
      </c>
      <c r="CR488" s="234" t="inlineStr">
        <is>
          <t/>
        </is>
      </c>
      <c r="CS488" s="235" t="inlineStr">
        <is>
          <t/>
        </is>
      </c>
      <c r="CT488" s="236" t="inlineStr">
        <is>
          <t/>
        </is>
      </c>
      <c r="CU488" s="237" t="inlineStr">
        <is>
          <t/>
        </is>
      </c>
      <c r="CV488" s="238" t="inlineStr">
        <is>
          <t/>
        </is>
      </c>
      <c r="CW488" s="239" t="inlineStr">
        <is>
          <t>1,73x</t>
        </is>
      </c>
      <c r="CX488" s="240" t="inlineStr">
        <is>
          <t>61</t>
        </is>
      </c>
      <c r="CY488" s="241" t="inlineStr">
        <is>
          <t>0,00x</t>
        </is>
      </c>
      <c r="CZ488" s="242" t="inlineStr">
        <is>
          <t>0,00%</t>
        </is>
      </c>
      <c r="DA488" s="243" t="inlineStr">
        <is>
          <t>1,73x</t>
        </is>
      </c>
      <c r="DB488" s="244" t="inlineStr">
        <is>
          <t>64</t>
        </is>
      </c>
      <c r="DC488" s="245" t="inlineStr">
        <is>
          <t/>
        </is>
      </c>
      <c r="DD488" s="246" t="inlineStr">
        <is>
          <t/>
        </is>
      </c>
      <c r="DE488" s="247" t="inlineStr">
        <is>
          <t>1,73x</t>
        </is>
      </c>
      <c r="DF488" s="248" t="inlineStr">
        <is>
          <t>61</t>
        </is>
      </c>
      <c r="DG488" s="249" t="inlineStr">
        <is>
          <t/>
        </is>
      </c>
      <c r="DH488" s="250" t="inlineStr">
        <is>
          <t/>
        </is>
      </c>
      <c r="DI488" s="251" t="inlineStr">
        <is>
          <t/>
        </is>
      </c>
      <c r="DJ488" s="252" t="inlineStr">
        <is>
          <t/>
        </is>
      </c>
      <c r="DK488" s="253" t="inlineStr">
        <is>
          <t/>
        </is>
      </c>
      <c r="DL488" s="254" t="inlineStr">
        <is>
          <t/>
        </is>
      </c>
      <c r="DM488" s="255" t="inlineStr">
        <is>
          <t>1.009</t>
        </is>
      </c>
      <c r="DN488" s="256" t="inlineStr">
        <is>
          <t>156</t>
        </is>
      </c>
      <c r="DO488" s="257" t="inlineStr">
        <is>
          <t>18,29%</t>
        </is>
      </c>
      <c r="DP488" s="258" t="inlineStr">
        <is>
          <t/>
        </is>
      </c>
      <c r="DQ488" s="259" t="inlineStr">
        <is>
          <t/>
        </is>
      </c>
      <c r="DR488" s="260" t="inlineStr">
        <is>
          <t/>
        </is>
      </c>
      <c r="DS488" s="261" t="inlineStr">
        <is>
          <t/>
        </is>
      </c>
      <c r="DT488" s="262" t="inlineStr">
        <is>
          <t/>
        </is>
      </c>
      <c r="DU488" s="263" t="inlineStr">
        <is>
          <t/>
        </is>
      </c>
      <c r="DV488" s="264" t="inlineStr">
        <is>
          <t/>
        </is>
      </c>
      <c r="DW488" s="265" t="inlineStr">
        <is>
          <t/>
        </is>
      </c>
      <c r="DX488" s="266" t="inlineStr">
        <is>
          <t/>
        </is>
      </c>
      <c r="DY488" s="267" t="inlineStr">
        <is>
          <t>PitchBook Research</t>
        </is>
      </c>
      <c r="DZ488" s="786">
        <f>HYPERLINK("https://my.pitchbook.com?c=60738-76", "View company online")</f>
      </c>
    </row>
    <row r="489">
      <c r="A489" s="9" t="inlineStr">
        <is>
          <t>118663-21</t>
        </is>
      </c>
      <c r="B489" s="10" t="inlineStr">
        <is>
          <t>ViraTherapeutics</t>
        </is>
      </c>
      <c r="C489" s="11" t="inlineStr">
        <is>
          <t/>
        </is>
      </c>
      <c r="D489" s="12" t="inlineStr">
        <is>
          <t>ViraT</t>
        </is>
      </c>
      <c r="E489" s="13" t="inlineStr">
        <is>
          <t>118663-21</t>
        </is>
      </c>
      <c r="F489" s="14" t="inlineStr">
        <is>
          <t>Developer of anti-cancer therapeutics. The company caters to the healthcare industry and specializes in offering immunotherapeutics and oncolytic cancer vaccines for the treatment of cancer.</t>
        </is>
      </c>
      <c r="G489" s="15" t="inlineStr">
        <is>
          <t>Healthcare</t>
        </is>
      </c>
      <c r="H489" s="16" t="inlineStr">
        <is>
          <t>Pharmaceuticals and Biotechnology</t>
        </is>
      </c>
      <c r="I489" s="17" t="inlineStr">
        <is>
          <t>Drug Discovery</t>
        </is>
      </c>
      <c r="J489" s="18" t="inlineStr">
        <is>
          <t>Drug Discovery*; Biotechnology</t>
        </is>
      </c>
      <c r="K489" s="19" t="inlineStr">
        <is>
          <t>Life Sciences, Oncology</t>
        </is>
      </c>
      <c r="L489" s="20" t="inlineStr">
        <is>
          <t>Venture Capital-Backed</t>
        </is>
      </c>
      <c r="M489" s="21" t="n">
        <v>7.7</v>
      </c>
      <c r="N489" s="22" t="inlineStr">
        <is>
          <t>Startup</t>
        </is>
      </c>
      <c r="O489" s="23" t="inlineStr">
        <is>
          <t>Privately Held (backing)</t>
        </is>
      </c>
      <c r="P489" s="24" t="inlineStr">
        <is>
          <t>Venture Capital</t>
        </is>
      </c>
      <c r="Q489" s="25" t="inlineStr">
        <is>
          <t>www.viratherapeutics.com</t>
        </is>
      </c>
      <c r="R489" s="26" t="n">
        <v>18.0</v>
      </c>
      <c r="S489" s="27" t="inlineStr">
        <is>
          <t/>
        </is>
      </c>
      <c r="T489" s="28" t="inlineStr">
        <is>
          <t/>
        </is>
      </c>
      <c r="U489" s="29" t="n">
        <v>2013.0</v>
      </c>
      <c r="V489" s="30" t="inlineStr">
        <is>
          <t/>
        </is>
      </c>
      <c r="W489" s="31" t="inlineStr">
        <is>
          <t/>
        </is>
      </c>
      <c r="X489" s="32" t="inlineStr">
        <is>
          <t/>
        </is>
      </c>
      <c r="Y489" s="33" t="inlineStr">
        <is>
          <t/>
        </is>
      </c>
      <c r="Z489" s="34" t="inlineStr">
        <is>
          <t/>
        </is>
      </c>
      <c r="AA489" s="35" t="inlineStr">
        <is>
          <t/>
        </is>
      </c>
      <c r="AB489" s="36" t="inlineStr">
        <is>
          <t/>
        </is>
      </c>
      <c r="AC489" s="37" t="inlineStr">
        <is>
          <t/>
        </is>
      </c>
      <c r="AD489" s="38" t="inlineStr">
        <is>
          <t/>
        </is>
      </c>
      <c r="AE489" s="39" t="inlineStr">
        <is>
          <t>54306-28P</t>
        </is>
      </c>
      <c r="AF489" s="40" t="inlineStr">
        <is>
          <t>Heinz Schwer</t>
        </is>
      </c>
      <c r="AG489" s="41" t="inlineStr">
        <is>
          <t>Chief Executive Officer</t>
        </is>
      </c>
      <c r="AH489" s="42" t="inlineStr">
        <is>
          <t>schwer@viratherapeutics.com</t>
        </is>
      </c>
      <c r="AI489" s="43" t="inlineStr">
        <is>
          <t>+43 (0)512 2720 61</t>
        </is>
      </c>
      <c r="AJ489" s="44" t="inlineStr">
        <is>
          <t>Innsbruck, Austria</t>
        </is>
      </c>
      <c r="AK489" s="45" t="inlineStr">
        <is>
          <t>Exlgasse 20a</t>
        </is>
      </c>
      <c r="AL489" s="46" t="inlineStr">
        <is>
          <t/>
        </is>
      </c>
      <c r="AM489" s="47" t="inlineStr">
        <is>
          <t>Innsbruck</t>
        </is>
      </c>
      <c r="AN489" s="48" t="inlineStr">
        <is>
          <t/>
        </is>
      </c>
      <c r="AO489" s="49" t="inlineStr">
        <is>
          <t>6020</t>
        </is>
      </c>
      <c r="AP489" s="50" t="inlineStr">
        <is>
          <t>Austria</t>
        </is>
      </c>
      <c r="AQ489" s="51" t="inlineStr">
        <is>
          <t>+43 (0)512 2720 61</t>
        </is>
      </c>
      <c r="AR489" s="52" t="inlineStr">
        <is>
          <t>+43 (0)512 2720 618</t>
        </is>
      </c>
      <c r="AS489" s="53" t="inlineStr">
        <is>
          <t>office@viratherapeutics.com</t>
        </is>
      </c>
      <c r="AT489" s="54" t="inlineStr">
        <is>
          <t>Europe</t>
        </is>
      </c>
      <c r="AU489" s="55" t="inlineStr">
        <is>
          <t>Western Europe</t>
        </is>
      </c>
      <c r="AV489" s="56" t="inlineStr">
        <is>
          <t>The company raised EUR 4.1 million of Series B venture funding from Boehringer Ingelheim Venture Fund, EMBL Ventures and Empl Privatstiftung on October 28, 2016. Austria Wirtschaftsservice also participated in this round.</t>
        </is>
      </c>
      <c r="AW489" s="57" t="inlineStr">
        <is>
          <t>Austria Wirtschaftsservice, Boehringer Ingelheim Venture Fund, CAST Gründungszentrum, EMBL Ventures, Empl Privatstiftung, Research Studio Austria, Science4Life, Tyrol</t>
        </is>
      </c>
      <c r="AX489" s="58" t="n">
        <v>8.0</v>
      </c>
      <c r="AY489" s="59" t="inlineStr">
        <is>
          <t/>
        </is>
      </c>
      <c r="AZ489" s="60" t="inlineStr">
        <is>
          <t/>
        </is>
      </c>
      <c r="BA489" s="61" t="inlineStr">
        <is>
          <t/>
        </is>
      </c>
      <c r="BB489" s="62" t="inlineStr">
        <is>
          <t>Austria Wirtschaftsservice (www.aws.at), Boehringer Ingelheim Venture Fund (www.boehringer-ingelheim-venture.com), CAST Gründungszentrum (www.cast-tyrol.com), EMBL Ventures (www.embl-ventures.com), Research Studio Austria (www.researchstudio.at), Science4Life (www.science4life.de)</t>
        </is>
      </c>
      <c r="BC489" s="63" t="inlineStr">
        <is>
          <t/>
        </is>
      </c>
      <c r="BD489" s="64" t="inlineStr">
        <is>
          <t/>
        </is>
      </c>
      <c r="BE489" s="65" t="inlineStr">
        <is>
          <t>CMS Hasche Sigle (Legal Advisor)</t>
        </is>
      </c>
      <c r="BF489" s="66" t="inlineStr">
        <is>
          <t>CMS Hasche Sigle (Legal Advisor)</t>
        </is>
      </c>
      <c r="BG489" s="67" t="n">
        <v>41365.0</v>
      </c>
      <c r="BH489" s="68" t="inlineStr">
        <is>
          <t/>
        </is>
      </c>
      <c r="BI489" s="69" t="inlineStr">
        <is>
          <t/>
        </is>
      </c>
      <c r="BJ489" s="70" t="inlineStr">
        <is>
          <t/>
        </is>
      </c>
      <c r="BK489" s="71" t="inlineStr">
        <is>
          <t/>
        </is>
      </c>
      <c r="BL489" s="72" t="inlineStr">
        <is>
          <t>Angel (individual)</t>
        </is>
      </c>
      <c r="BM489" s="73" t="inlineStr">
        <is>
          <t>Angel</t>
        </is>
      </c>
      <c r="BN489" s="74" t="inlineStr">
        <is>
          <t/>
        </is>
      </c>
      <c r="BO489" s="75" t="inlineStr">
        <is>
          <t>Individual</t>
        </is>
      </c>
      <c r="BP489" s="76" t="inlineStr">
        <is>
          <t/>
        </is>
      </c>
      <c r="BQ489" s="77" t="inlineStr">
        <is>
          <t/>
        </is>
      </c>
      <c r="BR489" s="78" t="inlineStr">
        <is>
          <t/>
        </is>
      </c>
      <c r="BS489" s="79" t="inlineStr">
        <is>
          <t>Completed</t>
        </is>
      </c>
      <c r="BT489" s="80" t="n">
        <v>42671.0</v>
      </c>
      <c r="BU489" s="81" t="n">
        <v>4.1</v>
      </c>
      <c r="BV489" s="82" t="inlineStr">
        <is>
          <t>Actual</t>
        </is>
      </c>
      <c r="BW489" s="83" t="inlineStr">
        <is>
          <t/>
        </is>
      </c>
      <c r="BX489" s="84" t="inlineStr">
        <is>
          <t/>
        </is>
      </c>
      <c r="BY489" s="85" t="inlineStr">
        <is>
          <t>Early Stage VC</t>
        </is>
      </c>
      <c r="BZ489" s="86" t="inlineStr">
        <is>
          <t>Series B</t>
        </is>
      </c>
      <c r="CA489" s="87" t="inlineStr">
        <is>
          <t/>
        </is>
      </c>
      <c r="CB489" s="88" t="inlineStr">
        <is>
          <t>Venture Capital</t>
        </is>
      </c>
      <c r="CC489" s="89" t="inlineStr">
        <is>
          <t/>
        </is>
      </c>
      <c r="CD489" s="90" t="inlineStr">
        <is>
          <t/>
        </is>
      </c>
      <c r="CE489" s="91" t="inlineStr">
        <is>
          <t/>
        </is>
      </c>
      <c r="CF489" s="92" t="inlineStr">
        <is>
          <t>Completed</t>
        </is>
      </c>
      <c r="CG489" s="93" t="inlineStr">
        <is>
          <t>0,00%</t>
        </is>
      </c>
      <c r="CH489" s="94" t="inlineStr">
        <is>
          <t>23</t>
        </is>
      </c>
      <c r="CI489" s="95" t="inlineStr">
        <is>
          <t>0,00%</t>
        </is>
      </c>
      <c r="CJ489" s="96" t="inlineStr">
        <is>
          <t>0,00%</t>
        </is>
      </c>
      <c r="CK489" s="97" t="inlineStr">
        <is>
          <t>0,00%</t>
        </is>
      </c>
      <c r="CL489" s="98" t="inlineStr">
        <is>
          <t>18</t>
        </is>
      </c>
      <c r="CM489" s="99" t="inlineStr">
        <is>
          <t/>
        </is>
      </c>
      <c r="CN489" s="100" t="inlineStr">
        <is>
          <t/>
        </is>
      </c>
      <c r="CO489" s="101" t="inlineStr">
        <is>
          <t>0,00%</t>
        </is>
      </c>
      <c r="CP489" s="102" t="inlineStr">
        <is>
          <t>26</t>
        </is>
      </c>
      <c r="CQ489" s="103" t="inlineStr">
        <is>
          <t>0,00%</t>
        </is>
      </c>
      <c r="CR489" s="104" t="inlineStr">
        <is>
          <t>13</t>
        </is>
      </c>
      <c r="CS489" s="105" t="inlineStr">
        <is>
          <t/>
        </is>
      </c>
      <c r="CT489" s="106" t="inlineStr">
        <is>
          <t/>
        </is>
      </c>
      <c r="CU489" s="107" t="inlineStr">
        <is>
          <t/>
        </is>
      </c>
      <c r="CV489" s="108" t="inlineStr">
        <is>
          <t/>
        </is>
      </c>
      <c r="CW489" s="109" t="inlineStr">
        <is>
          <t>1,35x</t>
        </is>
      </c>
      <c r="CX489" s="110" t="inlineStr">
        <is>
          <t>56</t>
        </is>
      </c>
      <c r="CY489" s="111" t="inlineStr">
        <is>
          <t>0,03x</t>
        </is>
      </c>
      <c r="CZ489" s="112" t="inlineStr">
        <is>
          <t>2,30%</t>
        </is>
      </c>
      <c r="DA489" s="113" t="inlineStr">
        <is>
          <t>1,35x</t>
        </is>
      </c>
      <c r="DB489" s="114" t="inlineStr">
        <is>
          <t>58</t>
        </is>
      </c>
      <c r="DC489" s="115" t="inlineStr">
        <is>
          <t/>
        </is>
      </c>
      <c r="DD489" s="116" t="inlineStr">
        <is>
          <t/>
        </is>
      </c>
      <c r="DE489" s="117" t="inlineStr">
        <is>
          <t>0,46x</t>
        </is>
      </c>
      <c r="DF489" s="118" t="inlineStr">
        <is>
          <t>34</t>
        </is>
      </c>
      <c r="DG489" s="119" t="inlineStr">
        <is>
          <t>2,25x</t>
        </is>
      </c>
      <c r="DH489" s="120" t="inlineStr">
        <is>
          <t>66</t>
        </is>
      </c>
      <c r="DI489" s="121" t="inlineStr">
        <is>
          <t/>
        </is>
      </c>
      <c r="DJ489" s="122" t="inlineStr">
        <is>
          <t/>
        </is>
      </c>
      <c r="DK489" s="123" t="inlineStr">
        <is>
          <t/>
        </is>
      </c>
      <c r="DL489" s="124" t="inlineStr">
        <is>
          <t/>
        </is>
      </c>
      <c r="DM489" s="125" t="inlineStr">
        <is>
          <t>294</t>
        </is>
      </c>
      <c r="DN489" s="126" t="inlineStr">
        <is>
          <t>-32</t>
        </is>
      </c>
      <c r="DO489" s="127" t="inlineStr">
        <is>
          <t>-9,82%</t>
        </is>
      </c>
      <c r="DP489" s="128" t="inlineStr">
        <is>
          <t/>
        </is>
      </c>
      <c r="DQ489" s="129" t="inlineStr">
        <is>
          <t/>
        </is>
      </c>
      <c r="DR489" s="130" t="inlineStr">
        <is>
          <t/>
        </is>
      </c>
      <c r="DS489" s="131" t="inlineStr">
        <is>
          <t>81</t>
        </is>
      </c>
      <c r="DT489" s="132" t="inlineStr">
        <is>
          <t>1</t>
        </is>
      </c>
      <c r="DU489" s="133" t="inlineStr">
        <is>
          <t>1,25%</t>
        </is>
      </c>
      <c r="DV489" s="134" t="inlineStr">
        <is>
          <t/>
        </is>
      </c>
      <c r="DW489" s="135" t="inlineStr">
        <is>
          <t/>
        </is>
      </c>
      <c r="DX489" s="136" t="inlineStr">
        <is>
          <t/>
        </is>
      </c>
      <c r="DY489" s="137" t="inlineStr">
        <is>
          <t>PitchBook Research</t>
        </is>
      </c>
      <c r="DZ489" s="785">
        <f>HYPERLINK("https://my.pitchbook.com?c=118663-21", "View company online")</f>
      </c>
    </row>
    <row r="490">
      <c r="A490" s="139" t="inlineStr">
        <is>
          <t>108299-71</t>
        </is>
      </c>
      <c r="B490" s="140" t="inlineStr">
        <is>
          <t>Vittamed</t>
        </is>
      </c>
      <c r="C490" s="141" t="inlineStr">
        <is>
          <t/>
        </is>
      </c>
      <c r="D490" s="142" t="inlineStr">
        <is>
          <t/>
        </is>
      </c>
      <c r="E490" s="143" t="inlineStr">
        <is>
          <t>108299-71</t>
        </is>
      </c>
      <c r="F490" s="144" t="inlineStr">
        <is>
          <t>Developer of medical device company designed to non-invasively measure the absolute value of intracranial pressure (ICP), real-time cerebral blood flow autoregulation (CA) and intracranial volumetric wave monitoring. The company's ultrasound-based devices offers non-invasive ICP measurement for conditions such as traumatic brain injury, concussion, hydrocephalus, stroke, brain tumors, and other neurological diseases, enabling clinicians to obtain safer, faster, accurate and cost efficient measurements of absolute intracranial pressure values.</t>
        </is>
      </c>
      <c r="G490" s="145" t="inlineStr">
        <is>
          <t>Healthcare</t>
        </is>
      </c>
      <c r="H490" s="146" t="inlineStr">
        <is>
          <t>Healthcare Devices and Supplies</t>
        </is>
      </c>
      <c r="I490" s="147" t="inlineStr">
        <is>
          <t>Monitoring Equipment</t>
        </is>
      </c>
      <c r="J490" s="148" t="inlineStr">
        <is>
          <t>Monitoring Equipment*; Other Devices and Supplies</t>
        </is>
      </c>
      <c r="K490" s="149" t="inlineStr">
        <is>
          <t/>
        </is>
      </c>
      <c r="L490" s="150" t="inlineStr">
        <is>
          <t>Venture Capital-Backed</t>
        </is>
      </c>
      <c r="M490" s="151" t="n">
        <v>8.91</v>
      </c>
      <c r="N490" s="152" t="inlineStr">
        <is>
          <t>Startup</t>
        </is>
      </c>
      <c r="O490" s="153" t="inlineStr">
        <is>
          <t>Privately Held (backing)</t>
        </is>
      </c>
      <c r="P490" s="154" t="inlineStr">
        <is>
          <t>Venture Capital</t>
        </is>
      </c>
      <c r="Q490" s="155" t="inlineStr">
        <is>
          <t>www.vittamed.com</t>
        </is>
      </c>
      <c r="R490" s="156" t="n">
        <v>7.0</v>
      </c>
      <c r="S490" s="157" t="inlineStr">
        <is>
          <t/>
        </is>
      </c>
      <c r="T490" s="158" t="inlineStr">
        <is>
          <t/>
        </is>
      </c>
      <c r="U490" s="159" t="n">
        <v>2013.0</v>
      </c>
      <c r="V490" s="160" t="inlineStr">
        <is>
          <t/>
        </is>
      </c>
      <c r="W490" s="161" t="inlineStr">
        <is>
          <t/>
        </is>
      </c>
      <c r="X490" s="162" t="inlineStr">
        <is>
          <t/>
        </is>
      </c>
      <c r="Y490" s="163" t="inlineStr">
        <is>
          <t/>
        </is>
      </c>
      <c r="Z490" s="164" t="inlineStr">
        <is>
          <t/>
        </is>
      </c>
      <c r="AA490" s="165" t="inlineStr">
        <is>
          <t/>
        </is>
      </c>
      <c r="AB490" s="166" t="inlineStr">
        <is>
          <t/>
        </is>
      </c>
      <c r="AC490" s="167" t="inlineStr">
        <is>
          <t/>
        </is>
      </c>
      <c r="AD490" s="168" t="inlineStr">
        <is>
          <t/>
        </is>
      </c>
      <c r="AE490" s="169" t="inlineStr">
        <is>
          <t>94008-25P</t>
        </is>
      </c>
      <c r="AF490" s="170" t="inlineStr">
        <is>
          <t>Remis Bistras</t>
        </is>
      </c>
      <c r="AG490" s="171" t="inlineStr">
        <is>
          <t>President &amp; Board Member</t>
        </is>
      </c>
      <c r="AH490" s="172" t="inlineStr">
        <is>
          <t>rbistras@vittamed.com</t>
        </is>
      </c>
      <c r="AI490" s="173" t="inlineStr">
        <is>
          <t>+1 (978) 254-5160</t>
        </is>
      </c>
      <c r="AJ490" s="174" t="inlineStr">
        <is>
          <t>Kaunas, Lithuania</t>
        </is>
      </c>
      <c r="AK490" s="175" t="inlineStr">
        <is>
          <t>K. Barsausko 59 - B814</t>
        </is>
      </c>
      <c r="AL490" s="176" t="inlineStr">
        <is>
          <t/>
        </is>
      </c>
      <c r="AM490" s="177" t="inlineStr">
        <is>
          <t>Kaunas</t>
        </is>
      </c>
      <c r="AN490" s="178" t="inlineStr">
        <is>
          <t/>
        </is>
      </c>
      <c r="AO490" s="179" t="inlineStr">
        <is>
          <t>LT-51423</t>
        </is>
      </c>
      <c r="AP490" s="180" t="inlineStr">
        <is>
          <t>Lithuania</t>
        </is>
      </c>
      <c r="AQ490" s="181" t="inlineStr">
        <is>
          <t>+370 (8)6 146 2045</t>
        </is>
      </c>
      <c r="AR490" s="182" t="inlineStr">
        <is>
          <t/>
        </is>
      </c>
      <c r="AS490" s="183" t="inlineStr">
        <is>
          <t>info@vittamed.lt</t>
        </is>
      </c>
      <c r="AT490" s="184" t="inlineStr">
        <is>
          <t>Europe</t>
        </is>
      </c>
      <c r="AU490" s="185" t="inlineStr">
        <is>
          <t>Northern Europe</t>
        </is>
      </c>
      <c r="AV490" s="186" t="inlineStr">
        <is>
          <t>The company raised $10 million of Series A venture funding in a deal led by Xeraya Capital on October 16, 2015, putting the company's pre-money valuation at $26.03 million. Imprimatur Capital and other undisclosed investors also participated in the round. The company will use the funding to launch its product in Europe, Australia and other countries, as well as to submit 510k to the FDA and commercialization in the US.</t>
        </is>
      </c>
      <c r="AW490" s="187" t="inlineStr">
        <is>
          <t>Imprimatur Capital, Start Capital, Xeraya Capital</t>
        </is>
      </c>
      <c r="AX490" s="188" t="n">
        <v>3.0</v>
      </c>
      <c r="AY490" s="189" t="inlineStr">
        <is>
          <t/>
        </is>
      </c>
      <c r="AZ490" s="190" t="inlineStr">
        <is>
          <t/>
        </is>
      </c>
      <c r="BA490" s="191" t="inlineStr">
        <is>
          <t/>
        </is>
      </c>
      <c r="BB490" s="192" t="inlineStr">
        <is>
          <t>Imprimatur Capital (www.icfm.lv), Start Capital (www.start-capital.com), Xeraya Capital (www.xeraya.com)</t>
        </is>
      </c>
      <c r="BC490" s="193" t="inlineStr">
        <is>
          <t/>
        </is>
      </c>
      <c r="BD490" s="194" t="inlineStr">
        <is>
          <t/>
        </is>
      </c>
      <c r="BE490" s="195" t="inlineStr">
        <is>
          <t>Morgan, Lewis &amp; Bockius (Legal Advisor)</t>
        </is>
      </c>
      <c r="BF490" s="196" t="inlineStr">
        <is>
          <t>Morgan, Lewis &amp; Bockius (Legal Advisor)</t>
        </is>
      </c>
      <c r="BG490" s="197" t="inlineStr">
        <is>
          <t/>
        </is>
      </c>
      <c r="BH490" s="198" t="n">
        <v>11.01</v>
      </c>
      <c r="BI490" s="199" t="inlineStr">
        <is>
          <t>Actual</t>
        </is>
      </c>
      <c r="BJ490" s="200" t="inlineStr">
        <is>
          <t/>
        </is>
      </c>
      <c r="BK490" s="201" t="inlineStr">
        <is>
          <t/>
        </is>
      </c>
      <c r="BL490" s="202" t="inlineStr">
        <is>
          <t>Grant</t>
        </is>
      </c>
      <c r="BM490" s="203" t="inlineStr">
        <is>
          <t/>
        </is>
      </c>
      <c r="BN490" s="204" t="inlineStr">
        <is>
          <t/>
        </is>
      </c>
      <c r="BO490" s="205" t="inlineStr">
        <is>
          <t>Other</t>
        </is>
      </c>
      <c r="BP490" s="206" t="inlineStr">
        <is>
          <t/>
        </is>
      </c>
      <c r="BQ490" s="207" t="inlineStr">
        <is>
          <t/>
        </is>
      </c>
      <c r="BR490" s="208" t="inlineStr">
        <is>
          <t/>
        </is>
      </c>
      <c r="BS490" s="209" t="inlineStr">
        <is>
          <t>Completed</t>
        </is>
      </c>
      <c r="BT490" s="210" t="n">
        <v>42293.0</v>
      </c>
      <c r="BU490" s="211" t="n">
        <v>8.91</v>
      </c>
      <c r="BV490" s="212" t="inlineStr">
        <is>
          <t>Actual</t>
        </is>
      </c>
      <c r="BW490" s="213" t="n">
        <v>32.09</v>
      </c>
      <c r="BX490" s="214" t="inlineStr">
        <is>
          <t>Actual</t>
        </is>
      </c>
      <c r="BY490" s="215" t="inlineStr">
        <is>
          <t>Early Stage VC</t>
        </is>
      </c>
      <c r="BZ490" s="216" t="inlineStr">
        <is>
          <t>Series A</t>
        </is>
      </c>
      <c r="CA490" s="217" t="inlineStr">
        <is>
          <t/>
        </is>
      </c>
      <c r="CB490" s="218" t="inlineStr">
        <is>
          <t>Venture Capital</t>
        </is>
      </c>
      <c r="CC490" s="219" t="inlineStr">
        <is>
          <t/>
        </is>
      </c>
      <c r="CD490" s="220" t="inlineStr">
        <is>
          <t/>
        </is>
      </c>
      <c r="CE490" s="221" t="inlineStr">
        <is>
          <t/>
        </is>
      </c>
      <c r="CF490" s="222" t="inlineStr">
        <is>
          <t>Completed</t>
        </is>
      </c>
      <c r="CG490" s="223" t="inlineStr">
        <is>
          <t>0,00%</t>
        </is>
      </c>
      <c r="CH490" s="224" t="inlineStr">
        <is>
          <t>23</t>
        </is>
      </c>
      <c r="CI490" s="225" t="inlineStr">
        <is>
          <t>0,00%</t>
        </is>
      </c>
      <c r="CJ490" s="226" t="inlineStr">
        <is>
          <t>0,00%</t>
        </is>
      </c>
      <c r="CK490" s="227" t="inlineStr">
        <is>
          <t>0,00%</t>
        </is>
      </c>
      <c r="CL490" s="228" t="inlineStr">
        <is>
          <t>18</t>
        </is>
      </c>
      <c r="CM490" s="229" t="inlineStr">
        <is>
          <t>0,00%</t>
        </is>
      </c>
      <c r="CN490" s="230" t="inlineStr">
        <is>
          <t>19</t>
        </is>
      </c>
      <c r="CO490" s="231" t="inlineStr">
        <is>
          <t>0,00%</t>
        </is>
      </c>
      <c r="CP490" s="232" t="inlineStr">
        <is>
          <t>26</t>
        </is>
      </c>
      <c r="CQ490" s="233" t="inlineStr">
        <is>
          <t>0,00%</t>
        </is>
      </c>
      <c r="CR490" s="234" t="inlineStr">
        <is>
          <t>13</t>
        </is>
      </c>
      <c r="CS490" s="235" t="inlineStr">
        <is>
          <t/>
        </is>
      </c>
      <c r="CT490" s="236" t="inlineStr">
        <is>
          <t/>
        </is>
      </c>
      <c r="CU490" s="237" t="inlineStr">
        <is>
          <t>0,00%</t>
        </is>
      </c>
      <c r="CV490" s="238" t="inlineStr">
        <is>
          <t>20</t>
        </is>
      </c>
      <c r="CW490" s="239" t="inlineStr">
        <is>
          <t>0,49x</t>
        </is>
      </c>
      <c r="CX490" s="240" t="inlineStr">
        <is>
          <t>33</t>
        </is>
      </c>
      <c r="CY490" s="241" t="inlineStr">
        <is>
          <t>-0,01x</t>
        </is>
      </c>
      <c r="CZ490" s="242" t="inlineStr">
        <is>
          <t>-1,93%</t>
        </is>
      </c>
      <c r="DA490" s="243" t="inlineStr">
        <is>
          <t>0,86x</t>
        </is>
      </c>
      <c r="DB490" s="244" t="inlineStr">
        <is>
          <t>48</t>
        </is>
      </c>
      <c r="DC490" s="245" t="inlineStr">
        <is>
          <t>0,12x</t>
        </is>
      </c>
      <c r="DD490" s="246" t="inlineStr">
        <is>
          <t>16</t>
        </is>
      </c>
      <c r="DE490" s="247" t="inlineStr">
        <is>
          <t>0,11x</t>
        </is>
      </c>
      <c r="DF490" s="248" t="inlineStr">
        <is>
          <t>10</t>
        </is>
      </c>
      <c r="DG490" s="249" t="inlineStr">
        <is>
          <t>1,61x</t>
        </is>
      </c>
      <c r="DH490" s="250" t="inlineStr">
        <is>
          <t>60</t>
        </is>
      </c>
      <c r="DI490" s="251" t="inlineStr">
        <is>
          <t/>
        </is>
      </c>
      <c r="DJ490" s="252" t="inlineStr">
        <is>
          <t/>
        </is>
      </c>
      <c r="DK490" s="253" t="inlineStr">
        <is>
          <t>0,12x</t>
        </is>
      </c>
      <c r="DL490" s="254" t="inlineStr">
        <is>
          <t>20</t>
        </is>
      </c>
      <c r="DM490" s="255" t="inlineStr">
        <is>
          <t>73</t>
        </is>
      </c>
      <c r="DN490" s="256" t="inlineStr">
        <is>
          <t>-14</t>
        </is>
      </c>
      <c r="DO490" s="257" t="inlineStr">
        <is>
          <t>-16,09%</t>
        </is>
      </c>
      <c r="DP490" s="258" t="inlineStr">
        <is>
          <t/>
        </is>
      </c>
      <c r="DQ490" s="259" t="inlineStr">
        <is>
          <t/>
        </is>
      </c>
      <c r="DR490" s="260" t="inlineStr">
        <is>
          <t/>
        </is>
      </c>
      <c r="DS490" s="261" t="inlineStr">
        <is>
          <t>59</t>
        </is>
      </c>
      <c r="DT490" s="262" t="inlineStr">
        <is>
          <t>-2</t>
        </is>
      </c>
      <c r="DU490" s="263" t="inlineStr">
        <is>
          <t>-3,28%</t>
        </is>
      </c>
      <c r="DV490" s="264" t="inlineStr">
        <is>
          <t>40</t>
        </is>
      </c>
      <c r="DW490" s="265" t="inlineStr">
        <is>
          <t>0</t>
        </is>
      </c>
      <c r="DX490" s="266" t="inlineStr">
        <is>
          <t>0,00%</t>
        </is>
      </c>
      <c r="DY490" s="267" t="inlineStr">
        <is>
          <t>PitchBook Research</t>
        </is>
      </c>
      <c r="DZ490" s="786">
        <f>HYPERLINK("https://my.pitchbook.com?c=108299-71", "View company online")</f>
      </c>
    </row>
    <row r="491">
      <c r="A491" s="9" t="inlineStr">
        <is>
          <t>180558-55</t>
        </is>
      </c>
      <c r="B491" s="10" t="inlineStr">
        <is>
          <t>Vivet Therapeutics</t>
        </is>
      </c>
      <c r="C491" s="11" t="inlineStr">
        <is>
          <t/>
        </is>
      </c>
      <c r="D491" s="12" t="inlineStr">
        <is>
          <t>Vivet</t>
        </is>
      </c>
      <c r="E491" s="13" t="inlineStr">
        <is>
          <t>180558-55</t>
        </is>
      </c>
      <c r="F491" s="14" t="inlineStr">
        <is>
          <t>Provider of biotechnology research and development services intended for the treatment of Wilson disease. The company's biotechnology research and development services uses a modified AAV vector to move a truncated functional version of the ATP7B gene into the liver cells carrying the defective gene, enabling the patients to reduce their liver damage and improve liver function.</t>
        </is>
      </c>
      <c r="G491" s="15" t="inlineStr">
        <is>
          <t>Healthcare</t>
        </is>
      </c>
      <c r="H491" s="16" t="inlineStr">
        <is>
          <t>Pharmaceuticals and Biotechnology</t>
        </is>
      </c>
      <c r="I491" s="17" t="inlineStr">
        <is>
          <t>Biotechnology</t>
        </is>
      </c>
      <c r="J491" s="18" t="inlineStr">
        <is>
          <t>Biotechnology*; Drug Discovery; Pharmaceuticals</t>
        </is>
      </c>
      <c r="K491" s="19" t="inlineStr">
        <is>
          <t>Life Sciences</t>
        </is>
      </c>
      <c r="L491" s="20" t="inlineStr">
        <is>
          <t>Venture Capital-Backed</t>
        </is>
      </c>
      <c r="M491" s="21" t="n">
        <v>37.12</v>
      </c>
      <c r="N491" s="22" t="inlineStr">
        <is>
          <t>Startup</t>
        </is>
      </c>
      <c r="O491" s="23" t="inlineStr">
        <is>
          <t>Privately Held (backing)</t>
        </is>
      </c>
      <c r="P491" s="24" t="inlineStr">
        <is>
          <t>Venture Capital</t>
        </is>
      </c>
      <c r="Q491" s="25" t="inlineStr">
        <is>
          <t>www.vivet-therapeutics.com</t>
        </is>
      </c>
      <c r="R491" s="26" t="inlineStr">
        <is>
          <t/>
        </is>
      </c>
      <c r="S491" s="27" t="inlineStr">
        <is>
          <t/>
        </is>
      </c>
      <c r="T491" s="28" t="inlineStr">
        <is>
          <t/>
        </is>
      </c>
      <c r="U491" s="29" t="n">
        <v>2016.0</v>
      </c>
      <c r="V491" s="30" t="inlineStr">
        <is>
          <t/>
        </is>
      </c>
      <c r="W491" s="31" t="inlineStr">
        <is>
          <t/>
        </is>
      </c>
      <c r="X491" s="32" t="inlineStr">
        <is>
          <t/>
        </is>
      </c>
      <c r="Y491" s="33" t="inlineStr">
        <is>
          <t/>
        </is>
      </c>
      <c r="Z491" s="34" t="inlineStr">
        <is>
          <t/>
        </is>
      </c>
      <c r="AA491" s="35" t="inlineStr">
        <is>
          <t/>
        </is>
      </c>
      <c r="AB491" s="36" t="inlineStr">
        <is>
          <t/>
        </is>
      </c>
      <c r="AC491" s="37" t="inlineStr">
        <is>
          <t/>
        </is>
      </c>
      <c r="AD491" s="38" t="inlineStr">
        <is>
          <t/>
        </is>
      </c>
      <c r="AE491" s="39" t="inlineStr">
        <is>
          <t>66528-82P</t>
        </is>
      </c>
      <c r="AF491" s="40" t="inlineStr">
        <is>
          <t>Jens Kurth</t>
        </is>
      </c>
      <c r="AG491" s="41" t="inlineStr">
        <is>
          <t>Co-Founder &amp; Chief Development Officer</t>
        </is>
      </c>
      <c r="AH491" s="42" t="inlineStr">
        <is>
          <t>jens.kurth@anokion.com</t>
        </is>
      </c>
      <c r="AI491" s="43" t="inlineStr">
        <is>
          <t>+41 (0)21 693 7237</t>
        </is>
      </c>
      <c r="AJ491" s="44" t="inlineStr">
        <is>
          <t>Paris, France</t>
        </is>
      </c>
      <c r="AK491" s="45" t="inlineStr">
        <is>
          <t>29 rue Tronchet</t>
        </is>
      </c>
      <c r="AL491" s="46" t="inlineStr">
        <is>
          <t/>
        </is>
      </c>
      <c r="AM491" s="47" t="inlineStr">
        <is>
          <t>Paris</t>
        </is>
      </c>
      <c r="AN491" s="48" t="inlineStr">
        <is>
          <t/>
        </is>
      </c>
      <c r="AO491" s="49" t="inlineStr">
        <is>
          <t>75009</t>
        </is>
      </c>
      <c r="AP491" s="50" t="inlineStr">
        <is>
          <t>France</t>
        </is>
      </c>
      <c r="AQ491" s="51" t="inlineStr">
        <is>
          <t/>
        </is>
      </c>
      <c r="AR491" s="52" t="inlineStr">
        <is>
          <t/>
        </is>
      </c>
      <c r="AS491" s="53" t="inlineStr">
        <is>
          <t>info@vivet-therapeutics.com</t>
        </is>
      </c>
      <c r="AT491" s="54" t="inlineStr">
        <is>
          <t>Europe</t>
        </is>
      </c>
      <c r="AU491" s="55" t="inlineStr">
        <is>
          <t>Western Europe</t>
        </is>
      </c>
      <c r="AV491" s="56" t="inlineStr">
        <is>
          <t>The company raised $41 million of Series A venture funding in a deal led by Novartis Venture Fund and Columbus Venture Partners on May 4, 2017. Roche Venture Fund, HealthCap, Kurma Partners, IdInvest Partners and Ysios Capital also participated in this round. The cash boost will go toward early work on a group of rare and inherited metabolic diseases, including Wilson disease, progressive familial intrahepatic cholestasis type 2 (PFIC2), progressive familial intrahepatic cholestasis type 3 (PFIC3) and citrullinemia type I.</t>
        </is>
      </c>
      <c r="AW491" s="57" t="inlineStr">
        <is>
          <t>Columbus Venture Partners, HealthCap, IdInvest Partners, Kurma Partners, Novartis Venture Fund, Roche Venture Fund, Ysios Capital</t>
        </is>
      </c>
      <c r="AX491" s="58" t="n">
        <v>7.0</v>
      </c>
      <c r="AY491" s="59" t="inlineStr">
        <is>
          <t/>
        </is>
      </c>
      <c r="AZ491" s="60" t="inlineStr">
        <is>
          <t/>
        </is>
      </c>
      <c r="BA491" s="61" t="inlineStr">
        <is>
          <t/>
        </is>
      </c>
      <c r="BB491" s="62" t="inlineStr">
        <is>
          <t>Columbus Venture Partners (columbusvp.com), HealthCap (www.healthcap.eu), IdInvest Partners (www.idinvest.com), Kurma Partners (www.kurmapartners.com), Novartis Venture Fund (www.nvfund.com), Ysios Capital (www.ysioscapital.com)</t>
        </is>
      </c>
      <c r="BC491" s="63" t="inlineStr">
        <is>
          <t/>
        </is>
      </c>
      <c r="BD491" s="64" t="inlineStr">
        <is>
          <t/>
        </is>
      </c>
      <c r="BE491" s="65" t="inlineStr">
        <is>
          <t/>
        </is>
      </c>
      <c r="BF491" s="66" t="inlineStr">
        <is>
          <t/>
        </is>
      </c>
      <c r="BG491" s="67" t="n">
        <v>42859.0</v>
      </c>
      <c r="BH491" s="68" t="n">
        <v>37.12</v>
      </c>
      <c r="BI491" s="69" t="inlineStr">
        <is>
          <t>Actual</t>
        </is>
      </c>
      <c r="BJ491" s="70" t="inlineStr">
        <is>
          <t/>
        </is>
      </c>
      <c r="BK491" s="71" t="inlineStr">
        <is>
          <t/>
        </is>
      </c>
      <c r="BL491" s="72" t="inlineStr">
        <is>
          <t>Early Stage VC</t>
        </is>
      </c>
      <c r="BM491" s="73" t="inlineStr">
        <is>
          <t>Series A</t>
        </is>
      </c>
      <c r="BN491" s="74" t="inlineStr">
        <is>
          <t/>
        </is>
      </c>
      <c r="BO491" s="75" t="inlineStr">
        <is>
          <t>Venture Capital</t>
        </is>
      </c>
      <c r="BP491" s="76" t="inlineStr">
        <is>
          <t/>
        </is>
      </c>
      <c r="BQ491" s="77" t="inlineStr">
        <is>
          <t/>
        </is>
      </c>
      <c r="BR491" s="78" t="inlineStr">
        <is>
          <t/>
        </is>
      </c>
      <c r="BS491" s="79" t="inlineStr">
        <is>
          <t>Completed</t>
        </is>
      </c>
      <c r="BT491" s="80" t="n">
        <v>42859.0</v>
      </c>
      <c r="BU491" s="81" t="n">
        <v>37.12</v>
      </c>
      <c r="BV491" s="82" t="inlineStr">
        <is>
          <t>Actual</t>
        </is>
      </c>
      <c r="BW491" s="83" t="inlineStr">
        <is>
          <t/>
        </is>
      </c>
      <c r="BX491" s="84" t="inlineStr">
        <is>
          <t/>
        </is>
      </c>
      <c r="BY491" s="85" t="inlineStr">
        <is>
          <t>Early Stage VC</t>
        </is>
      </c>
      <c r="BZ491" s="86" t="inlineStr">
        <is>
          <t>Series A</t>
        </is>
      </c>
      <c r="CA491" s="87" t="inlineStr">
        <is>
          <t/>
        </is>
      </c>
      <c r="CB491" s="88" t="inlineStr">
        <is>
          <t>Venture Capital</t>
        </is>
      </c>
      <c r="CC491" s="89" t="inlineStr">
        <is>
          <t/>
        </is>
      </c>
      <c r="CD491" s="90" t="inlineStr">
        <is>
          <t/>
        </is>
      </c>
      <c r="CE491" s="91" t="inlineStr">
        <is>
          <t/>
        </is>
      </c>
      <c r="CF491" s="92" t="inlineStr">
        <is>
          <t>Completed</t>
        </is>
      </c>
      <c r="CG491" s="93" t="inlineStr">
        <is>
          <t/>
        </is>
      </c>
      <c r="CH491" s="94" t="inlineStr">
        <is>
          <t/>
        </is>
      </c>
      <c r="CI491" s="95" t="inlineStr">
        <is>
          <t/>
        </is>
      </c>
      <c r="CJ491" s="96" t="inlineStr">
        <is>
          <t/>
        </is>
      </c>
      <c r="CK491" s="97" t="inlineStr">
        <is>
          <t/>
        </is>
      </c>
      <c r="CL491" s="98" t="inlineStr">
        <is>
          <t/>
        </is>
      </c>
      <c r="CM491" s="99" t="inlineStr">
        <is>
          <t/>
        </is>
      </c>
      <c r="CN491" s="100" t="inlineStr">
        <is>
          <t/>
        </is>
      </c>
      <c r="CO491" s="101" t="inlineStr">
        <is>
          <t/>
        </is>
      </c>
      <c r="CP491" s="102" t="inlineStr">
        <is>
          <t/>
        </is>
      </c>
      <c r="CQ491" s="103" t="inlineStr">
        <is>
          <t/>
        </is>
      </c>
      <c r="CR491" s="104" t="inlineStr">
        <is>
          <t/>
        </is>
      </c>
      <c r="CS491" s="105" t="inlineStr">
        <is>
          <t/>
        </is>
      </c>
      <c r="CT491" s="106" t="inlineStr">
        <is>
          <t/>
        </is>
      </c>
      <c r="CU491" s="107" t="inlineStr">
        <is>
          <t/>
        </is>
      </c>
      <c r="CV491" s="108" t="inlineStr">
        <is>
          <t/>
        </is>
      </c>
      <c r="CW491" s="109" t="inlineStr">
        <is>
          <t/>
        </is>
      </c>
      <c r="CX491" s="110" t="inlineStr">
        <is>
          <t/>
        </is>
      </c>
      <c r="CY491" s="111" t="inlineStr">
        <is>
          <t/>
        </is>
      </c>
      <c r="CZ491" s="112" t="inlineStr">
        <is>
          <t/>
        </is>
      </c>
      <c r="DA491" s="113" t="inlineStr">
        <is>
          <t/>
        </is>
      </c>
      <c r="DB491" s="114" t="inlineStr">
        <is>
          <t/>
        </is>
      </c>
      <c r="DC491" s="115" t="inlineStr">
        <is>
          <t/>
        </is>
      </c>
      <c r="DD491" s="116" t="inlineStr">
        <is>
          <t/>
        </is>
      </c>
      <c r="DE491" s="117" t="inlineStr">
        <is>
          <t/>
        </is>
      </c>
      <c r="DF491" s="118" t="inlineStr">
        <is>
          <t/>
        </is>
      </c>
      <c r="DG491" s="119" t="inlineStr">
        <is>
          <t/>
        </is>
      </c>
      <c r="DH491" s="120" t="inlineStr">
        <is>
          <t/>
        </is>
      </c>
      <c r="DI491" s="121" t="inlineStr">
        <is>
          <t/>
        </is>
      </c>
      <c r="DJ491" s="122" t="inlineStr">
        <is>
          <t/>
        </is>
      </c>
      <c r="DK491" s="123" t="inlineStr">
        <is>
          <t/>
        </is>
      </c>
      <c r="DL491" s="124" t="inlineStr">
        <is>
          <t/>
        </is>
      </c>
      <c r="DM491" s="125" t="inlineStr">
        <is>
          <t/>
        </is>
      </c>
      <c r="DN491" s="126" t="inlineStr">
        <is>
          <t/>
        </is>
      </c>
      <c r="DO491" s="127" t="inlineStr">
        <is>
          <t/>
        </is>
      </c>
      <c r="DP491" s="128" t="inlineStr">
        <is>
          <t/>
        </is>
      </c>
      <c r="DQ491" s="129" t="inlineStr">
        <is>
          <t/>
        </is>
      </c>
      <c r="DR491" s="130" t="inlineStr">
        <is>
          <t/>
        </is>
      </c>
      <c r="DS491" s="131" t="inlineStr">
        <is>
          <t/>
        </is>
      </c>
      <c r="DT491" s="132" t="inlineStr">
        <is>
          <t/>
        </is>
      </c>
      <c r="DU491" s="133" t="inlineStr">
        <is>
          <t/>
        </is>
      </c>
      <c r="DV491" s="134" t="inlineStr">
        <is>
          <t/>
        </is>
      </c>
      <c r="DW491" s="135" t="inlineStr">
        <is>
          <t/>
        </is>
      </c>
      <c r="DX491" s="136" t="inlineStr">
        <is>
          <t/>
        </is>
      </c>
      <c r="DY491" s="137" t="inlineStr">
        <is>
          <t>PitchBook Research</t>
        </is>
      </c>
      <c r="DZ491" s="785">
        <f>HYPERLINK("https://my.pitchbook.com?c=180558-55", "View company online")</f>
      </c>
    </row>
    <row r="492">
      <c r="A492" s="139" t="inlineStr">
        <is>
          <t>56124-64</t>
        </is>
      </c>
      <c r="B492" s="140" t="inlineStr">
        <is>
          <t>Vizolution</t>
        </is>
      </c>
      <c r="C492" s="141" t="inlineStr">
        <is>
          <t>Norland Technology</t>
        </is>
      </c>
      <c r="D492" s="142" t="inlineStr">
        <is>
          <t/>
        </is>
      </c>
      <c r="E492" s="143" t="inlineStr">
        <is>
          <t>56124-64</t>
        </is>
      </c>
      <c r="F492" s="144" t="inlineStr">
        <is>
          <t>Provider of screen-sharing technology. The company offers a platform that enables businesses to interact with customers and digitally send, receive and sign documents in real time. It provides a suite of services that create digital bridges between channels to create customer journeys.</t>
        </is>
      </c>
      <c r="G492" s="145" t="inlineStr">
        <is>
          <t>Information Technology</t>
        </is>
      </c>
      <c r="H492" s="146" t="inlineStr">
        <is>
          <t>Software</t>
        </is>
      </c>
      <c r="I492" s="147" t="inlineStr">
        <is>
          <t>Business/Productivity Software</t>
        </is>
      </c>
      <c r="J492" s="148" t="inlineStr">
        <is>
          <t>Business/Productivity Software*; Communication Software; Database Software</t>
        </is>
      </c>
      <c r="K492" s="149" t="inlineStr">
        <is>
          <t>SaaS</t>
        </is>
      </c>
      <c r="L492" s="150" t="inlineStr">
        <is>
          <t>Venture Capital-Backed</t>
        </is>
      </c>
      <c r="M492" s="151" t="n">
        <v>8.95</v>
      </c>
      <c r="N492" s="152" t="inlineStr">
        <is>
          <t>Generating Revenue</t>
        </is>
      </c>
      <c r="O492" s="153" t="inlineStr">
        <is>
          <t>Privately Held (backing)</t>
        </is>
      </c>
      <c r="P492" s="154" t="inlineStr">
        <is>
          <t>Venture Capital</t>
        </is>
      </c>
      <c r="Q492" s="155" t="inlineStr">
        <is>
          <t>www.vizolution.co.uk</t>
        </is>
      </c>
      <c r="R492" s="156" t="n">
        <v>23.0</v>
      </c>
      <c r="S492" s="157" t="inlineStr">
        <is>
          <t/>
        </is>
      </c>
      <c r="T492" s="158" t="inlineStr">
        <is>
          <t/>
        </is>
      </c>
      <c r="U492" s="159" t="n">
        <v>2013.0</v>
      </c>
      <c r="V492" s="160" t="inlineStr">
        <is>
          <t/>
        </is>
      </c>
      <c r="W492" s="161" t="inlineStr">
        <is>
          <t/>
        </is>
      </c>
      <c r="X492" s="162" t="inlineStr">
        <is>
          <t/>
        </is>
      </c>
      <c r="Y492" s="163" t="inlineStr">
        <is>
          <t/>
        </is>
      </c>
      <c r="Z492" s="164" t="inlineStr">
        <is>
          <t/>
        </is>
      </c>
      <c r="AA492" s="165" t="inlineStr">
        <is>
          <t/>
        </is>
      </c>
      <c r="AB492" s="166" t="inlineStr">
        <is>
          <t/>
        </is>
      </c>
      <c r="AC492" s="167" t="inlineStr">
        <is>
          <t/>
        </is>
      </c>
      <c r="AD492" s="168" t="inlineStr">
        <is>
          <t/>
        </is>
      </c>
      <c r="AE492" s="169" t="inlineStr">
        <is>
          <t>48386-53P</t>
        </is>
      </c>
      <c r="AF492" s="170" t="inlineStr">
        <is>
          <t>William Safran</t>
        </is>
      </c>
      <c r="AG492" s="171" t="inlineStr">
        <is>
          <t>Board Member, Chief Executive Officer &amp; Co-Founder</t>
        </is>
      </c>
      <c r="AH492" s="172" t="inlineStr">
        <is>
          <t>bill.safran@vizolution.co.uk</t>
        </is>
      </c>
      <c r="AI492" s="173" t="inlineStr">
        <is>
          <t>+44 (0)84 5539 1972</t>
        </is>
      </c>
      <c r="AJ492" s="174" t="inlineStr">
        <is>
          <t>Port Talbot, United Kingdom</t>
        </is>
      </c>
      <c r="AK492" s="175" t="inlineStr">
        <is>
          <t>Crown House, Mardon Park</t>
        </is>
      </c>
      <c r="AL492" s="176" t="inlineStr">
        <is>
          <t>Baglan Energy Park</t>
        </is>
      </c>
      <c r="AM492" s="177" t="inlineStr">
        <is>
          <t>Port Talbot</t>
        </is>
      </c>
      <c r="AN492" s="178" t="inlineStr">
        <is>
          <t>Wales</t>
        </is>
      </c>
      <c r="AO492" s="179" t="inlineStr">
        <is>
          <t>SA12 7AX</t>
        </is>
      </c>
      <c r="AP492" s="180" t="inlineStr">
        <is>
          <t>United Kingdom</t>
        </is>
      </c>
      <c r="AQ492" s="181" t="inlineStr">
        <is>
          <t>+44 (0)84 5539 1972</t>
        </is>
      </c>
      <c r="AR492" s="182" t="inlineStr">
        <is>
          <t/>
        </is>
      </c>
      <c r="AS492" s="183" t="inlineStr">
        <is>
          <t/>
        </is>
      </c>
      <c r="AT492" s="184" t="inlineStr">
        <is>
          <t>Europe</t>
        </is>
      </c>
      <c r="AU492" s="185" t="inlineStr">
        <is>
          <t>Western Europe</t>
        </is>
      </c>
      <c r="AV492" s="186" t="inlineStr">
        <is>
          <t>The company raised GBP 5 million of venture funding in a deal led by HSBC Innovation Investments on October 4, 2016. Finance Wales also participated in the round. The new funds will be used to expand Vizolution into North American, APAC and EMEA markets, as well as fuel increased product development that will allow Vizolution to continue to deliver innovative, market leading services. Previously, the company received GBP 1.5 million of venture debt from BOOST&amp;Co on July 27, 2016.</t>
        </is>
      </c>
      <c r="AW492" s="187" t="inlineStr">
        <is>
          <t>Finance Wales, HSBC Innovation Investments, Notion Capital, Perscitus Advisers, Peter Birch</t>
        </is>
      </c>
      <c r="AX492" s="188" t="n">
        <v>5.0</v>
      </c>
      <c r="AY492" s="189" t="inlineStr">
        <is>
          <t/>
        </is>
      </c>
      <c r="AZ492" s="190" t="inlineStr">
        <is>
          <t/>
        </is>
      </c>
      <c r="BA492" s="191" t="inlineStr">
        <is>
          <t/>
        </is>
      </c>
      <c r="BB492" s="192" t="inlineStr">
        <is>
          <t>Finance Wales (www.financewales.co.uk), HSBC Innovation Investments (www.gbm.hsbc.com/solutions/innovation), Notion Capital (www.notioncapital.com)</t>
        </is>
      </c>
      <c r="BC492" s="193" t="inlineStr">
        <is>
          <t/>
        </is>
      </c>
      <c r="BD492" s="194" t="inlineStr">
        <is>
          <t/>
        </is>
      </c>
      <c r="BE492" s="195" t="inlineStr">
        <is>
          <t/>
        </is>
      </c>
      <c r="BF492" s="196" t="inlineStr">
        <is>
          <t>Boost&amp;Co, Marlin &amp; Associates (Advisor)</t>
        </is>
      </c>
      <c r="BG492" s="197" t="n">
        <v>41318.0</v>
      </c>
      <c r="BH492" s="198" t="n">
        <v>0.87</v>
      </c>
      <c r="BI492" s="199" t="inlineStr">
        <is>
          <t>Actual</t>
        </is>
      </c>
      <c r="BJ492" s="200" t="inlineStr">
        <is>
          <t/>
        </is>
      </c>
      <c r="BK492" s="201" t="inlineStr">
        <is>
          <t/>
        </is>
      </c>
      <c r="BL492" s="202" t="inlineStr">
        <is>
          <t>Early Stage VC</t>
        </is>
      </c>
      <c r="BM492" s="203" t="inlineStr">
        <is>
          <t/>
        </is>
      </c>
      <c r="BN492" s="204" t="inlineStr">
        <is>
          <t/>
        </is>
      </c>
      <c r="BO492" s="205" t="inlineStr">
        <is>
          <t>Venture Capital</t>
        </is>
      </c>
      <c r="BP492" s="206" t="inlineStr">
        <is>
          <t/>
        </is>
      </c>
      <c r="BQ492" s="207" t="inlineStr">
        <is>
          <t/>
        </is>
      </c>
      <c r="BR492" s="208" t="inlineStr">
        <is>
          <t/>
        </is>
      </c>
      <c r="BS492" s="209" t="inlineStr">
        <is>
          <t>Completed</t>
        </is>
      </c>
      <c r="BT492" s="210" t="n">
        <v>42647.0</v>
      </c>
      <c r="BU492" s="211" t="n">
        <v>5.61</v>
      </c>
      <c r="BV492" s="212" t="inlineStr">
        <is>
          <t>Actual</t>
        </is>
      </c>
      <c r="BW492" s="213" t="inlineStr">
        <is>
          <t/>
        </is>
      </c>
      <c r="BX492" s="214" t="inlineStr">
        <is>
          <t/>
        </is>
      </c>
      <c r="BY492" s="215" t="inlineStr">
        <is>
          <t>Early Stage VC</t>
        </is>
      </c>
      <c r="BZ492" s="216" t="inlineStr">
        <is>
          <t/>
        </is>
      </c>
      <c r="CA492" s="217" t="inlineStr">
        <is>
          <t/>
        </is>
      </c>
      <c r="CB492" s="218" t="inlineStr">
        <is>
          <t>Venture Capital</t>
        </is>
      </c>
      <c r="CC492" s="219" t="inlineStr">
        <is>
          <t/>
        </is>
      </c>
      <c r="CD492" s="220" t="inlineStr">
        <is>
          <t/>
        </is>
      </c>
      <c r="CE492" s="221" t="inlineStr">
        <is>
          <t/>
        </is>
      </c>
      <c r="CF492" s="222" t="inlineStr">
        <is>
          <t>Completed</t>
        </is>
      </c>
      <c r="CG492" s="223" t="inlineStr">
        <is>
          <t>-0,36%</t>
        </is>
      </c>
      <c r="CH492" s="224" t="inlineStr">
        <is>
          <t>10</t>
        </is>
      </c>
      <c r="CI492" s="225" t="inlineStr">
        <is>
          <t>-0,15%</t>
        </is>
      </c>
      <c r="CJ492" s="226" t="inlineStr">
        <is>
          <t>-70,35%</t>
        </is>
      </c>
      <c r="CK492" s="227" t="inlineStr">
        <is>
          <t>-0,87%</t>
        </is>
      </c>
      <c r="CL492" s="228" t="inlineStr">
        <is>
          <t>10</t>
        </is>
      </c>
      <c r="CM492" s="229" t="inlineStr">
        <is>
          <t>0,15%</t>
        </is>
      </c>
      <c r="CN492" s="230" t="inlineStr">
        <is>
          <t>67</t>
        </is>
      </c>
      <c r="CO492" s="231" t="inlineStr">
        <is>
          <t>-1,74%</t>
        </is>
      </c>
      <c r="CP492" s="232" t="inlineStr">
        <is>
          <t>16</t>
        </is>
      </c>
      <c r="CQ492" s="233" t="inlineStr">
        <is>
          <t>0,00%</t>
        </is>
      </c>
      <c r="CR492" s="234" t="inlineStr">
        <is>
          <t>13</t>
        </is>
      </c>
      <c r="CS492" s="235" t="inlineStr">
        <is>
          <t/>
        </is>
      </c>
      <c r="CT492" s="236" t="inlineStr">
        <is>
          <t/>
        </is>
      </c>
      <c r="CU492" s="237" t="inlineStr">
        <is>
          <t>0,15%</t>
        </is>
      </c>
      <c r="CV492" s="238" t="inlineStr">
        <is>
          <t>73</t>
        </is>
      </c>
      <c r="CW492" s="239" t="inlineStr">
        <is>
          <t>0,99x</t>
        </is>
      </c>
      <c r="CX492" s="240" t="inlineStr">
        <is>
          <t>49</t>
        </is>
      </c>
      <c r="CY492" s="241" t="inlineStr">
        <is>
          <t>0,02x</t>
        </is>
      </c>
      <c r="CZ492" s="242" t="inlineStr">
        <is>
          <t>1,96%</t>
        </is>
      </c>
      <c r="DA492" s="243" t="inlineStr">
        <is>
          <t>1,00x</t>
        </is>
      </c>
      <c r="DB492" s="244" t="inlineStr">
        <is>
          <t>52</t>
        </is>
      </c>
      <c r="DC492" s="245" t="inlineStr">
        <is>
          <t>0,99x</t>
        </is>
      </c>
      <c r="DD492" s="246" t="inlineStr">
        <is>
          <t>48</t>
        </is>
      </c>
      <c r="DE492" s="247" t="inlineStr">
        <is>
          <t>0,36x</t>
        </is>
      </c>
      <c r="DF492" s="248" t="inlineStr">
        <is>
          <t>29</t>
        </is>
      </c>
      <c r="DG492" s="249" t="inlineStr">
        <is>
          <t>1,64x</t>
        </is>
      </c>
      <c r="DH492" s="250" t="inlineStr">
        <is>
          <t>60</t>
        </is>
      </c>
      <c r="DI492" s="251" t="inlineStr">
        <is>
          <t/>
        </is>
      </c>
      <c r="DJ492" s="252" t="inlineStr">
        <is>
          <t/>
        </is>
      </c>
      <c r="DK492" s="253" t="inlineStr">
        <is>
          <t>0,99x</t>
        </is>
      </c>
      <c r="DL492" s="254" t="inlineStr">
        <is>
          <t>50</t>
        </is>
      </c>
      <c r="DM492" s="255" t="inlineStr">
        <is>
          <t>227</t>
        </is>
      </c>
      <c r="DN492" s="256" t="inlineStr">
        <is>
          <t>-21</t>
        </is>
      </c>
      <c r="DO492" s="257" t="inlineStr">
        <is>
          <t>-8,47%</t>
        </is>
      </c>
      <c r="DP492" s="258" t="inlineStr">
        <is>
          <t/>
        </is>
      </c>
      <c r="DQ492" s="259" t="inlineStr">
        <is>
          <t/>
        </is>
      </c>
      <c r="DR492" s="260" t="inlineStr">
        <is>
          <t/>
        </is>
      </c>
      <c r="DS492" s="261" t="inlineStr">
        <is>
          <t>58</t>
        </is>
      </c>
      <c r="DT492" s="262" t="inlineStr">
        <is>
          <t>0</t>
        </is>
      </c>
      <c r="DU492" s="263" t="inlineStr">
        <is>
          <t>0,00%</t>
        </is>
      </c>
      <c r="DV492" s="264" t="inlineStr">
        <is>
          <t>342</t>
        </is>
      </c>
      <c r="DW492" s="265" t="inlineStr">
        <is>
          <t>-2</t>
        </is>
      </c>
      <c r="DX492" s="266" t="inlineStr">
        <is>
          <t>-0,58%</t>
        </is>
      </c>
      <c r="DY492" s="267" t="inlineStr">
        <is>
          <t>PitchBook Research</t>
        </is>
      </c>
      <c r="DZ492" s="786">
        <f>HYPERLINK("https://my.pitchbook.com?c=56124-64", "View company online")</f>
      </c>
    </row>
    <row r="493">
      <c r="A493" s="9" t="inlineStr">
        <is>
          <t>93567-43</t>
        </is>
      </c>
      <c r="B493" s="10" t="inlineStr">
        <is>
          <t>Voysis</t>
        </is>
      </c>
      <c r="C493" s="11" t="inlineStr">
        <is>
          <t/>
        </is>
      </c>
      <c r="D493" s="12" t="inlineStr">
        <is>
          <t/>
        </is>
      </c>
      <c r="E493" s="13" t="inlineStr">
        <is>
          <t>93567-43</t>
        </is>
      </c>
      <c r="F493" s="14" t="inlineStr">
        <is>
          <t>Developer of a voice AI platform designed to change the way people interact with consumer and enterprise facing applications. The company's voice AI platform utilizes speech recognition, natural language processing and understanding, deep learning and text to speech capabilities, allowing natural language instruction, search and discovery across consumer and enterprise applications, enabling retail enterprises to deliver more intuitive, efficient and personalized experiences to their customers.</t>
        </is>
      </c>
      <c r="G493" s="15" t="inlineStr">
        <is>
          <t>Information Technology</t>
        </is>
      </c>
      <c r="H493" s="16" t="inlineStr">
        <is>
          <t>Software</t>
        </is>
      </c>
      <c r="I493" s="17" t="inlineStr">
        <is>
          <t>Communication Software</t>
        </is>
      </c>
      <c r="J493" s="18" t="inlineStr">
        <is>
          <t>Communication Software*; Other Software</t>
        </is>
      </c>
      <c r="K493" s="19" t="inlineStr">
        <is>
          <t>Artificial Intelligence &amp; Machine Learning</t>
        </is>
      </c>
      <c r="L493" s="20" t="inlineStr">
        <is>
          <t>Venture Capital-Backed</t>
        </is>
      </c>
      <c r="M493" s="21" t="n">
        <v>7.51</v>
      </c>
      <c r="N493" s="22" t="inlineStr">
        <is>
          <t>Generating Revenue</t>
        </is>
      </c>
      <c r="O493" s="23" t="inlineStr">
        <is>
          <t>Privately Held (backing)</t>
        </is>
      </c>
      <c r="P493" s="24" t="inlineStr">
        <is>
          <t>Venture Capital</t>
        </is>
      </c>
      <c r="Q493" s="25" t="inlineStr">
        <is>
          <t>www.voysis.com</t>
        </is>
      </c>
      <c r="R493" s="26" t="n">
        <v>15.0</v>
      </c>
      <c r="S493" s="27" t="inlineStr">
        <is>
          <t/>
        </is>
      </c>
      <c r="T493" s="28" t="inlineStr">
        <is>
          <t/>
        </is>
      </c>
      <c r="U493" s="29" t="n">
        <v>2014.0</v>
      </c>
      <c r="V493" s="30" t="inlineStr">
        <is>
          <t/>
        </is>
      </c>
      <c r="W493" s="31" t="inlineStr">
        <is>
          <t/>
        </is>
      </c>
      <c r="X493" s="32" t="inlineStr">
        <is>
          <t/>
        </is>
      </c>
      <c r="Y493" s="33" t="inlineStr">
        <is>
          <t/>
        </is>
      </c>
      <c r="Z493" s="34" t="inlineStr">
        <is>
          <t/>
        </is>
      </c>
      <c r="AA493" s="35" t="inlineStr">
        <is>
          <t/>
        </is>
      </c>
      <c r="AB493" s="36" t="inlineStr">
        <is>
          <t/>
        </is>
      </c>
      <c r="AC493" s="37" t="inlineStr">
        <is>
          <t/>
        </is>
      </c>
      <c r="AD493" s="38" t="inlineStr">
        <is>
          <t/>
        </is>
      </c>
      <c r="AE493" s="39" t="inlineStr">
        <is>
          <t>122041-09P</t>
        </is>
      </c>
      <c r="AF493" s="40" t="inlineStr">
        <is>
          <t>Peter Cahill</t>
        </is>
      </c>
      <c r="AG493" s="41" t="inlineStr">
        <is>
          <t>Co-Founder and Chief Executive Officer</t>
        </is>
      </c>
      <c r="AH493" s="42" t="inlineStr">
        <is>
          <t>peter@screamtechnologies.com</t>
        </is>
      </c>
      <c r="AI493" s="43" t="inlineStr">
        <is>
          <t/>
        </is>
      </c>
      <c r="AJ493" s="44" t="inlineStr">
        <is>
          <t>Dublin, Ireland</t>
        </is>
      </c>
      <c r="AK493" s="45" t="inlineStr">
        <is>
          <t>Bloodstone Building, 2nd Floor</t>
        </is>
      </c>
      <c r="AL493" s="46" t="inlineStr">
        <is>
          <t>Sir John Rogersons Quay</t>
        </is>
      </c>
      <c r="AM493" s="47" t="inlineStr">
        <is>
          <t>Dublin</t>
        </is>
      </c>
      <c r="AN493" s="48" t="inlineStr">
        <is>
          <t/>
        </is>
      </c>
      <c r="AO493" s="49" t="inlineStr">
        <is>
          <t>7</t>
        </is>
      </c>
      <c r="AP493" s="50" t="inlineStr">
        <is>
          <t>Ireland</t>
        </is>
      </c>
      <c r="AQ493" s="51" t="inlineStr">
        <is>
          <t/>
        </is>
      </c>
      <c r="AR493" s="52" t="inlineStr">
        <is>
          <t/>
        </is>
      </c>
      <c r="AS493" s="53" t="inlineStr">
        <is>
          <t>talk@voysis.com</t>
        </is>
      </c>
      <c r="AT493" s="54" t="inlineStr">
        <is>
          <t>Europe</t>
        </is>
      </c>
      <c r="AU493" s="55" t="inlineStr">
        <is>
          <t>Western Europe</t>
        </is>
      </c>
      <c r="AV493" s="56" t="inlineStr">
        <is>
          <t>The company raised $8 million of Series A venture funding in a round led by Polaris Partners on February 22, 2017. Other undisclosed investors also participated in this round. The company, which has raised under $10 million since its founding, will use the funding to expand its U.S. team, opening a new office in Boston and to further develop its technology for a wide range of partners and customer use cases.</t>
        </is>
      </c>
      <c r="AW493" s="57" t="inlineStr">
        <is>
          <t>Enterprise Ireland, Polaris Partners</t>
        </is>
      </c>
      <c r="AX493" s="58" t="n">
        <v>2.0</v>
      </c>
      <c r="AY493" s="59" t="inlineStr">
        <is>
          <t/>
        </is>
      </c>
      <c r="AZ493" s="60" t="inlineStr">
        <is>
          <t/>
        </is>
      </c>
      <c r="BA493" s="61" t="inlineStr">
        <is>
          <t/>
        </is>
      </c>
      <c r="BB493" s="62" t="inlineStr">
        <is>
          <t>Enterprise Ireland (www.enterprise-ireland.com), Polaris Partners (www.polarispartners.com)</t>
        </is>
      </c>
      <c r="BC493" s="63" t="inlineStr">
        <is>
          <t/>
        </is>
      </c>
      <c r="BD493" s="64" t="inlineStr">
        <is>
          <t/>
        </is>
      </c>
      <c r="BE493" s="65" t="inlineStr">
        <is>
          <t/>
        </is>
      </c>
      <c r="BF493" s="66" t="inlineStr">
        <is>
          <t/>
        </is>
      </c>
      <c r="BG493" s="67" t="n">
        <v>42072.0</v>
      </c>
      <c r="BH493" s="68" t="inlineStr">
        <is>
          <t/>
        </is>
      </c>
      <c r="BI493" s="69" t="inlineStr">
        <is>
          <t/>
        </is>
      </c>
      <c r="BJ493" s="70" t="inlineStr">
        <is>
          <t/>
        </is>
      </c>
      <c r="BK493" s="71" t="inlineStr">
        <is>
          <t/>
        </is>
      </c>
      <c r="BL493" s="72" t="inlineStr">
        <is>
          <t>Seed Round</t>
        </is>
      </c>
      <c r="BM493" s="73" t="inlineStr">
        <is>
          <t>Seed</t>
        </is>
      </c>
      <c r="BN493" s="74" t="inlineStr">
        <is>
          <t/>
        </is>
      </c>
      <c r="BO493" s="75" t="inlineStr">
        <is>
          <t>Venture Capital</t>
        </is>
      </c>
      <c r="BP493" s="76" t="inlineStr">
        <is>
          <t/>
        </is>
      </c>
      <c r="BQ493" s="77" t="inlineStr">
        <is>
          <t/>
        </is>
      </c>
      <c r="BR493" s="78" t="inlineStr">
        <is>
          <t/>
        </is>
      </c>
      <c r="BS493" s="79" t="inlineStr">
        <is>
          <t>Completed</t>
        </is>
      </c>
      <c r="BT493" s="80" t="n">
        <v>42788.0</v>
      </c>
      <c r="BU493" s="81" t="n">
        <v>7.51</v>
      </c>
      <c r="BV493" s="82" t="inlineStr">
        <is>
          <t>Actual</t>
        </is>
      </c>
      <c r="BW493" s="83" t="inlineStr">
        <is>
          <t/>
        </is>
      </c>
      <c r="BX493" s="84" t="inlineStr">
        <is>
          <t/>
        </is>
      </c>
      <c r="BY493" s="85" t="inlineStr">
        <is>
          <t>Early Stage VC</t>
        </is>
      </c>
      <c r="BZ493" s="86" t="inlineStr">
        <is>
          <t>Series A</t>
        </is>
      </c>
      <c r="CA493" s="87" t="inlineStr">
        <is>
          <t/>
        </is>
      </c>
      <c r="CB493" s="88" t="inlineStr">
        <is>
          <t>Venture Capital</t>
        </is>
      </c>
      <c r="CC493" s="89" t="inlineStr">
        <is>
          <t/>
        </is>
      </c>
      <c r="CD493" s="90" t="inlineStr">
        <is>
          <t/>
        </is>
      </c>
      <c r="CE493" s="91" t="inlineStr">
        <is>
          <t/>
        </is>
      </c>
      <c r="CF493" s="92" t="inlineStr">
        <is>
          <t>Completed</t>
        </is>
      </c>
      <c r="CG493" s="93" t="inlineStr">
        <is>
          <t>1,10%</t>
        </is>
      </c>
      <c r="CH493" s="94" t="inlineStr">
        <is>
          <t>89</t>
        </is>
      </c>
      <c r="CI493" s="95" t="inlineStr">
        <is>
          <t>0,19%</t>
        </is>
      </c>
      <c r="CJ493" s="96" t="inlineStr">
        <is>
          <t>20,75%</t>
        </is>
      </c>
      <c r="CK493" s="97" t="inlineStr">
        <is>
          <t>0,00%</t>
        </is>
      </c>
      <c r="CL493" s="98" t="inlineStr">
        <is>
          <t>18</t>
        </is>
      </c>
      <c r="CM493" s="99" t="inlineStr">
        <is>
          <t>2,19%</t>
        </is>
      </c>
      <c r="CN493" s="100" t="inlineStr">
        <is>
          <t>99</t>
        </is>
      </c>
      <c r="CO493" s="101" t="inlineStr">
        <is>
          <t>0,00%</t>
        </is>
      </c>
      <c r="CP493" s="102" t="inlineStr">
        <is>
          <t>26</t>
        </is>
      </c>
      <c r="CQ493" s="103" t="inlineStr">
        <is>
          <t>0,00%</t>
        </is>
      </c>
      <c r="CR493" s="104" t="inlineStr">
        <is>
          <t>13</t>
        </is>
      </c>
      <c r="CS493" s="105" t="inlineStr">
        <is>
          <t/>
        </is>
      </c>
      <c r="CT493" s="106" t="inlineStr">
        <is>
          <t/>
        </is>
      </c>
      <c r="CU493" s="107" t="inlineStr">
        <is>
          <t>2,19%</t>
        </is>
      </c>
      <c r="CV493" s="108" t="inlineStr">
        <is>
          <t>99</t>
        </is>
      </c>
      <c r="CW493" s="109" t="inlineStr">
        <is>
          <t>0,52x</t>
        </is>
      </c>
      <c r="CX493" s="110" t="inlineStr">
        <is>
          <t>34</t>
        </is>
      </c>
      <c r="CY493" s="111" t="inlineStr">
        <is>
          <t>0,02x</t>
        </is>
      </c>
      <c r="CZ493" s="112" t="inlineStr">
        <is>
          <t>4,14%</t>
        </is>
      </c>
      <c r="DA493" s="113" t="inlineStr">
        <is>
          <t>0,36x</t>
        </is>
      </c>
      <c r="DB493" s="114" t="inlineStr">
        <is>
          <t>29</t>
        </is>
      </c>
      <c r="DC493" s="115" t="inlineStr">
        <is>
          <t>0,68x</t>
        </is>
      </c>
      <c r="DD493" s="116" t="inlineStr">
        <is>
          <t>41</t>
        </is>
      </c>
      <c r="DE493" s="117" t="inlineStr">
        <is>
          <t>0,57x</t>
        </is>
      </c>
      <c r="DF493" s="118" t="inlineStr">
        <is>
          <t>39</t>
        </is>
      </c>
      <c r="DG493" s="119" t="inlineStr">
        <is>
          <t>0,14x</t>
        </is>
      </c>
      <c r="DH493" s="120" t="inlineStr">
        <is>
          <t>15</t>
        </is>
      </c>
      <c r="DI493" s="121" t="inlineStr">
        <is>
          <t/>
        </is>
      </c>
      <c r="DJ493" s="122" t="inlineStr">
        <is>
          <t/>
        </is>
      </c>
      <c r="DK493" s="123" t="inlineStr">
        <is>
          <t>0,68x</t>
        </is>
      </c>
      <c r="DL493" s="124" t="inlineStr">
        <is>
          <t>44</t>
        </is>
      </c>
      <c r="DM493" s="125" t="inlineStr">
        <is>
          <t>360</t>
        </is>
      </c>
      <c r="DN493" s="126" t="inlineStr">
        <is>
          <t>-27</t>
        </is>
      </c>
      <c r="DO493" s="127" t="inlineStr">
        <is>
          <t>-6,98%</t>
        </is>
      </c>
      <c r="DP493" s="128" t="inlineStr">
        <is>
          <t/>
        </is>
      </c>
      <c r="DQ493" s="129" t="inlineStr">
        <is>
          <t/>
        </is>
      </c>
      <c r="DR493" s="130" t="inlineStr">
        <is>
          <t/>
        </is>
      </c>
      <c r="DS493" s="131" t="inlineStr">
        <is>
          <t>5</t>
        </is>
      </c>
      <c r="DT493" s="132" t="inlineStr">
        <is>
          <t>0</t>
        </is>
      </c>
      <c r="DU493" s="133" t="inlineStr">
        <is>
          <t>0,00%</t>
        </is>
      </c>
      <c r="DV493" s="134" t="inlineStr">
        <is>
          <t>227</t>
        </is>
      </c>
      <c r="DW493" s="135" t="inlineStr">
        <is>
          <t>10</t>
        </is>
      </c>
      <c r="DX493" s="136" t="inlineStr">
        <is>
          <t>4,61%</t>
        </is>
      </c>
      <c r="DY493" s="137" t="inlineStr">
        <is>
          <t>PitchBook Research</t>
        </is>
      </c>
      <c r="DZ493" s="785">
        <f>HYPERLINK("https://my.pitchbook.com?c=93567-43", "View company online")</f>
      </c>
    </row>
    <row r="494">
      <c r="A494" s="139" t="inlineStr">
        <is>
          <t>61351-03</t>
        </is>
      </c>
      <c r="B494" s="140" t="inlineStr">
        <is>
          <t>Wallapop</t>
        </is>
      </c>
      <c r="C494" s="141" t="inlineStr">
        <is>
          <t/>
        </is>
      </c>
      <c r="D494" s="142" t="inlineStr">
        <is>
          <t/>
        </is>
      </c>
      <c r="E494" s="143" t="inlineStr">
        <is>
          <t>61351-03</t>
        </is>
      </c>
      <c r="F494" s="144" t="inlineStr">
        <is>
          <t>Provider of a mobile-based shopping platform. The company offers an online mobile application through which secondhand products and other consumer goods can be sold and bought.</t>
        </is>
      </c>
      <c r="G494" s="145" t="inlineStr">
        <is>
          <t>Consumer Products and Services (B2C)</t>
        </is>
      </c>
      <c r="H494" s="146" t="inlineStr">
        <is>
          <t>Retail</t>
        </is>
      </c>
      <c r="I494" s="147" t="inlineStr">
        <is>
          <t>Internet Retail</t>
        </is>
      </c>
      <c r="J494" s="148" t="inlineStr">
        <is>
          <t>Internet Retail*; Social/Platform Software</t>
        </is>
      </c>
      <c r="K494" s="149" t="inlineStr">
        <is>
          <t>E-Commerce, Mobile</t>
        </is>
      </c>
      <c r="L494" s="150" t="inlineStr">
        <is>
          <t>Venture Capital-Backed</t>
        </is>
      </c>
      <c r="M494" s="151" t="n">
        <v>124.18</v>
      </c>
      <c r="N494" s="152" t="inlineStr">
        <is>
          <t>Startup</t>
        </is>
      </c>
      <c r="O494" s="153" t="inlineStr">
        <is>
          <t>Privately Held (backing)</t>
        </is>
      </c>
      <c r="P494" s="154" t="inlineStr">
        <is>
          <t>Venture Capital</t>
        </is>
      </c>
      <c r="Q494" s="155" t="inlineStr">
        <is>
          <t>www.wallapop.com</t>
        </is>
      </c>
      <c r="R494" s="156" t="n">
        <v>117.0</v>
      </c>
      <c r="S494" s="157" t="inlineStr">
        <is>
          <t/>
        </is>
      </c>
      <c r="T494" s="158" t="inlineStr">
        <is>
          <t/>
        </is>
      </c>
      <c r="U494" s="159" t="n">
        <v>2013.0</v>
      </c>
      <c r="V494" s="160" t="inlineStr">
        <is>
          <t/>
        </is>
      </c>
      <c r="W494" s="161" t="inlineStr">
        <is>
          <t/>
        </is>
      </c>
      <c r="X494" s="162" t="inlineStr">
        <is>
          <t/>
        </is>
      </c>
      <c r="Y494" s="163" t="inlineStr">
        <is>
          <t/>
        </is>
      </c>
      <c r="Z494" s="164" t="inlineStr">
        <is>
          <t/>
        </is>
      </c>
      <c r="AA494" s="165" t="inlineStr">
        <is>
          <t/>
        </is>
      </c>
      <c r="AB494" s="166" t="inlineStr">
        <is>
          <t/>
        </is>
      </c>
      <c r="AC494" s="167" t="inlineStr">
        <is>
          <t/>
        </is>
      </c>
      <c r="AD494" s="168" t="inlineStr">
        <is>
          <t/>
        </is>
      </c>
      <c r="AE494" s="169" t="inlineStr">
        <is>
          <t>93272-59P</t>
        </is>
      </c>
      <c r="AF494" s="170" t="inlineStr">
        <is>
          <t>Agustin Gomez</t>
        </is>
      </c>
      <c r="AG494" s="171" t="inlineStr">
        <is>
          <t>Co-Founder &amp; Chief Executive Officer</t>
        </is>
      </c>
      <c r="AH494" s="172" t="inlineStr">
        <is>
          <t/>
        </is>
      </c>
      <c r="AI494" s="173" t="inlineStr">
        <is>
          <t/>
        </is>
      </c>
      <c r="AJ494" s="174" t="inlineStr">
        <is>
          <t>Barcelona, Spain</t>
        </is>
      </c>
      <c r="AK494" s="175" t="inlineStr">
        <is>
          <t>Carrer de Casp 162, 2ª planta</t>
        </is>
      </c>
      <c r="AL494" s="176" t="inlineStr">
        <is>
          <t/>
        </is>
      </c>
      <c r="AM494" s="177" t="inlineStr">
        <is>
          <t>Barcelona</t>
        </is>
      </c>
      <c r="AN494" s="178" t="inlineStr">
        <is>
          <t/>
        </is>
      </c>
      <c r="AO494" s="179" t="inlineStr">
        <is>
          <t>08013</t>
        </is>
      </c>
      <c r="AP494" s="180" t="inlineStr">
        <is>
          <t>Spain</t>
        </is>
      </c>
      <c r="AQ494" s="181" t="inlineStr">
        <is>
          <t/>
        </is>
      </c>
      <c r="AR494" s="182" t="inlineStr">
        <is>
          <t/>
        </is>
      </c>
      <c r="AS494" s="183" t="inlineStr">
        <is>
          <t/>
        </is>
      </c>
      <c r="AT494" s="184" t="inlineStr">
        <is>
          <t>Europe</t>
        </is>
      </c>
      <c r="AU494" s="185" t="inlineStr">
        <is>
          <t>Southern Europe</t>
        </is>
      </c>
      <c r="AV494" s="186" t="inlineStr">
        <is>
          <t>Bonsai Ventures and Caixa Capital Risc sold its stake in the company to Northzone Ventures on an undisclosed date. Previously, the company raised $87.5 million of Series C venture funding from Accel Partners, Insight Venture Partners and TA Ventures on April 27, 2015, putting the company's pre-money valuation at $570 million. Vostok New Ventures, Northzone Ventures, New Enterprise Associates, DST Global, 14W, Caxia Capital Risc, Monkfish Equity, NextView Ventures, Jeppe Zink, Juan Teijeiro, Pablo Gasalla and Apoletto Limited also participated in this round.</t>
        </is>
      </c>
      <c r="AW494" s="187" t="inlineStr">
        <is>
          <t>14W, Accel, Antai Venture Builder, Apoletto Asia, ATRESMEDIA, Bernardo Hernandez, Bobby Yazdani, Cesar Bardaji, DST Global, Eight Roads Ventures, Insight Venture Partners, Jeppe Zink, Juan Teijeiro, Lead Edge Capital, Mangrove Capital Partners, Monkfish Equity, New Enterprise Associates, NextView Ventures, Northzone Ventures, Pablo Gasalla, Signatures Capital, TA Ventures, Vostok New Ventures</t>
        </is>
      </c>
      <c r="AX494" s="188" t="n">
        <v>23.0</v>
      </c>
      <c r="AY494" s="189" t="inlineStr">
        <is>
          <t/>
        </is>
      </c>
      <c r="AZ494" s="190" t="inlineStr">
        <is>
          <t>Bonsai Venture Capital, Caixa Capital Risc</t>
        </is>
      </c>
      <c r="BA494" s="191" t="inlineStr">
        <is>
          <t/>
        </is>
      </c>
      <c r="BB494" s="192" t="inlineStr">
        <is>
          <t>14W (www.14w.com), Accel (www.accel.com), Antai Venture Builder (www.antaivb.com), ATRESMEDIA (www.atresmediacorporacion.com), Bernardo Hernandez (www.bernardohernandez.com), DST Global (www.dst-global.com), Eight Roads Ventures (www.eightroads.com), Insight Venture Partners (www.insightpartners.com), Lead Edge Capital (www.leadedgecapital.com), Mangrove Capital Partners (www.mangrove.vc), Monkfish Equity (www.monkfish-equity.com), New Enterprise Associates (www.nea.com), NextView Ventures (www.nextviewventures.com), Northzone Ventures (www.northzone.com), Signatures Capital (www.signaturescapital.com), TA Ventures (www.taventures.vc), Vostok New Ventures (www.vostoknewventures.com)</t>
        </is>
      </c>
      <c r="BC494" s="193" t="inlineStr">
        <is>
          <t>Bonsai Venture Capital (www.bonsaiventurecapital.com), Caixa Capital Risc (www.caixacapitalrisc.es)</t>
        </is>
      </c>
      <c r="BD494" s="194" t="inlineStr">
        <is>
          <t/>
        </is>
      </c>
      <c r="BE494" s="195" t="inlineStr">
        <is>
          <t>U-Start (Advisor)</t>
        </is>
      </c>
      <c r="BF494" s="196" t="inlineStr">
        <is>
          <t/>
        </is>
      </c>
      <c r="BG494" s="197" t="n">
        <v>41609.0</v>
      </c>
      <c r="BH494" s="198" t="n">
        <v>1.6</v>
      </c>
      <c r="BI494" s="199" t="inlineStr">
        <is>
          <t>Actual</t>
        </is>
      </c>
      <c r="BJ494" s="200" t="inlineStr">
        <is>
          <t/>
        </is>
      </c>
      <c r="BK494" s="201" t="inlineStr">
        <is>
          <t/>
        </is>
      </c>
      <c r="BL494" s="202" t="inlineStr">
        <is>
          <t>Seed Round</t>
        </is>
      </c>
      <c r="BM494" s="203" t="inlineStr">
        <is>
          <t>Seed</t>
        </is>
      </c>
      <c r="BN494" s="204" t="inlineStr">
        <is>
          <t/>
        </is>
      </c>
      <c r="BO494" s="205" t="inlineStr">
        <is>
          <t>Venture Capital</t>
        </is>
      </c>
      <c r="BP494" s="206" t="inlineStr">
        <is>
          <t/>
        </is>
      </c>
      <c r="BQ494" s="207" t="inlineStr">
        <is>
          <t/>
        </is>
      </c>
      <c r="BR494" s="208" t="inlineStr">
        <is>
          <t/>
        </is>
      </c>
      <c r="BS494" s="209" t="inlineStr">
        <is>
          <t>Completed</t>
        </is>
      </c>
      <c r="BT494" s="210" t="inlineStr">
        <is>
          <t/>
        </is>
      </c>
      <c r="BU494" s="211" t="inlineStr">
        <is>
          <t/>
        </is>
      </c>
      <c r="BV494" s="212" t="inlineStr">
        <is>
          <t/>
        </is>
      </c>
      <c r="BW494" s="213" t="inlineStr">
        <is>
          <t/>
        </is>
      </c>
      <c r="BX494" s="214" t="inlineStr">
        <is>
          <t/>
        </is>
      </c>
      <c r="BY494" s="215" t="inlineStr">
        <is>
          <t>Secondary Transaction - Private</t>
        </is>
      </c>
      <c r="BZ494" s="216" t="inlineStr">
        <is>
          <t/>
        </is>
      </c>
      <c r="CA494" s="217" t="inlineStr">
        <is>
          <t/>
        </is>
      </c>
      <c r="CB494" s="218" t="inlineStr">
        <is>
          <t>Venture Capital</t>
        </is>
      </c>
      <c r="CC494" s="219" t="inlineStr">
        <is>
          <t/>
        </is>
      </c>
      <c r="CD494" s="220" t="inlineStr">
        <is>
          <t/>
        </is>
      </c>
      <c r="CE494" s="221" t="inlineStr">
        <is>
          <t/>
        </is>
      </c>
      <c r="CF494" s="222" t="inlineStr">
        <is>
          <t>Completed</t>
        </is>
      </c>
      <c r="CG494" s="223" t="inlineStr">
        <is>
          <t>0,75%</t>
        </is>
      </c>
      <c r="CH494" s="224" t="inlineStr">
        <is>
          <t>87</t>
        </is>
      </c>
      <c r="CI494" s="225" t="inlineStr">
        <is>
          <t>0,01%</t>
        </is>
      </c>
      <c r="CJ494" s="226" t="inlineStr">
        <is>
          <t>1,85%</t>
        </is>
      </c>
      <c r="CK494" s="227" t="inlineStr">
        <is>
          <t>1,17%</t>
        </is>
      </c>
      <c r="CL494" s="228" t="inlineStr">
        <is>
          <t>88</t>
        </is>
      </c>
      <c r="CM494" s="229" t="inlineStr">
        <is>
          <t>0,32%</t>
        </is>
      </c>
      <c r="CN494" s="230" t="inlineStr">
        <is>
          <t>82</t>
        </is>
      </c>
      <c r="CO494" s="231" t="inlineStr">
        <is>
          <t>2,60%</t>
        </is>
      </c>
      <c r="CP494" s="232" t="inlineStr">
        <is>
          <t>91</t>
        </is>
      </c>
      <c r="CQ494" s="233" t="inlineStr">
        <is>
          <t>-0,25%</t>
        </is>
      </c>
      <c r="CR494" s="234" t="inlineStr">
        <is>
          <t>10</t>
        </is>
      </c>
      <c r="CS494" s="235" t="inlineStr">
        <is>
          <t>0,72%</t>
        </is>
      </c>
      <c r="CT494" s="236" t="inlineStr">
        <is>
          <t>92</t>
        </is>
      </c>
      <c r="CU494" s="237" t="inlineStr">
        <is>
          <t>-0,08%</t>
        </is>
      </c>
      <c r="CV494" s="238" t="inlineStr">
        <is>
          <t>8</t>
        </is>
      </c>
      <c r="CW494" s="239" t="inlineStr">
        <is>
          <t>96,67x</t>
        </is>
      </c>
      <c r="CX494" s="240" t="inlineStr">
        <is>
          <t>98</t>
        </is>
      </c>
      <c r="CY494" s="241" t="inlineStr">
        <is>
          <t>1,34x</t>
        </is>
      </c>
      <c r="CZ494" s="242" t="inlineStr">
        <is>
          <t>1,40%</t>
        </is>
      </c>
      <c r="DA494" s="243" t="inlineStr">
        <is>
          <t>108,78x</t>
        </is>
      </c>
      <c r="DB494" s="244" t="inlineStr">
        <is>
          <t>98</t>
        </is>
      </c>
      <c r="DC494" s="245" t="inlineStr">
        <is>
          <t>84,56x</t>
        </is>
      </c>
      <c r="DD494" s="246" t="inlineStr">
        <is>
          <t>96</t>
        </is>
      </c>
      <c r="DE494" s="247" t="inlineStr">
        <is>
          <t>202,52x</t>
        </is>
      </c>
      <c r="DF494" s="248" t="inlineStr">
        <is>
          <t>97</t>
        </is>
      </c>
      <c r="DG494" s="249" t="inlineStr">
        <is>
          <t>15,03x</t>
        </is>
      </c>
      <c r="DH494" s="250" t="inlineStr">
        <is>
          <t>90</t>
        </is>
      </c>
      <c r="DI494" s="251" t="inlineStr">
        <is>
          <t>166,53x</t>
        </is>
      </c>
      <c r="DJ494" s="252" t="inlineStr">
        <is>
          <t>97</t>
        </is>
      </c>
      <c r="DK494" s="253" t="inlineStr">
        <is>
          <t>2,59x</t>
        </is>
      </c>
      <c r="DL494" s="254" t="inlineStr">
        <is>
          <t>68</t>
        </is>
      </c>
      <c r="DM494" s="255" t="inlineStr">
        <is>
          <t>123.725</t>
        </is>
      </c>
      <c r="DN494" s="256" t="inlineStr">
        <is>
          <t>2.480</t>
        </is>
      </c>
      <c r="DO494" s="257" t="inlineStr">
        <is>
          <t>2,05%</t>
        </is>
      </c>
      <c r="DP494" s="258" t="inlineStr">
        <is>
          <t>132.571</t>
        </is>
      </c>
      <c r="DQ494" s="259" t="inlineStr">
        <is>
          <t>1.249</t>
        </is>
      </c>
      <c r="DR494" s="260" t="inlineStr">
        <is>
          <t>0,95%</t>
        </is>
      </c>
      <c r="DS494" s="261" t="inlineStr">
        <is>
          <t>542</t>
        </is>
      </c>
      <c r="DT494" s="262" t="inlineStr">
        <is>
          <t>-4</t>
        </is>
      </c>
      <c r="DU494" s="263" t="inlineStr">
        <is>
          <t>-0,73%</t>
        </is>
      </c>
      <c r="DV494" s="264" t="inlineStr">
        <is>
          <t>889</t>
        </is>
      </c>
      <c r="DW494" s="265" t="inlineStr">
        <is>
          <t>1</t>
        </is>
      </c>
      <c r="DX494" s="266" t="inlineStr">
        <is>
          <t>0,11%</t>
        </is>
      </c>
      <c r="DY494" s="267" t="inlineStr">
        <is>
          <t>PitchBook Research</t>
        </is>
      </c>
      <c r="DZ494" s="786">
        <f>HYPERLINK("https://my.pitchbook.com?c=61351-03", "View company online")</f>
      </c>
    </row>
    <row r="495">
      <c r="A495" s="9" t="inlineStr">
        <is>
          <t>56560-69</t>
        </is>
      </c>
      <c r="B495" s="10" t="inlineStr">
        <is>
          <t>Wandera</t>
        </is>
      </c>
      <c r="C495" s="11" t="inlineStr">
        <is>
          <t>Snappli</t>
        </is>
      </c>
      <c r="D495" s="12" t="inlineStr">
        <is>
          <t/>
        </is>
      </c>
      <c r="E495" s="13" t="inlineStr">
        <is>
          <t>56560-69</t>
        </is>
      </c>
      <c r="F495" s="14" t="inlineStr">
        <is>
          <t>Provider of enterprise mobile security and data management platform intended to offer protection against threats and manage data usage. The company's enterprise mobile security and data management platform protects data by preventing targeted mobile attacks, identifying data leaks and filtering access to risky or unapproved content as well as minimizes data costs and boost productivity, taking advantage of intelligent usage controls, insightful real-time analytics and powerful data compression, providing users with enterprise-grade threat defense against mobile security risks, and keeping devices secure across all four levels of protection.</t>
        </is>
      </c>
      <c r="G495" s="15" t="inlineStr">
        <is>
          <t>Information Technology</t>
        </is>
      </c>
      <c r="H495" s="16" t="inlineStr">
        <is>
          <t>Software</t>
        </is>
      </c>
      <c r="I495" s="17" t="inlineStr">
        <is>
          <t>Network Management Software</t>
        </is>
      </c>
      <c r="J495" s="18" t="inlineStr">
        <is>
          <t>Network Management Software*; Application Software</t>
        </is>
      </c>
      <c r="K495" s="19" t="inlineStr">
        <is>
          <t>Cybersecurity, Mobile</t>
        </is>
      </c>
      <c r="L495" s="20" t="inlineStr">
        <is>
          <t>Venture Capital-Backed</t>
        </is>
      </c>
      <c r="M495" s="21" t="n">
        <v>21.28</v>
      </c>
      <c r="N495" s="22" t="inlineStr">
        <is>
          <t>Generating Revenue</t>
        </is>
      </c>
      <c r="O495" s="23" t="inlineStr">
        <is>
          <t>Privately Held (backing)</t>
        </is>
      </c>
      <c r="P495" s="24" t="inlineStr">
        <is>
          <t>Venture Capital</t>
        </is>
      </c>
      <c r="Q495" s="25" t="inlineStr">
        <is>
          <t>www.wandera.com</t>
        </is>
      </c>
      <c r="R495" s="26" t="n">
        <v>91.0</v>
      </c>
      <c r="S495" s="27" t="inlineStr">
        <is>
          <t/>
        </is>
      </c>
      <c r="T495" s="28" t="inlineStr">
        <is>
          <t/>
        </is>
      </c>
      <c r="U495" s="29" t="n">
        <v>2012.0</v>
      </c>
      <c r="V495" s="30" t="inlineStr">
        <is>
          <t/>
        </is>
      </c>
      <c r="W495" s="31" t="inlineStr">
        <is>
          <t/>
        </is>
      </c>
      <c r="X495" s="32" t="inlineStr">
        <is>
          <t/>
        </is>
      </c>
      <c r="Y495" s="33" t="inlineStr">
        <is>
          <t/>
        </is>
      </c>
      <c r="Z495" s="34" t="inlineStr">
        <is>
          <t/>
        </is>
      </c>
      <c r="AA495" s="35" t="inlineStr">
        <is>
          <t/>
        </is>
      </c>
      <c r="AB495" s="36" t="inlineStr">
        <is>
          <t/>
        </is>
      </c>
      <c r="AC495" s="37" t="inlineStr">
        <is>
          <t/>
        </is>
      </c>
      <c r="AD495" s="38" t="inlineStr">
        <is>
          <t/>
        </is>
      </c>
      <c r="AE495" s="39" t="inlineStr">
        <is>
          <t>61345-36P</t>
        </is>
      </c>
      <c r="AF495" s="40" t="inlineStr">
        <is>
          <t>Mark Flanders</t>
        </is>
      </c>
      <c r="AG495" s="41" t="inlineStr">
        <is>
          <t>Director of Finance &amp; Secretary</t>
        </is>
      </c>
      <c r="AH495" s="42" t="inlineStr">
        <is>
          <t>mark.flanders@wandera.com</t>
        </is>
      </c>
      <c r="AI495" s="43" t="inlineStr">
        <is>
          <t>+44 (0)20 3301 2660</t>
        </is>
      </c>
      <c r="AJ495" s="44" t="inlineStr">
        <is>
          <t>London, United Kingdom</t>
        </is>
      </c>
      <c r="AK495" s="45" t="inlineStr">
        <is>
          <t>45 Mortimer Street</t>
        </is>
      </c>
      <c r="AL495" s="46" t="inlineStr">
        <is>
          <t/>
        </is>
      </c>
      <c r="AM495" s="47" t="inlineStr">
        <is>
          <t>London</t>
        </is>
      </c>
      <c r="AN495" s="48" t="inlineStr">
        <is>
          <t>England</t>
        </is>
      </c>
      <c r="AO495" s="49" t="inlineStr">
        <is>
          <t>W1W 8HJ</t>
        </is>
      </c>
      <c r="AP495" s="50" t="inlineStr">
        <is>
          <t>United Kingdom</t>
        </is>
      </c>
      <c r="AQ495" s="51" t="inlineStr">
        <is>
          <t>+44 (0)20 3301 2660</t>
        </is>
      </c>
      <c r="AR495" s="52" t="inlineStr">
        <is>
          <t/>
        </is>
      </c>
      <c r="AS495" s="53" t="inlineStr">
        <is>
          <t>info@wandera.com</t>
        </is>
      </c>
      <c r="AT495" s="54" t="inlineStr">
        <is>
          <t>Europe</t>
        </is>
      </c>
      <c r="AU495" s="55" t="inlineStr">
        <is>
          <t>Western Europe</t>
        </is>
      </c>
      <c r="AV495" s="56" t="inlineStr">
        <is>
          <t>The company raised $27.5 million of Series C venture funding through a combination of venture debt and equity in a round led by Sapphire Ventures on May 12, 2017. Bessemer Venture Partners, AccelerAsia and 83North also participated in this round. The company plans to use the new funding, which brings the total funding to $50 million, to expand its global footprint, invest in R&amp;D and data science operations in London and Israel and further develop its gateway technologies, in particular its intelligence engine, MIRIAM, designed to identify zero day threats and surface new analytic insights using a sophisticated blend of machine learning and data science techniques.</t>
        </is>
      </c>
      <c r="AW495" s="57" t="inlineStr">
        <is>
          <t>83North, AccelerAsia, Bessemer Venture Partners, Episode 1 Ventures, Individual Investor, Klaus Hommels, LocalGlobe, Sapphire Ventures</t>
        </is>
      </c>
      <c r="AX495" s="58" t="n">
        <v>8.0</v>
      </c>
      <c r="AY495" s="59" t="inlineStr">
        <is>
          <t/>
        </is>
      </c>
      <c r="AZ495" s="60" t="inlineStr">
        <is>
          <t/>
        </is>
      </c>
      <c r="BA495" s="61" t="inlineStr">
        <is>
          <t/>
        </is>
      </c>
      <c r="BB495" s="62" t="inlineStr">
        <is>
          <t>83North (www.83north.com), AccelerAsia (www.accelerasia.com), Bessemer Venture Partners (www.bvp.com), Episode 1 Ventures (www.episode1.com), LocalGlobe (www.localglobe.vc), Sapphire Ventures (www.sapphireventures.com)</t>
        </is>
      </c>
      <c r="BC495" s="63" t="inlineStr">
        <is>
          <t/>
        </is>
      </c>
      <c r="BD495" s="64" t="inlineStr">
        <is>
          <t/>
        </is>
      </c>
      <c r="BE495" s="65" t="inlineStr">
        <is>
          <t>Fenwick &amp; West (Legal Advisor)</t>
        </is>
      </c>
      <c r="BF495" s="66" t="inlineStr">
        <is>
          <t>Fenwick &amp; West (Legal Advisor)</t>
        </is>
      </c>
      <c r="BG495" s="67" t="n">
        <v>41101.0</v>
      </c>
      <c r="BH495" s="68" t="n">
        <v>0.81</v>
      </c>
      <c r="BI495" s="69" t="inlineStr">
        <is>
          <t>Actual</t>
        </is>
      </c>
      <c r="BJ495" s="70" t="n">
        <v>11.08</v>
      </c>
      <c r="BK495" s="71" t="inlineStr">
        <is>
          <t>Actual</t>
        </is>
      </c>
      <c r="BL495" s="72" t="inlineStr">
        <is>
          <t>Seed Round</t>
        </is>
      </c>
      <c r="BM495" s="73" t="inlineStr">
        <is>
          <t>Seed</t>
        </is>
      </c>
      <c r="BN495" s="74" t="inlineStr">
        <is>
          <t/>
        </is>
      </c>
      <c r="BO495" s="75" t="inlineStr">
        <is>
          <t>Individual</t>
        </is>
      </c>
      <c r="BP495" s="76" t="inlineStr">
        <is>
          <t/>
        </is>
      </c>
      <c r="BQ495" s="77" t="inlineStr">
        <is>
          <t/>
        </is>
      </c>
      <c r="BR495" s="78" t="inlineStr">
        <is>
          <t/>
        </is>
      </c>
      <c r="BS495" s="79" t="inlineStr">
        <is>
          <t>Completed</t>
        </is>
      </c>
      <c r="BT495" s="80" t="n">
        <v>42867.0</v>
      </c>
      <c r="BU495" s="81" t="n">
        <v>24.9</v>
      </c>
      <c r="BV495" s="82" t="inlineStr">
        <is>
          <t>Actual</t>
        </is>
      </c>
      <c r="BW495" s="83" t="inlineStr">
        <is>
          <t/>
        </is>
      </c>
      <c r="BX495" s="84" t="inlineStr">
        <is>
          <t/>
        </is>
      </c>
      <c r="BY495" s="85" t="inlineStr">
        <is>
          <t>Later Stage VC</t>
        </is>
      </c>
      <c r="BZ495" s="86" t="inlineStr">
        <is>
          <t>Series C</t>
        </is>
      </c>
      <c r="CA495" s="87" t="inlineStr">
        <is>
          <t/>
        </is>
      </c>
      <c r="CB495" s="88" t="inlineStr">
        <is>
          <t>Venture Capital</t>
        </is>
      </c>
      <c r="CC495" s="89" t="inlineStr">
        <is>
          <t>Other Debt</t>
        </is>
      </c>
      <c r="CD495" s="90" t="inlineStr">
        <is>
          <t/>
        </is>
      </c>
      <c r="CE495" s="91" t="inlineStr">
        <is>
          <t/>
        </is>
      </c>
      <c r="CF495" s="92" t="inlineStr">
        <is>
          <t>Completed</t>
        </is>
      </c>
      <c r="CG495" s="93" t="inlineStr">
        <is>
          <t>-0,44%</t>
        </is>
      </c>
      <c r="CH495" s="94" t="inlineStr">
        <is>
          <t>9</t>
        </is>
      </c>
      <c r="CI495" s="95" t="inlineStr">
        <is>
          <t>0,18%</t>
        </is>
      </c>
      <c r="CJ495" s="96" t="inlineStr">
        <is>
          <t>29,35%</t>
        </is>
      </c>
      <c r="CK495" s="97" t="inlineStr">
        <is>
          <t>-0,81%</t>
        </is>
      </c>
      <c r="CL495" s="98" t="inlineStr">
        <is>
          <t>10</t>
        </is>
      </c>
      <c r="CM495" s="99" t="inlineStr">
        <is>
          <t>-0,06%</t>
        </is>
      </c>
      <c r="CN495" s="100" t="inlineStr">
        <is>
          <t>6</t>
        </is>
      </c>
      <c r="CO495" s="101" t="inlineStr">
        <is>
          <t>-1,98%</t>
        </is>
      </c>
      <c r="CP495" s="102" t="inlineStr">
        <is>
          <t>15</t>
        </is>
      </c>
      <c r="CQ495" s="103" t="inlineStr">
        <is>
          <t>0,37%</t>
        </is>
      </c>
      <c r="CR495" s="104" t="inlineStr">
        <is>
          <t>85</t>
        </is>
      </c>
      <c r="CS495" s="105" t="inlineStr">
        <is>
          <t>0,21%</t>
        </is>
      </c>
      <c r="CT495" s="106" t="inlineStr">
        <is>
          <t>71</t>
        </is>
      </c>
      <c r="CU495" s="107" t="inlineStr">
        <is>
          <t>-0,34%</t>
        </is>
      </c>
      <c r="CV495" s="108" t="inlineStr">
        <is>
          <t>1</t>
        </is>
      </c>
      <c r="CW495" s="109" t="inlineStr">
        <is>
          <t>9,75x</t>
        </is>
      </c>
      <c r="CX495" s="110" t="inlineStr">
        <is>
          <t>86</t>
        </is>
      </c>
      <c r="CY495" s="111" t="inlineStr">
        <is>
          <t>0,13x</t>
        </is>
      </c>
      <c r="CZ495" s="112" t="inlineStr">
        <is>
          <t>1,34%</t>
        </is>
      </c>
      <c r="DA495" s="113" t="inlineStr">
        <is>
          <t>16,39x</t>
        </is>
      </c>
      <c r="DB495" s="114" t="inlineStr">
        <is>
          <t>91</t>
        </is>
      </c>
      <c r="DC495" s="115" t="inlineStr">
        <is>
          <t>3,11x</t>
        </is>
      </c>
      <c r="DD495" s="116" t="inlineStr">
        <is>
          <t>69</t>
        </is>
      </c>
      <c r="DE495" s="117" t="inlineStr">
        <is>
          <t>6,69x</t>
        </is>
      </c>
      <c r="DF495" s="118" t="inlineStr">
        <is>
          <t>80</t>
        </is>
      </c>
      <c r="DG495" s="119" t="inlineStr">
        <is>
          <t>26,08x</t>
        </is>
      </c>
      <c r="DH495" s="120" t="inlineStr">
        <is>
          <t>94</t>
        </is>
      </c>
      <c r="DI495" s="121" t="inlineStr">
        <is>
          <t>0,15x</t>
        </is>
      </c>
      <c r="DJ495" s="122" t="inlineStr">
        <is>
          <t>19</t>
        </is>
      </c>
      <c r="DK495" s="123" t="inlineStr">
        <is>
          <t>6,08x</t>
        </is>
      </c>
      <c r="DL495" s="124" t="inlineStr">
        <is>
          <t>81</t>
        </is>
      </c>
      <c r="DM495" s="125" t="inlineStr">
        <is>
          <t>4.199</t>
        </is>
      </c>
      <c r="DN495" s="126" t="inlineStr">
        <is>
          <t>-258</t>
        </is>
      </c>
      <c r="DO495" s="127" t="inlineStr">
        <is>
          <t>-5,79%</t>
        </is>
      </c>
      <c r="DP495" s="128" t="inlineStr">
        <is>
          <t>121</t>
        </is>
      </c>
      <c r="DQ495" s="129" t="inlineStr">
        <is>
          <t>0</t>
        </is>
      </c>
      <c r="DR495" s="130" t="inlineStr">
        <is>
          <t>0,00%</t>
        </is>
      </c>
      <c r="DS495" s="131" t="inlineStr">
        <is>
          <t>944</t>
        </is>
      </c>
      <c r="DT495" s="132" t="inlineStr">
        <is>
          <t>-9</t>
        </is>
      </c>
      <c r="DU495" s="133" t="inlineStr">
        <is>
          <t>-0,94%</t>
        </is>
      </c>
      <c r="DV495" s="134" t="inlineStr">
        <is>
          <t>2.082</t>
        </is>
      </c>
      <c r="DW495" s="135" t="inlineStr">
        <is>
          <t>4</t>
        </is>
      </c>
      <c r="DX495" s="136" t="inlineStr">
        <is>
          <t>0,19%</t>
        </is>
      </c>
      <c r="DY495" s="137" t="inlineStr">
        <is>
          <t>PitchBook Research</t>
        </is>
      </c>
      <c r="DZ495" s="785">
        <f>HYPERLINK("https://my.pitchbook.com?c=56560-69", "View company online")</f>
      </c>
    </row>
    <row r="496">
      <c r="A496" s="139" t="inlineStr">
        <is>
          <t>148637-53</t>
        </is>
      </c>
      <c r="B496" s="140" t="inlineStr">
        <is>
          <t>Watchmaster</t>
        </is>
      </c>
      <c r="C496" s="141" t="inlineStr">
        <is>
          <t/>
        </is>
      </c>
      <c r="D496" s="142" t="inlineStr">
        <is>
          <t/>
        </is>
      </c>
      <c r="E496" s="143" t="inlineStr">
        <is>
          <t>148637-53</t>
        </is>
      </c>
      <c r="F496" s="144" t="inlineStr">
        <is>
          <t>Operator of an online platform for pre-owned luxury watches. The company provides full-service trading platform that enables users to buy and sell luxury watches.</t>
        </is>
      </c>
      <c r="G496" s="145" t="inlineStr">
        <is>
          <t>Consumer Products and Services (B2C)</t>
        </is>
      </c>
      <c r="H496" s="146" t="inlineStr">
        <is>
          <t>Retail</t>
        </is>
      </c>
      <c r="I496" s="147" t="inlineStr">
        <is>
          <t>Internet Retail</t>
        </is>
      </c>
      <c r="J496" s="148" t="inlineStr">
        <is>
          <t>Internet Retail*; Social/Platform Software</t>
        </is>
      </c>
      <c r="K496" s="149" t="inlineStr">
        <is>
          <t>E-Commerce</t>
        </is>
      </c>
      <c r="L496" s="150" t="inlineStr">
        <is>
          <t>Venture Capital-Backed</t>
        </is>
      </c>
      <c r="M496" s="151" t="n">
        <v>13.66</v>
      </c>
      <c r="N496" s="152" t="inlineStr">
        <is>
          <t>Startup</t>
        </is>
      </c>
      <c r="O496" s="153" t="inlineStr">
        <is>
          <t>Privately Held (backing)</t>
        </is>
      </c>
      <c r="P496" s="154" t="inlineStr">
        <is>
          <t>Venture Capital</t>
        </is>
      </c>
      <c r="Q496" s="155" t="inlineStr">
        <is>
          <t>www.watchmaster.com</t>
        </is>
      </c>
      <c r="R496" s="156" t="n">
        <v>70.0</v>
      </c>
      <c r="S496" s="157" t="inlineStr">
        <is>
          <t/>
        </is>
      </c>
      <c r="T496" s="158" t="inlineStr">
        <is>
          <t/>
        </is>
      </c>
      <c r="U496" s="159" t="n">
        <v>2015.0</v>
      </c>
      <c r="V496" s="160" t="inlineStr">
        <is>
          <t/>
        </is>
      </c>
      <c r="W496" s="161" t="inlineStr">
        <is>
          <t/>
        </is>
      </c>
      <c r="X496" s="162" t="inlineStr">
        <is>
          <t/>
        </is>
      </c>
      <c r="Y496" s="163" t="inlineStr">
        <is>
          <t/>
        </is>
      </c>
      <c r="Z496" s="164" t="inlineStr">
        <is>
          <t/>
        </is>
      </c>
      <c r="AA496" s="165" t="inlineStr">
        <is>
          <t/>
        </is>
      </c>
      <c r="AB496" s="166" t="inlineStr">
        <is>
          <t/>
        </is>
      </c>
      <c r="AC496" s="167" t="inlineStr">
        <is>
          <t/>
        </is>
      </c>
      <c r="AD496" s="168" t="inlineStr">
        <is>
          <t/>
        </is>
      </c>
      <c r="AE496" s="169" t="inlineStr">
        <is>
          <t>38161-99P</t>
        </is>
      </c>
      <c r="AF496" s="170" t="inlineStr">
        <is>
          <t>Philipp Lederer</t>
        </is>
      </c>
      <c r="AG496" s="171" t="inlineStr">
        <is>
          <t>Chief Financial Officer &amp; Managing Director</t>
        </is>
      </c>
      <c r="AH496" s="172" t="inlineStr">
        <is>
          <t>philipp.lederer@watchmaster.com</t>
        </is>
      </c>
      <c r="AI496" s="173" t="inlineStr">
        <is>
          <t>+49 (0)17 4610 2918</t>
        </is>
      </c>
      <c r="AJ496" s="174" t="inlineStr">
        <is>
          <t>Berlin, Germany</t>
        </is>
      </c>
      <c r="AK496" s="175" t="inlineStr">
        <is>
          <t>Chausseestraße 86</t>
        </is>
      </c>
      <c r="AL496" s="176" t="inlineStr">
        <is>
          <t/>
        </is>
      </c>
      <c r="AM496" s="177" t="inlineStr">
        <is>
          <t>Berlin</t>
        </is>
      </c>
      <c r="AN496" s="178" t="inlineStr">
        <is>
          <t/>
        </is>
      </c>
      <c r="AO496" s="179" t="inlineStr">
        <is>
          <t>10115</t>
        </is>
      </c>
      <c r="AP496" s="180" t="inlineStr">
        <is>
          <t>Germany</t>
        </is>
      </c>
      <c r="AQ496" s="181" t="inlineStr">
        <is>
          <t>+49 (0)17 4610 2918</t>
        </is>
      </c>
      <c r="AR496" s="182" t="inlineStr">
        <is>
          <t/>
        </is>
      </c>
      <c r="AS496" s="183" t="inlineStr">
        <is>
          <t>info@watchmaster.com</t>
        </is>
      </c>
      <c r="AT496" s="184" t="inlineStr">
        <is>
          <t>Europe</t>
        </is>
      </c>
      <c r="AU496" s="185" t="inlineStr">
        <is>
          <t>Western Europe</t>
        </is>
      </c>
      <c r="AV496" s="186" t="inlineStr">
        <is>
          <t>The company raised $8 million of Series B venture funding led by Cherry Ventures on February 2, 2016. Piton Capital, Robert Gentz and David Schneider also participated. The new funds will be used to further develop the business within Europe and launch first non-European markets. Previously, the company raised $5.5 million of Series A venture funding from Cherry Ventures and Piton Capital on November 30, 2015, putting the company's pre-money valuation at $18 million.</t>
        </is>
      </c>
      <c r="AW496" s="187" t="inlineStr">
        <is>
          <t>Cherry Ventures Management, David Schneider, Philipp Magin, Piton Capital, Robert Gentz, Ronny Lange</t>
        </is>
      </c>
      <c r="AX496" s="188" t="n">
        <v>6.0</v>
      </c>
      <c r="AY496" s="189" t="inlineStr">
        <is>
          <t/>
        </is>
      </c>
      <c r="AZ496" s="190" t="inlineStr">
        <is>
          <t/>
        </is>
      </c>
      <c r="BA496" s="191" t="inlineStr">
        <is>
          <t/>
        </is>
      </c>
      <c r="BB496" s="192" t="inlineStr">
        <is>
          <t>Cherry Ventures Management (cherry.vc), Piton Capital (www.pitoncap.com)</t>
        </is>
      </c>
      <c r="BC496" s="193" t="inlineStr">
        <is>
          <t/>
        </is>
      </c>
      <c r="BD496" s="194" t="inlineStr">
        <is>
          <t/>
        </is>
      </c>
      <c r="BE496" s="195" t="inlineStr">
        <is>
          <t/>
        </is>
      </c>
      <c r="BF496" s="196" t="inlineStr">
        <is>
          <t/>
        </is>
      </c>
      <c r="BG496" s="197" t="n">
        <v>42170.0</v>
      </c>
      <c r="BH496" s="198" t="n">
        <v>1.34</v>
      </c>
      <c r="BI496" s="199" t="inlineStr">
        <is>
          <t>Actual</t>
        </is>
      </c>
      <c r="BJ496" s="200" t="n">
        <v>5.8</v>
      </c>
      <c r="BK496" s="201" t="inlineStr">
        <is>
          <t>Actual</t>
        </is>
      </c>
      <c r="BL496" s="202" t="inlineStr">
        <is>
          <t>Seed Round</t>
        </is>
      </c>
      <c r="BM496" s="203" t="inlineStr">
        <is>
          <t>Seed</t>
        </is>
      </c>
      <c r="BN496" s="204" t="inlineStr">
        <is>
          <t/>
        </is>
      </c>
      <c r="BO496" s="205" t="inlineStr">
        <is>
          <t>Venture Capital</t>
        </is>
      </c>
      <c r="BP496" s="206" t="inlineStr">
        <is>
          <t/>
        </is>
      </c>
      <c r="BQ496" s="207" t="inlineStr">
        <is>
          <t/>
        </is>
      </c>
      <c r="BR496" s="208" t="inlineStr">
        <is>
          <t/>
        </is>
      </c>
      <c r="BS496" s="209" t="inlineStr">
        <is>
          <t>Completed</t>
        </is>
      </c>
      <c r="BT496" s="210" t="n">
        <v>42402.0</v>
      </c>
      <c r="BU496" s="211" t="n">
        <v>7.21</v>
      </c>
      <c r="BV496" s="212" t="inlineStr">
        <is>
          <t>Actual</t>
        </is>
      </c>
      <c r="BW496" s="213" t="inlineStr">
        <is>
          <t/>
        </is>
      </c>
      <c r="BX496" s="214" t="inlineStr">
        <is>
          <t/>
        </is>
      </c>
      <c r="BY496" s="215" t="inlineStr">
        <is>
          <t>Early Stage VC</t>
        </is>
      </c>
      <c r="BZ496" s="216" t="inlineStr">
        <is>
          <t>Series B</t>
        </is>
      </c>
      <c r="CA496" s="217" t="inlineStr">
        <is>
          <t/>
        </is>
      </c>
      <c r="CB496" s="218" t="inlineStr">
        <is>
          <t>Venture Capital</t>
        </is>
      </c>
      <c r="CC496" s="219" t="inlineStr">
        <is>
          <t/>
        </is>
      </c>
      <c r="CD496" s="220" t="inlineStr">
        <is>
          <t/>
        </is>
      </c>
      <c r="CE496" s="221" t="inlineStr">
        <is>
          <t/>
        </is>
      </c>
      <c r="CF496" s="222" t="inlineStr">
        <is>
          <t>Completed</t>
        </is>
      </c>
      <c r="CG496" s="223" t="inlineStr">
        <is>
          <t>4,90%</t>
        </is>
      </c>
      <c r="CH496" s="224" t="inlineStr">
        <is>
          <t>98</t>
        </is>
      </c>
      <c r="CI496" s="225" t="inlineStr">
        <is>
          <t>-0,33%</t>
        </is>
      </c>
      <c r="CJ496" s="226" t="inlineStr">
        <is>
          <t>-6,37%</t>
        </is>
      </c>
      <c r="CK496" s="227" t="inlineStr">
        <is>
          <t>0,51%</t>
        </is>
      </c>
      <c r="CL496" s="228" t="inlineStr">
        <is>
          <t>84</t>
        </is>
      </c>
      <c r="CM496" s="229" t="inlineStr">
        <is>
          <t>9,29%</t>
        </is>
      </c>
      <c r="CN496" s="230" t="inlineStr">
        <is>
          <t>100</t>
        </is>
      </c>
      <c r="CO496" s="231" t="inlineStr">
        <is>
          <t>1,02%</t>
        </is>
      </c>
      <c r="CP496" s="232" t="inlineStr">
        <is>
          <t>85</t>
        </is>
      </c>
      <c r="CQ496" s="233" t="inlineStr">
        <is>
          <t>0,00%</t>
        </is>
      </c>
      <c r="CR496" s="234" t="inlineStr">
        <is>
          <t>13</t>
        </is>
      </c>
      <c r="CS496" s="235" t="inlineStr">
        <is>
          <t>9,29%</t>
        </is>
      </c>
      <c r="CT496" s="236" t="inlineStr">
        <is>
          <t>100</t>
        </is>
      </c>
      <c r="CU496" s="237" t="inlineStr">
        <is>
          <t/>
        </is>
      </c>
      <c r="CV496" s="238" t="inlineStr">
        <is>
          <t/>
        </is>
      </c>
      <c r="CW496" s="239" t="inlineStr">
        <is>
          <t>35,72x</t>
        </is>
      </c>
      <c r="CX496" s="240" t="inlineStr">
        <is>
          <t>95</t>
        </is>
      </c>
      <c r="CY496" s="241" t="inlineStr">
        <is>
          <t>0,53x</t>
        </is>
      </c>
      <c r="CZ496" s="242" t="inlineStr">
        <is>
          <t>1,50%</t>
        </is>
      </c>
      <c r="DA496" s="243" t="inlineStr">
        <is>
          <t>48,64x</t>
        </is>
      </c>
      <c r="DB496" s="244" t="inlineStr">
        <is>
          <t>96</t>
        </is>
      </c>
      <c r="DC496" s="245" t="inlineStr">
        <is>
          <t>22,80x</t>
        </is>
      </c>
      <c r="DD496" s="246" t="inlineStr">
        <is>
          <t>91</t>
        </is>
      </c>
      <c r="DE496" s="247" t="inlineStr">
        <is>
          <t>94,60x</t>
        </is>
      </c>
      <c r="DF496" s="248" t="inlineStr">
        <is>
          <t>96</t>
        </is>
      </c>
      <c r="DG496" s="249" t="inlineStr">
        <is>
          <t>2,67x</t>
        </is>
      </c>
      <c r="DH496" s="250" t="inlineStr">
        <is>
          <t>69</t>
        </is>
      </c>
      <c r="DI496" s="251" t="inlineStr">
        <is>
          <t>22,80x</t>
        </is>
      </c>
      <c r="DJ496" s="252" t="inlineStr">
        <is>
          <t>89</t>
        </is>
      </c>
      <c r="DK496" s="253" t="inlineStr">
        <is>
          <t/>
        </is>
      </c>
      <c r="DL496" s="254" t="inlineStr">
        <is>
          <t/>
        </is>
      </c>
      <c r="DM496" s="255" t="inlineStr">
        <is>
          <t>58.254</t>
        </is>
      </c>
      <c r="DN496" s="256" t="inlineStr">
        <is>
          <t>-218</t>
        </is>
      </c>
      <c r="DO496" s="257" t="inlineStr">
        <is>
          <t>-0,37%</t>
        </is>
      </c>
      <c r="DP496" s="258" t="inlineStr">
        <is>
          <t>18.020</t>
        </is>
      </c>
      <c r="DQ496" s="259" t="inlineStr">
        <is>
          <t>658</t>
        </is>
      </c>
      <c r="DR496" s="260" t="inlineStr">
        <is>
          <t>3,79%</t>
        </is>
      </c>
      <c r="DS496" s="261" t="inlineStr">
        <is>
          <t>96</t>
        </is>
      </c>
      <c r="DT496" s="262" t="inlineStr">
        <is>
          <t>0</t>
        </is>
      </c>
      <c r="DU496" s="263" t="inlineStr">
        <is>
          <t>0,00%</t>
        </is>
      </c>
      <c r="DV496" s="264" t="inlineStr">
        <is>
          <t/>
        </is>
      </c>
      <c r="DW496" s="265" t="inlineStr">
        <is>
          <t/>
        </is>
      </c>
      <c r="DX496" s="266" t="inlineStr">
        <is>
          <t/>
        </is>
      </c>
      <c r="DY496" s="267" t="inlineStr">
        <is>
          <t>PitchBook Research</t>
        </is>
      </c>
      <c r="DZ496" s="786">
        <f>HYPERLINK("https://my.pitchbook.com?c=148637-53", "View company online")</f>
      </c>
    </row>
    <row r="497">
      <c r="A497" s="9" t="inlineStr">
        <is>
          <t>107674-03</t>
        </is>
      </c>
      <c r="B497" s="10" t="inlineStr">
        <is>
          <t>WaveOptics</t>
        </is>
      </c>
      <c r="C497" s="11" t="inlineStr">
        <is>
          <t/>
        </is>
      </c>
      <c r="D497" s="12" t="inlineStr">
        <is>
          <t/>
        </is>
      </c>
      <c r="E497" s="13" t="inlineStr">
        <is>
          <t>107674-03</t>
        </is>
      </c>
      <c r="F497" s="14" t="inlineStr">
        <is>
          <t>Developer of an augmented reality (AR) technology based display device designed to offer a safer, quicker, more expansive and enriched world. The company's augmented reality (AR) technology based display device can display a high quality, full color, see-through display for AR applications, providing users with a lightweight design and unrivaled optical performance.</t>
        </is>
      </c>
      <c r="G497" s="15" t="inlineStr">
        <is>
          <t>Consumer Products and Services (B2C)</t>
        </is>
      </c>
      <c r="H497" s="16" t="inlineStr">
        <is>
          <t>Consumer Durables</t>
        </is>
      </c>
      <c r="I497" s="17" t="inlineStr">
        <is>
          <t>Electronics (B2C)</t>
        </is>
      </c>
      <c r="J497" s="18" t="inlineStr">
        <is>
          <t>Electronics (B2C)*; Other Software</t>
        </is>
      </c>
      <c r="K497" s="19" t="inlineStr">
        <is>
          <t/>
        </is>
      </c>
      <c r="L497" s="20" t="inlineStr">
        <is>
          <t>Venture Capital-Backed</t>
        </is>
      </c>
      <c r="M497" s="21" t="n">
        <v>14.06</v>
      </c>
      <c r="N497" s="22" t="inlineStr">
        <is>
          <t>Generating Revenue</t>
        </is>
      </c>
      <c r="O497" s="23" t="inlineStr">
        <is>
          <t>Privately Held (backing)</t>
        </is>
      </c>
      <c r="P497" s="24" t="inlineStr">
        <is>
          <t>Venture Capital</t>
        </is>
      </c>
      <c r="Q497" s="25" t="inlineStr">
        <is>
          <t>enhancedworld.com</t>
        </is>
      </c>
      <c r="R497" s="26" t="n">
        <v>7.0</v>
      </c>
      <c r="S497" s="27" t="inlineStr">
        <is>
          <t/>
        </is>
      </c>
      <c r="T497" s="28" t="inlineStr">
        <is>
          <t/>
        </is>
      </c>
      <c r="U497" s="29" t="n">
        <v>2012.0</v>
      </c>
      <c r="V497" s="30" t="inlineStr">
        <is>
          <t/>
        </is>
      </c>
      <c r="W497" s="31" t="inlineStr">
        <is>
          <t/>
        </is>
      </c>
      <c r="X497" s="32" t="inlineStr">
        <is>
          <t/>
        </is>
      </c>
      <c r="Y497" s="33" t="inlineStr">
        <is>
          <t/>
        </is>
      </c>
      <c r="Z497" s="34" t="inlineStr">
        <is>
          <t/>
        </is>
      </c>
      <c r="AA497" s="35" t="inlineStr">
        <is>
          <t/>
        </is>
      </c>
      <c r="AB497" s="36" t="inlineStr">
        <is>
          <t/>
        </is>
      </c>
      <c r="AC497" s="37" t="inlineStr">
        <is>
          <t/>
        </is>
      </c>
      <c r="AD497" s="38" t="inlineStr">
        <is>
          <t/>
        </is>
      </c>
      <c r="AE497" s="39" t="inlineStr">
        <is>
          <t>92036-62P</t>
        </is>
      </c>
      <c r="AF497" s="40" t="inlineStr">
        <is>
          <t>Sumanta Talukdar</t>
        </is>
      </c>
      <c r="AG497" s="41" t="inlineStr">
        <is>
          <t>Co-Founder, Board Member &amp; Chief Executive Officer</t>
        </is>
      </c>
      <c r="AH497" s="42" t="inlineStr">
        <is>
          <t>sumanta@waveoptics.co.uk</t>
        </is>
      </c>
      <c r="AI497" s="43" t="inlineStr">
        <is>
          <t>+44 (0)12 3584 1526</t>
        </is>
      </c>
      <c r="AJ497" s="44" t="inlineStr">
        <is>
          <t>Abingdon, United Kingdom</t>
        </is>
      </c>
      <c r="AK497" s="45" t="inlineStr">
        <is>
          <t>99 Park Drive</t>
        </is>
      </c>
      <c r="AL497" s="46" t="inlineStr">
        <is>
          <t>Milton Park, Oxfordshire</t>
        </is>
      </c>
      <c r="AM497" s="47" t="inlineStr">
        <is>
          <t>Abingdon</t>
        </is>
      </c>
      <c r="AN497" s="48" t="inlineStr">
        <is>
          <t>England</t>
        </is>
      </c>
      <c r="AO497" s="49" t="inlineStr">
        <is>
          <t>OX14 4RY</t>
        </is>
      </c>
      <c r="AP497" s="50" t="inlineStr">
        <is>
          <t>United Kingdom</t>
        </is>
      </c>
      <c r="AQ497" s="51" t="inlineStr">
        <is>
          <t>+44 (0)12 3584 1526</t>
        </is>
      </c>
      <c r="AR497" s="52" t="inlineStr">
        <is>
          <t/>
        </is>
      </c>
      <c r="AS497" s="53" t="inlineStr">
        <is>
          <t>contact@waveoptics.co.uk</t>
        </is>
      </c>
      <c r="AT497" s="54" t="inlineStr">
        <is>
          <t>Europe</t>
        </is>
      </c>
      <c r="AU497" s="55" t="inlineStr">
        <is>
          <t>Western Europe</t>
        </is>
      </c>
      <c r="AV497" s="56" t="inlineStr">
        <is>
          <t>The company raised GBP 12 million of Series B venture funding from Octopus Ventures, Touchstone Innovations and Robert Bosch Venture Capital on July 17, 2017. Gobi Ventures also participated in this round. The company intends to use the funds to accelerate development of its technologies and to launch programs in new markets and territories.</t>
        </is>
      </c>
      <c r="AW497" s="57" t="inlineStr">
        <is>
          <t>Ambarish Mitra, Blippar, Gobi Ventures, Mark Zaleski, Michael Tobin, Octopus Ventures, Omar Tayeb, Robert Bosch Venture Capital, Stan Boland, Steve Allpress, Touchstone Innovations</t>
        </is>
      </c>
      <c r="AX497" s="58" t="n">
        <v>11.0</v>
      </c>
      <c r="AY497" s="59" t="inlineStr">
        <is>
          <t/>
        </is>
      </c>
      <c r="AZ497" s="60" t="inlineStr">
        <is>
          <t/>
        </is>
      </c>
      <c r="BA497" s="61" t="inlineStr">
        <is>
          <t/>
        </is>
      </c>
      <c r="BB497" s="62" t="inlineStr">
        <is>
          <t>Blippar (www.blippar.com/en), Gobi Ventures (www.gobivc.com), Octopus Ventures (www.octopusventures.com), Robert Bosch Venture Capital (www.rbvc.com), Touchstone Innovations (www.touchstoneinnovations.com)</t>
        </is>
      </c>
      <c r="BC497" s="63" t="inlineStr">
        <is>
          <t/>
        </is>
      </c>
      <c r="BD497" s="64" t="inlineStr">
        <is>
          <t/>
        </is>
      </c>
      <c r="BE497" s="65" t="inlineStr">
        <is>
          <t/>
        </is>
      </c>
      <c r="BF497" s="66" t="inlineStr">
        <is>
          <t>Gunderson Dettmer (Legal Advisor)</t>
        </is>
      </c>
      <c r="BG497" s="67" t="n">
        <v>42062.0</v>
      </c>
      <c r="BH497" s="68" t="n">
        <v>0.51</v>
      </c>
      <c r="BI497" s="69" t="inlineStr">
        <is>
          <t>Actual</t>
        </is>
      </c>
      <c r="BJ497" s="70" t="inlineStr">
        <is>
          <t/>
        </is>
      </c>
      <c r="BK497" s="71" t="inlineStr">
        <is>
          <t/>
        </is>
      </c>
      <c r="BL497" s="72" t="inlineStr">
        <is>
          <t>Seed Round</t>
        </is>
      </c>
      <c r="BM497" s="73" t="inlineStr">
        <is>
          <t>Seed</t>
        </is>
      </c>
      <c r="BN497" s="74" t="inlineStr">
        <is>
          <t/>
        </is>
      </c>
      <c r="BO497" s="75" t="inlineStr">
        <is>
          <t>Venture Capital</t>
        </is>
      </c>
      <c r="BP497" s="76" t="inlineStr">
        <is>
          <t/>
        </is>
      </c>
      <c r="BQ497" s="77" t="inlineStr">
        <is>
          <t/>
        </is>
      </c>
      <c r="BR497" s="78" t="inlineStr">
        <is>
          <t/>
        </is>
      </c>
      <c r="BS497" s="79" t="inlineStr">
        <is>
          <t>Completed</t>
        </is>
      </c>
      <c r="BT497" s="80" t="n">
        <v>42933.0</v>
      </c>
      <c r="BU497" s="81" t="n">
        <v>13.55</v>
      </c>
      <c r="BV497" s="82" t="inlineStr">
        <is>
          <t>Actual</t>
        </is>
      </c>
      <c r="BW497" s="83" t="inlineStr">
        <is>
          <t/>
        </is>
      </c>
      <c r="BX497" s="84" t="inlineStr">
        <is>
          <t/>
        </is>
      </c>
      <c r="BY497" s="85" t="inlineStr">
        <is>
          <t>Early Stage VC</t>
        </is>
      </c>
      <c r="BZ497" s="86" t="inlineStr">
        <is>
          <t>Series B</t>
        </is>
      </c>
      <c r="CA497" s="87" t="inlineStr">
        <is>
          <t/>
        </is>
      </c>
      <c r="CB497" s="88" t="inlineStr">
        <is>
          <t>Venture Capital</t>
        </is>
      </c>
      <c r="CC497" s="89" t="inlineStr">
        <is>
          <t/>
        </is>
      </c>
      <c r="CD497" s="90" t="inlineStr">
        <is>
          <t/>
        </is>
      </c>
      <c r="CE497" s="91" t="inlineStr">
        <is>
          <t/>
        </is>
      </c>
      <c r="CF497" s="92" t="inlineStr">
        <is>
          <t>Completed</t>
        </is>
      </c>
      <c r="CG497" s="93" t="inlineStr">
        <is>
          <t>2,63%</t>
        </is>
      </c>
      <c r="CH497" s="94" t="inlineStr">
        <is>
          <t>95</t>
        </is>
      </c>
      <c r="CI497" s="95" t="inlineStr">
        <is>
          <t>-0,02%</t>
        </is>
      </c>
      <c r="CJ497" s="96" t="inlineStr">
        <is>
          <t>-0,76%</t>
        </is>
      </c>
      <c r="CK497" s="97" t="inlineStr">
        <is>
          <t>1,57%</t>
        </is>
      </c>
      <c r="CL497" s="98" t="inlineStr">
        <is>
          <t>89</t>
        </is>
      </c>
      <c r="CM497" s="99" t="inlineStr">
        <is>
          <t>3,69%</t>
        </is>
      </c>
      <c r="CN497" s="100" t="inlineStr">
        <is>
          <t>100</t>
        </is>
      </c>
      <c r="CO497" s="101" t="inlineStr">
        <is>
          <t>3,13%</t>
        </is>
      </c>
      <c r="CP497" s="102" t="inlineStr">
        <is>
          <t>92</t>
        </is>
      </c>
      <c r="CQ497" s="103" t="inlineStr">
        <is>
          <t>0,00%</t>
        </is>
      </c>
      <c r="CR497" s="104" t="inlineStr">
        <is>
          <t>13</t>
        </is>
      </c>
      <c r="CS497" s="105" t="inlineStr">
        <is>
          <t/>
        </is>
      </c>
      <c r="CT497" s="106" t="inlineStr">
        <is>
          <t/>
        </is>
      </c>
      <c r="CU497" s="107" t="inlineStr">
        <is>
          <t>3,69%</t>
        </is>
      </c>
      <c r="CV497" s="108" t="inlineStr">
        <is>
          <t>100</t>
        </is>
      </c>
      <c r="CW497" s="109" t="inlineStr">
        <is>
          <t>0,88x</t>
        </is>
      </c>
      <c r="CX497" s="110" t="inlineStr">
        <is>
          <t>46</t>
        </is>
      </c>
      <c r="CY497" s="111" t="inlineStr">
        <is>
          <t>0,01x</t>
        </is>
      </c>
      <c r="CZ497" s="112" t="inlineStr">
        <is>
          <t>1,63%</t>
        </is>
      </c>
      <c r="DA497" s="113" t="inlineStr">
        <is>
          <t>0,85x</t>
        </is>
      </c>
      <c r="DB497" s="114" t="inlineStr">
        <is>
          <t>48</t>
        </is>
      </c>
      <c r="DC497" s="115" t="inlineStr">
        <is>
          <t>0,91x</t>
        </is>
      </c>
      <c r="DD497" s="116" t="inlineStr">
        <is>
          <t>46</t>
        </is>
      </c>
      <c r="DE497" s="117" t="inlineStr">
        <is>
          <t>1,16x</t>
        </is>
      </c>
      <c r="DF497" s="118" t="inlineStr">
        <is>
          <t>53</t>
        </is>
      </c>
      <c r="DG497" s="119" t="inlineStr">
        <is>
          <t>0,53x</t>
        </is>
      </c>
      <c r="DH497" s="120" t="inlineStr">
        <is>
          <t>37</t>
        </is>
      </c>
      <c r="DI497" s="121" t="inlineStr">
        <is>
          <t/>
        </is>
      </c>
      <c r="DJ497" s="122" t="inlineStr">
        <is>
          <t/>
        </is>
      </c>
      <c r="DK497" s="123" t="inlineStr">
        <is>
          <t>0,91x</t>
        </is>
      </c>
      <c r="DL497" s="124" t="inlineStr">
        <is>
          <t>49</t>
        </is>
      </c>
      <c r="DM497" s="125" t="inlineStr">
        <is>
          <t>927</t>
        </is>
      </c>
      <c r="DN497" s="126" t="inlineStr">
        <is>
          <t>-639</t>
        </is>
      </c>
      <c r="DO497" s="127" t="inlineStr">
        <is>
          <t>-40,80%</t>
        </is>
      </c>
      <c r="DP497" s="128" t="inlineStr">
        <is>
          <t/>
        </is>
      </c>
      <c r="DQ497" s="129" t="inlineStr">
        <is>
          <t/>
        </is>
      </c>
      <c r="DR497" s="130" t="inlineStr">
        <is>
          <t/>
        </is>
      </c>
      <c r="DS497" s="131" t="inlineStr">
        <is>
          <t>19</t>
        </is>
      </c>
      <c r="DT497" s="132" t="inlineStr">
        <is>
          <t>1</t>
        </is>
      </c>
      <c r="DU497" s="133" t="inlineStr">
        <is>
          <t>5,56%</t>
        </is>
      </c>
      <c r="DV497" s="134" t="inlineStr">
        <is>
          <t>311</t>
        </is>
      </c>
      <c r="DW497" s="135" t="inlineStr">
        <is>
          <t>-1</t>
        </is>
      </c>
      <c r="DX497" s="136" t="inlineStr">
        <is>
          <t>-0,32%</t>
        </is>
      </c>
      <c r="DY497" s="137" t="inlineStr">
        <is>
          <t>PitchBook Research</t>
        </is>
      </c>
      <c r="DZ497" s="785">
        <f>HYPERLINK("https://my.pitchbook.com?c=107674-03", "View company online")</f>
      </c>
    </row>
    <row r="498">
      <c r="A498" s="139" t="inlineStr">
        <is>
          <t>105775-75</t>
        </is>
      </c>
      <c r="B498" s="140" t="inlineStr">
        <is>
          <t>WayRay</t>
        </is>
      </c>
      <c r="C498" s="141" t="inlineStr">
        <is>
          <t/>
        </is>
      </c>
      <c r="D498" s="142" t="inlineStr">
        <is>
          <t/>
        </is>
      </c>
      <c r="E498" s="143" t="inlineStr">
        <is>
          <t>105775-75</t>
        </is>
      </c>
      <c r="F498" s="144" t="inlineStr">
        <is>
          <t>Developer of holographic augmented reality (AR) navigation systems designed to improve safety while driving a car. The company's holographic augmented reality (AR) navigation systems provides full-color heads-up displays in a car windshield and offers wide viewing angles while requiring less space for hardware and control systems enabling car drivers to look through data in their windshields without looking down at gauges watching road conditions.</t>
        </is>
      </c>
      <c r="G498" s="145" t="inlineStr">
        <is>
          <t>Information Technology</t>
        </is>
      </c>
      <c r="H498" s="146" t="inlineStr">
        <is>
          <t>Computer Hardware</t>
        </is>
      </c>
      <c r="I498" s="147" t="inlineStr">
        <is>
          <t>Electronic Components</t>
        </is>
      </c>
      <c r="J498" s="148" t="inlineStr">
        <is>
          <t>Electronic Components*</t>
        </is>
      </c>
      <c r="K498" s="149" t="inlineStr">
        <is>
          <t>Autonomous cars, Virtual Reality</t>
        </is>
      </c>
      <c r="L498" s="150" t="inlineStr">
        <is>
          <t>Venture Capital-Backed</t>
        </is>
      </c>
      <c r="M498" s="151" t="n">
        <v>16.84</v>
      </c>
      <c r="N498" s="152" t="inlineStr">
        <is>
          <t>Generating Revenue</t>
        </is>
      </c>
      <c r="O498" s="153" t="inlineStr">
        <is>
          <t>Privately Held (backing)</t>
        </is>
      </c>
      <c r="P498" s="154" t="inlineStr">
        <is>
          <t>Venture Capital</t>
        </is>
      </c>
      <c r="Q498" s="155" t="inlineStr">
        <is>
          <t>www.wayray.com</t>
        </is>
      </c>
      <c r="R498" s="156" t="n">
        <v>14.0</v>
      </c>
      <c r="S498" s="157" t="inlineStr">
        <is>
          <t/>
        </is>
      </c>
      <c r="T498" s="158" t="inlineStr">
        <is>
          <t/>
        </is>
      </c>
      <c r="U498" s="159" t="n">
        <v>2012.0</v>
      </c>
      <c r="V498" s="160" t="inlineStr">
        <is>
          <t/>
        </is>
      </c>
      <c r="W498" s="161" t="inlineStr">
        <is>
          <t/>
        </is>
      </c>
      <c r="X498" s="162" t="inlineStr">
        <is>
          <t/>
        </is>
      </c>
      <c r="Y498" s="163" t="inlineStr">
        <is>
          <t/>
        </is>
      </c>
      <c r="Z498" s="164" t="inlineStr">
        <is>
          <t/>
        </is>
      </c>
      <c r="AA498" s="165" t="inlineStr">
        <is>
          <t/>
        </is>
      </c>
      <c r="AB498" s="166" t="inlineStr">
        <is>
          <t/>
        </is>
      </c>
      <c r="AC498" s="167" t="inlineStr">
        <is>
          <t/>
        </is>
      </c>
      <c r="AD498" s="168" t="inlineStr">
        <is>
          <t/>
        </is>
      </c>
      <c r="AE498" s="169" t="inlineStr">
        <is>
          <t>99114-67P</t>
        </is>
      </c>
      <c r="AF498" s="170" t="inlineStr">
        <is>
          <t>Vitaly Ponomarev</t>
        </is>
      </c>
      <c r="AG498" s="171" t="inlineStr">
        <is>
          <t>Founder &amp; Chief Executive Officer</t>
        </is>
      </c>
      <c r="AH498" s="172" t="inlineStr">
        <is>
          <t>vitaly@wayray.com</t>
        </is>
      </c>
      <c r="AI498" s="173" t="inlineStr">
        <is>
          <t/>
        </is>
      </c>
      <c r="AJ498" s="174" t="inlineStr">
        <is>
          <t>Lausanne, Switzerland</t>
        </is>
      </c>
      <c r="AK498" s="175" t="inlineStr">
        <is>
          <t>World Trade Center Lausanne</t>
        </is>
      </c>
      <c r="AL498" s="176" t="inlineStr">
        <is>
          <t>Avenue De Gratta-Paille 1-2</t>
        </is>
      </c>
      <c r="AM498" s="177" t="inlineStr">
        <is>
          <t>Lausanne</t>
        </is>
      </c>
      <c r="AN498" s="178" t="inlineStr">
        <is>
          <t/>
        </is>
      </c>
      <c r="AO498" s="179" t="inlineStr">
        <is>
          <t>1018</t>
        </is>
      </c>
      <c r="AP498" s="180" t="inlineStr">
        <is>
          <t>Switzerland</t>
        </is>
      </c>
      <c r="AQ498" s="181" t="inlineStr">
        <is>
          <t/>
        </is>
      </c>
      <c r="AR498" s="182" t="inlineStr">
        <is>
          <t/>
        </is>
      </c>
      <c r="AS498" s="183" t="inlineStr">
        <is>
          <t>info@wayray.com</t>
        </is>
      </c>
      <c r="AT498" s="184" t="inlineStr">
        <is>
          <t>Europe</t>
        </is>
      </c>
      <c r="AU498" s="185" t="inlineStr">
        <is>
          <t>Western Europe</t>
        </is>
      </c>
      <c r="AV498" s="186" t="inlineStr">
        <is>
          <t>The company raised $18 million of Series B venture funding in a deal led by Alibaba Group (NYSE: BABA) on March 14, 2017. Sequoia Capital, 500 Startups, New Enterprise Associates, Y Combinator, Intel Capital and Accel Partners also participated in the round. The company, which has raised $30 million in total funding to date, intends to use the funds to develop embedded AR interfaces with other car manufacturers in China and the US.</t>
        </is>
      </c>
      <c r="AW498" s="187" t="inlineStr">
        <is>
          <t>500 Startups, Accel, Alibaba Group, Intel Capital, New Enterprise Associates, Seedstars World, Sequoia Capital, Sistema, Y Combinator</t>
        </is>
      </c>
      <c r="AX498" s="188" t="n">
        <v>9.0</v>
      </c>
      <c r="AY498" s="189" t="inlineStr">
        <is>
          <t/>
        </is>
      </c>
      <c r="AZ498" s="190" t="inlineStr">
        <is>
          <t/>
        </is>
      </c>
      <c r="BA498" s="191" t="inlineStr">
        <is>
          <t/>
        </is>
      </c>
      <c r="BB498" s="192" t="inlineStr">
        <is>
          <t>500 Startups (www.500.co), Accel (www.accel.com), Alibaba Group (www.alibabagroup.com), Intel Capital (www.intelcapital.com), New Enterprise Associates (www.nea.com), Seedstars World (www.seedstarsworld.com), Sequoia Capital (www.sequoiacap.com), Sistema (www.sistema.com), Y Combinator (www.ycombinator.com)</t>
        </is>
      </c>
      <c r="BC498" s="193" t="inlineStr">
        <is>
          <t/>
        </is>
      </c>
      <c r="BD498" s="194" t="inlineStr">
        <is>
          <t/>
        </is>
      </c>
      <c r="BE498" s="195" t="inlineStr">
        <is>
          <t/>
        </is>
      </c>
      <c r="BF498" s="196" t="inlineStr">
        <is>
          <t/>
        </is>
      </c>
      <c r="BG498" s="197" t="n">
        <v>41275.0</v>
      </c>
      <c r="BH498" s="198" t="inlineStr">
        <is>
          <t/>
        </is>
      </c>
      <c r="BI498" s="199" t="inlineStr">
        <is>
          <t/>
        </is>
      </c>
      <c r="BJ498" s="200" t="inlineStr">
        <is>
          <t/>
        </is>
      </c>
      <c r="BK498" s="201" t="inlineStr">
        <is>
          <t/>
        </is>
      </c>
      <c r="BL498" s="202" t="inlineStr">
        <is>
          <t>Accelerator/Incubator</t>
        </is>
      </c>
      <c r="BM498" s="203" t="inlineStr">
        <is>
          <t/>
        </is>
      </c>
      <c r="BN498" s="204" t="inlineStr">
        <is>
          <t/>
        </is>
      </c>
      <c r="BO498" s="205" t="inlineStr">
        <is>
          <t>Venture Capital</t>
        </is>
      </c>
      <c r="BP498" s="206" t="inlineStr">
        <is>
          <t/>
        </is>
      </c>
      <c r="BQ498" s="207" t="inlineStr">
        <is>
          <t/>
        </is>
      </c>
      <c r="BR498" s="208" t="inlineStr">
        <is>
          <t/>
        </is>
      </c>
      <c r="BS498" s="209" t="inlineStr">
        <is>
          <t>Completed</t>
        </is>
      </c>
      <c r="BT498" s="210" t="n">
        <v>42808.0</v>
      </c>
      <c r="BU498" s="211" t="n">
        <v>16.84</v>
      </c>
      <c r="BV498" s="212" t="inlineStr">
        <is>
          <t>Actual</t>
        </is>
      </c>
      <c r="BW498" s="213" t="inlineStr">
        <is>
          <t/>
        </is>
      </c>
      <c r="BX498" s="214" t="inlineStr">
        <is>
          <t/>
        </is>
      </c>
      <c r="BY498" s="215" t="inlineStr">
        <is>
          <t>Early Stage VC</t>
        </is>
      </c>
      <c r="BZ498" s="216" t="inlineStr">
        <is>
          <t>Series B</t>
        </is>
      </c>
      <c r="CA498" s="217" t="inlineStr">
        <is>
          <t/>
        </is>
      </c>
      <c r="CB498" s="218" t="inlineStr">
        <is>
          <t>Venture Capital</t>
        </is>
      </c>
      <c r="CC498" s="219" t="inlineStr">
        <is>
          <t/>
        </is>
      </c>
      <c r="CD498" s="220" t="inlineStr">
        <is>
          <t/>
        </is>
      </c>
      <c r="CE498" s="221" t="inlineStr">
        <is>
          <t/>
        </is>
      </c>
      <c r="CF498" s="222" t="inlineStr">
        <is>
          <t>Completed</t>
        </is>
      </c>
      <c r="CG498" s="223" t="inlineStr">
        <is>
          <t>-0,25%</t>
        </is>
      </c>
      <c r="CH498" s="224" t="inlineStr">
        <is>
          <t>11</t>
        </is>
      </c>
      <c r="CI498" s="225" t="inlineStr">
        <is>
          <t>0,01%</t>
        </is>
      </c>
      <c r="CJ498" s="226" t="inlineStr">
        <is>
          <t>2,27%</t>
        </is>
      </c>
      <c r="CK498" s="227" t="inlineStr">
        <is>
          <t>-0,58%</t>
        </is>
      </c>
      <c r="CL498" s="228" t="inlineStr">
        <is>
          <t>11</t>
        </is>
      </c>
      <c r="CM498" s="229" t="inlineStr">
        <is>
          <t>0,09%</t>
        </is>
      </c>
      <c r="CN498" s="230" t="inlineStr">
        <is>
          <t>59</t>
        </is>
      </c>
      <c r="CO498" s="231" t="inlineStr">
        <is>
          <t>-1,17%</t>
        </is>
      </c>
      <c r="CP498" s="232" t="inlineStr">
        <is>
          <t>19</t>
        </is>
      </c>
      <c r="CQ498" s="233" t="inlineStr">
        <is>
          <t>0,00%</t>
        </is>
      </c>
      <c r="CR498" s="234" t="inlineStr">
        <is>
          <t>13</t>
        </is>
      </c>
      <c r="CS498" s="235" t="inlineStr">
        <is>
          <t>0,06%</t>
        </is>
      </c>
      <c r="CT498" s="236" t="inlineStr">
        <is>
          <t>51</t>
        </is>
      </c>
      <c r="CU498" s="237" t="inlineStr">
        <is>
          <t>0,12%</t>
        </is>
      </c>
      <c r="CV498" s="238" t="inlineStr">
        <is>
          <t>70</t>
        </is>
      </c>
      <c r="CW498" s="239" t="inlineStr">
        <is>
          <t>8,39x</t>
        </is>
      </c>
      <c r="CX498" s="240" t="inlineStr">
        <is>
          <t>85</t>
        </is>
      </c>
      <c r="CY498" s="241" t="inlineStr">
        <is>
          <t>0,15x</t>
        </is>
      </c>
      <c r="CZ498" s="242" t="inlineStr">
        <is>
          <t>1,77%</t>
        </is>
      </c>
      <c r="DA498" s="243" t="inlineStr">
        <is>
          <t>4,71x</t>
        </is>
      </c>
      <c r="DB498" s="244" t="inlineStr">
        <is>
          <t>79</t>
        </is>
      </c>
      <c r="DC498" s="245" t="inlineStr">
        <is>
          <t>12,06x</t>
        </is>
      </c>
      <c r="DD498" s="246" t="inlineStr">
        <is>
          <t>86</t>
        </is>
      </c>
      <c r="DE498" s="247" t="inlineStr">
        <is>
          <t>8,22x</t>
        </is>
      </c>
      <c r="DF498" s="248" t="inlineStr">
        <is>
          <t>82</t>
        </is>
      </c>
      <c r="DG498" s="249" t="inlineStr">
        <is>
          <t>1,19x</t>
        </is>
      </c>
      <c r="DH498" s="250" t="inlineStr">
        <is>
          <t>54</t>
        </is>
      </c>
      <c r="DI498" s="251" t="inlineStr">
        <is>
          <t>14,42x</t>
        </is>
      </c>
      <c r="DJ498" s="252" t="inlineStr">
        <is>
          <t>85</t>
        </is>
      </c>
      <c r="DK498" s="253" t="inlineStr">
        <is>
          <t>9,71x</t>
        </is>
      </c>
      <c r="DL498" s="254" t="inlineStr">
        <is>
          <t>86</t>
        </is>
      </c>
      <c r="DM498" s="255" t="inlineStr">
        <is>
          <t>5.037</t>
        </is>
      </c>
      <c r="DN498" s="256" t="inlineStr">
        <is>
          <t>49</t>
        </is>
      </c>
      <c r="DO498" s="257" t="inlineStr">
        <is>
          <t>0,98%</t>
        </is>
      </c>
      <c r="DP498" s="258" t="inlineStr">
        <is>
          <t>11.513</t>
        </is>
      </c>
      <c r="DQ498" s="259" t="inlineStr">
        <is>
          <t>7</t>
        </is>
      </c>
      <c r="DR498" s="260" t="inlineStr">
        <is>
          <t>0,06%</t>
        </is>
      </c>
      <c r="DS498" s="261" t="inlineStr">
        <is>
          <t>42</t>
        </is>
      </c>
      <c r="DT498" s="262" t="inlineStr">
        <is>
          <t>0</t>
        </is>
      </c>
      <c r="DU498" s="263" t="inlineStr">
        <is>
          <t>0,00%</t>
        </is>
      </c>
      <c r="DV498" s="264" t="inlineStr">
        <is>
          <t>3.329</t>
        </is>
      </c>
      <c r="DW498" s="265" t="inlineStr">
        <is>
          <t>9</t>
        </is>
      </c>
      <c r="DX498" s="266" t="inlineStr">
        <is>
          <t>0,27%</t>
        </is>
      </c>
      <c r="DY498" s="267" t="inlineStr">
        <is>
          <t>PitchBook Research</t>
        </is>
      </c>
      <c r="DZ498" s="786">
        <f>HYPERLINK("https://my.pitchbook.com?c=105775-75", "View company online")</f>
      </c>
    </row>
    <row r="499">
      <c r="A499" s="9" t="inlineStr">
        <is>
          <t>100099-09</t>
        </is>
      </c>
      <c r="B499" s="10" t="inlineStr">
        <is>
          <t>Weaveworks</t>
        </is>
      </c>
      <c r="C499" s="11" t="inlineStr">
        <is>
          <t>Zettio</t>
        </is>
      </c>
      <c r="D499" s="12" t="inlineStr">
        <is>
          <t>Weave</t>
        </is>
      </c>
      <c r="E499" s="13" t="inlineStr">
        <is>
          <t>100099-09</t>
        </is>
      </c>
      <c r="F499" s="14" t="inlineStr">
        <is>
          <t>Developer of a virtual network that connects docker containers. The company’s product delivers a software-defined network across docker containers and layers cross-container.</t>
        </is>
      </c>
      <c r="G499" s="15" t="inlineStr">
        <is>
          <t>Information Technology</t>
        </is>
      </c>
      <c r="H499" s="16" t="inlineStr">
        <is>
          <t>Software</t>
        </is>
      </c>
      <c r="I499" s="17" t="inlineStr">
        <is>
          <t>Automation/Workflow Software</t>
        </is>
      </c>
      <c r="J499" s="18" t="inlineStr">
        <is>
          <t>Automation/Workflow Software*; Business/Productivity Software</t>
        </is>
      </c>
      <c r="K499" s="19" t="inlineStr">
        <is>
          <t>SaaS</t>
        </is>
      </c>
      <c r="L499" s="20" t="inlineStr">
        <is>
          <t>Venture Capital-Backed</t>
        </is>
      </c>
      <c r="M499" s="21" t="n">
        <v>17.32</v>
      </c>
      <c r="N499" s="22" t="inlineStr">
        <is>
          <t>Startup</t>
        </is>
      </c>
      <c r="O499" s="23" t="inlineStr">
        <is>
          <t>Privately Held (backing)</t>
        </is>
      </c>
      <c r="P499" s="24" t="inlineStr">
        <is>
          <t>Venture Capital</t>
        </is>
      </c>
      <c r="Q499" s="25" t="inlineStr">
        <is>
          <t>www.weave.works</t>
        </is>
      </c>
      <c r="R499" s="26" t="n">
        <v>16.0</v>
      </c>
      <c r="S499" s="27" t="inlineStr">
        <is>
          <t/>
        </is>
      </c>
      <c r="T499" s="28" t="inlineStr">
        <is>
          <t/>
        </is>
      </c>
      <c r="U499" s="29" t="n">
        <v>2014.0</v>
      </c>
      <c r="V499" s="30" t="inlineStr">
        <is>
          <t/>
        </is>
      </c>
      <c r="W499" s="31" t="inlineStr">
        <is>
          <t/>
        </is>
      </c>
      <c r="X499" s="32" t="inlineStr">
        <is>
          <t/>
        </is>
      </c>
      <c r="Y499" s="33" t="inlineStr">
        <is>
          <t/>
        </is>
      </c>
      <c r="Z499" s="34" t="inlineStr">
        <is>
          <t/>
        </is>
      </c>
      <c r="AA499" s="35" t="inlineStr">
        <is>
          <t/>
        </is>
      </c>
      <c r="AB499" s="36" t="inlineStr">
        <is>
          <t/>
        </is>
      </c>
      <c r="AC499" s="37" t="inlineStr">
        <is>
          <t/>
        </is>
      </c>
      <c r="AD499" s="38" t="inlineStr">
        <is>
          <t/>
        </is>
      </c>
      <c r="AE499" s="39" t="inlineStr">
        <is>
          <t>86581-09P</t>
        </is>
      </c>
      <c r="AF499" s="40" t="inlineStr">
        <is>
          <t>Matthias Radestock</t>
        </is>
      </c>
      <c r="AG499" s="41" t="inlineStr">
        <is>
          <t>Co-Founder, Board Member &amp; Chief Technology Officer</t>
        </is>
      </c>
      <c r="AH499" s="42" t="inlineStr">
        <is>
          <t>matthias.radestock@weave.works</t>
        </is>
      </c>
      <c r="AI499" s="43" t="inlineStr">
        <is>
          <t/>
        </is>
      </c>
      <c r="AJ499" s="44" t="inlineStr">
        <is>
          <t>London, United Kingdom</t>
        </is>
      </c>
      <c r="AK499" s="45" t="inlineStr">
        <is>
          <t>32 - 38 Scrutton Street</t>
        </is>
      </c>
      <c r="AL499" s="46" t="inlineStr">
        <is>
          <t/>
        </is>
      </c>
      <c r="AM499" s="47" t="inlineStr">
        <is>
          <t>London</t>
        </is>
      </c>
      <c r="AN499" s="48" t="inlineStr">
        <is>
          <t>England</t>
        </is>
      </c>
      <c r="AO499" s="49" t="inlineStr">
        <is>
          <t>EC2A 4RQ</t>
        </is>
      </c>
      <c r="AP499" s="50" t="inlineStr">
        <is>
          <t>United Kingdom</t>
        </is>
      </c>
      <c r="AQ499" s="51" t="inlineStr">
        <is>
          <t/>
        </is>
      </c>
      <c r="AR499" s="52" t="inlineStr">
        <is>
          <t/>
        </is>
      </c>
      <c r="AS499" s="53" t="inlineStr">
        <is>
          <t/>
        </is>
      </c>
      <c r="AT499" s="54" t="inlineStr">
        <is>
          <t>Europe</t>
        </is>
      </c>
      <c r="AU499" s="55" t="inlineStr">
        <is>
          <t>Western Europe</t>
        </is>
      </c>
      <c r="AV499" s="56" t="inlineStr">
        <is>
          <t>The company raised $15 million of Series B venture funding from lead investor GV on May 11, 2016. Accel Partners also participated. The company will use the funding to meet increasing demand for its services in containers and microservices as well as to further develop its product and invest in both sales and marketing.</t>
        </is>
      </c>
      <c r="AW499" s="57" t="inlineStr">
        <is>
          <t>Accel, GV, Redline Capital Management</t>
        </is>
      </c>
      <c r="AX499" s="58" t="n">
        <v>3.0</v>
      </c>
      <c r="AY499" s="59" t="inlineStr">
        <is>
          <t/>
        </is>
      </c>
      <c r="AZ499" s="60" t="inlineStr">
        <is>
          <t/>
        </is>
      </c>
      <c r="BA499" s="61" t="inlineStr">
        <is>
          <t/>
        </is>
      </c>
      <c r="BB499" s="62" t="inlineStr">
        <is>
          <t>Accel (www.accel.com), GV (www.gv.com), Redline Capital Management (www.redline-capital.com)</t>
        </is>
      </c>
      <c r="BC499" s="63" t="inlineStr">
        <is>
          <t/>
        </is>
      </c>
      <c r="BD499" s="64" t="inlineStr">
        <is>
          <t/>
        </is>
      </c>
      <c r="BE499" s="65" t="inlineStr">
        <is>
          <t>Orrick Herrington &amp; Sutcliffe (Legal Advisor)</t>
        </is>
      </c>
      <c r="BF499" s="66" t="inlineStr">
        <is>
          <t>Orrick Herrington &amp; Sutcliffe (Legal Advisor)</t>
        </is>
      </c>
      <c r="BG499" s="67" t="n">
        <v>41976.0</v>
      </c>
      <c r="BH499" s="68" t="n">
        <v>4.06</v>
      </c>
      <c r="BI499" s="69" t="inlineStr">
        <is>
          <t>Actual</t>
        </is>
      </c>
      <c r="BJ499" s="70" t="inlineStr">
        <is>
          <t/>
        </is>
      </c>
      <c r="BK499" s="71" t="inlineStr">
        <is>
          <t/>
        </is>
      </c>
      <c r="BL499" s="72" t="inlineStr">
        <is>
          <t>Early Stage VC</t>
        </is>
      </c>
      <c r="BM499" s="73" t="inlineStr">
        <is>
          <t>Series A</t>
        </is>
      </c>
      <c r="BN499" s="74" t="inlineStr">
        <is>
          <t/>
        </is>
      </c>
      <c r="BO499" s="75" t="inlineStr">
        <is>
          <t>Venture Capital</t>
        </is>
      </c>
      <c r="BP499" s="76" t="inlineStr">
        <is>
          <t/>
        </is>
      </c>
      <c r="BQ499" s="77" t="inlineStr">
        <is>
          <t/>
        </is>
      </c>
      <c r="BR499" s="78" t="inlineStr">
        <is>
          <t/>
        </is>
      </c>
      <c r="BS499" s="79" t="inlineStr">
        <is>
          <t>Completed</t>
        </is>
      </c>
      <c r="BT499" s="80" t="n">
        <v>42501.0</v>
      </c>
      <c r="BU499" s="81" t="n">
        <v>13.26</v>
      </c>
      <c r="BV499" s="82" t="inlineStr">
        <is>
          <t>Actual</t>
        </is>
      </c>
      <c r="BW499" s="83" t="inlineStr">
        <is>
          <t/>
        </is>
      </c>
      <c r="BX499" s="84" t="inlineStr">
        <is>
          <t/>
        </is>
      </c>
      <c r="BY499" s="85" t="inlineStr">
        <is>
          <t>Early Stage VC</t>
        </is>
      </c>
      <c r="BZ499" s="86" t="inlineStr">
        <is>
          <t>Series B</t>
        </is>
      </c>
      <c r="CA499" s="87" t="inlineStr">
        <is>
          <t/>
        </is>
      </c>
      <c r="CB499" s="88" t="inlineStr">
        <is>
          <t>Venture Capital</t>
        </is>
      </c>
      <c r="CC499" s="89" t="inlineStr">
        <is>
          <t/>
        </is>
      </c>
      <c r="CD499" s="90" t="inlineStr">
        <is>
          <t/>
        </is>
      </c>
      <c r="CE499" s="91" t="inlineStr">
        <is>
          <t/>
        </is>
      </c>
      <c r="CF499" s="92" t="inlineStr">
        <is>
          <t>Completed</t>
        </is>
      </c>
      <c r="CG499" s="93" t="inlineStr">
        <is>
          <t>-2,27%</t>
        </is>
      </c>
      <c r="CH499" s="94" t="inlineStr">
        <is>
          <t>2</t>
        </is>
      </c>
      <c r="CI499" s="95" t="inlineStr">
        <is>
          <t>-0,14%</t>
        </is>
      </c>
      <c r="CJ499" s="96" t="inlineStr">
        <is>
          <t>-6,57%</t>
        </is>
      </c>
      <c r="CK499" s="97" t="inlineStr">
        <is>
          <t>-4,84%</t>
        </is>
      </c>
      <c r="CL499" s="98" t="inlineStr">
        <is>
          <t>1</t>
        </is>
      </c>
      <c r="CM499" s="99" t="inlineStr">
        <is>
          <t>0,29%</t>
        </is>
      </c>
      <c r="CN499" s="100" t="inlineStr">
        <is>
          <t>80</t>
        </is>
      </c>
      <c r="CO499" s="101" t="inlineStr">
        <is>
          <t>-4,84%</t>
        </is>
      </c>
      <c r="CP499" s="102" t="inlineStr">
        <is>
          <t>7</t>
        </is>
      </c>
      <c r="CQ499" s="103" t="inlineStr">
        <is>
          <t/>
        </is>
      </c>
      <c r="CR499" s="104" t="inlineStr">
        <is>
          <t/>
        </is>
      </c>
      <c r="CS499" s="105" t="inlineStr">
        <is>
          <t>0,01%</t>
        </is>
      </c>
      <c r="CT499" s="106" t="inlineStr">
        <is>
          <t>41</t>
        </is>
      </c>
      <c r="CU499" s="107" t="inlineStr">
        <is>
          <t>0,58%</t>
        </is>
      </c>
      <c r="CV499" s="108" t="inlineStr">
        <is>
          <t>93</t>
        </is>
      </c>
      <c r="CW499" s="109" t="inlineStr">
        <is>
          <t>21,42x</t>
        </is>
      </c>
      <c r="CX499" s="110" t="inlineStr">
        <is>
          <t>92</t>
        </is>
      </c>
      <c r="CY499" s="111" t="inlineStr">
        <is>
          <t>-2,20x</t>
        </is>
      </c>
      <c r="CZ499" s="112" t="inlineStr">
        <is>
          <t>-9,33%</t>
        </is>
      </c>
      <c r="DA499" s="113" t="inlineStr">
        <is>
          <t>35,79x</t>
        </is>
      </c>
      <c r="DB499" s="114" t="inlineStr">
        <is>
          <t>95</t>
        </is>
      </c>
      <c r="DC499" s="115" t="inlineStr">
        <is>
          <t>7,04x</t>
        </is>
      </c>
      <c r="DD499" s="116" t="inlineStr">
        <is>
          <t>80</t>
        </is>
      </c>
      <c r="DE499" s="117" t="inlineStr">
        <is>
          <t>35,79x</t>
        </is>
      </c>
      <c r="DF499" s="118" t="inlineStr">
        <is>
          <t>92</t>
        </is>
      </c>
      <c r="DG499" s="119" t="inlineStr">
        <is>
          <t/>
        </is>
      </c>
      <c r="DH499" s="120" t="inlineStr">
        <is>
          <t/>
        </is>
      </c>
      <c r="DI499" s="121" t="inlineStr">
        <is>
          <t>2,32x</t>
        </is>
      </c>
      <c r="DJ499" s="122" t="inlineStr">
        <is>
          <t>64</t>
        </is>
      </c>
      <c r="DK499" s="123" t="inlineStr">
        <is>
          <t>11,76x</t>
        </is>
      </c>
      <c r="DL499" s="124" t="inlineStr">
        <is>
          <t>88</t>
        </is>
      </c>
      <c r="DM499" s="125" t="inlineStr">
        <is>
          <t>22.237</t>
        </is>
      </c>
      <c r="DN499" s="126" t="inlineStr">
        <is>
          <t>-686</t>
        </is>
      </c>
      <c r="DO499" s="127" t="inlineStr">
        <is>
          <t>-2,99%</t>
        </is>
      </c>
      <c r="DP499" s="128" t="inlineStr">
        <is>
          <t>1.855</t>
        </is>
      </c>
      <c r="DQ499" s="129" t="inlineStr">
        <is>
          <t>3</t>
        </is>
      </c>
      <c r="DR499" s="130" t="inlineStr">
        <is>
          <t>0,16%</t>
        </is>
      </c>
      <c r="DS499" s="131" t="inlineStr">
        <is>
          <t/>
        </is>
      </c>
      <c r="DT499" s="132" t="inlineStr">
        <is>
          <t/>
        </is>
      </c>
      <c r="DU499" s="133" t="inlineStr">
        <is>
          <t/>
        </is>
      </c>
      <c r="DV499" s="134" t="inlineStr">
        <is>
          <t>4.022</t>
        </is>
      </c>
      <c r="DW499" s="135" t="inlineStr">
        <is>
          <t>25</t>
        </is>
      </c>
      <c r="DX499" s="136" t="inlineStr">
        <is>
          <t>0,63%</t>
        </is>
      </c>
      <c r="DY499" s="137" t="inlineStr">
        <is>
          <t>PitchBook Research</t>
        </is>
      </c>
      <c r="DZ499" s="785">
        <f>HYPERLINK("https://my.pitchbook.com?c=100099-09", "View company online")</f>
      </c>
    </row>
    <row r="500">
      <c r="A500" s="139" t="inlineStr">
        <is>
          <t>151291-54</t>
        </is>
      </c>
      <c r="B500" s="140" t="inlineStr">
        <is>
          <t>wefox</t>
        </is>
      </c>
      <c r="C500" s="141" t="inlineStr">
        <is>
          <t>FinanceFox</t>
        </is>
      </c>
      <c r="D500" s="142" t="inlineStr">
        <is>
          <t/>
        </is>
      </c>
      <c r="E500" s="143" t="inlineStr">
        <is>
          <t>151291-54</t>
        </is>
      </c>
      <c r="F500" s="144" t="inlineStr">
        <is>
          <t>Developer of an online application for insurance brokerage. The company provides a Web-based service platform that combines insurance expertise with digital technology to enable consumers, brokers and insurance companies to manage their insurance products and processes.</t>
        </is>
      </c>
      <c r="G500" s="145" t="inlineStr">
        <is>
          <t>Information Technology</t>
        </is>
      </c>
      <c r="H500" s="146" t="inlineStr">
        <is>
          <t>Software</t>
        </is>
      </c>
      <c r="I500" s="147" t="inlineStr">
        <is>
          <t>Financial Software</t>
        </is>
      </c>
      <c r="J500" s="148" t="inlineStr">
        <is>
          <t>Financial Software*; Other Insurance; Social/Platform Software</t>
        </is>
      </c>
      <c r="K500" s="149" t="inlineStr">
        <is>
          <t>FinTech, Mobile</t>
        </is>
      </c>
      <c r="L500" s="150" t="inlineStr">
        <is>
          <t>Venture Capital-Backed</t>
        </is>
      </c>
      <c r="M500" s="151" t="n">
        <v>30.05</v>
      </c>
      <c r="N500" s="152" t="inlineStr">
        <is>
          <t>Generating Revenue</t>
        </is>
      </c>
      <c r="O500" s="153" t="inlineStr">
        <is>
          <t>Privately Held (backing)</t>
        </is>
      </c>
      <c r="P500" s="154" t="inlineStr">
        <is>
          <t>Venture Capital</t>
        </is>
      </c>
      <c r="Q500" s="155" t="inlineStr">
        <is>
          <t>www.wefox.ch</t>
        </is>
      </c>
      <c r="R500" s="156" t="n">
        <v>100.0</v>
      </c>
      <c r="S500" s="157" t="inlineStr">
        <is>
          <t/>
        </is>
      </c>
      <c r="T500" s="158" t="inlineStr">
        <is>
          <t/>
        </is>
      </c>
      <c r="U500" s="159" t="n">
        <v>2014.0</v>
      </c>
      <c r="V500" s="160" t="inlineStr">
        <is>
          <t/>
        </is>
      </c>
      <c r="W500" s="161" t="inlineStr">
        <is>
          <t/>
        </is>
      </c>
      <c r="X500" s="162" t="inlineStr">
        <is>
          <t/>
        </is>
      </c>
      <c r="Y500" s="163" t="inlineStr">
        <is>
          <t/>
        </is>
      </c>
      <c r="Z500" s="164" t="inlineStr">
        <is>
          <t/>
        </is>
      </c>
      <c r="AA500" s="165" t="inlineStr">
        <is>
          <t/>
        </is>
      </c>
      <c r="AB500" s="166" t="inlineStr">
        <is>
          <t/>
        </is>
      </c>
      <c r="AC500" s="167" t="inlineStr">
        <is>
          <t/>
        </is>
      </c>
      <c r="AD500" s="168" t="inlineStr">
        <is>
          <t/>
        </is>
      </c>
      <c r="AE500" s="169" t="inlineStr">
        <is>
          <t>125076-88P</t>
        </is>
      </c>
      <c r="AF500" s="170" t="inlineStr">
        <is>
          <t>Michael John</t>
        </is>
      </c>
      <c r="AG500" s="171" t="inlineStr">
        <is>
          <t>Chief Executive Officer Schweiz</t>
        </is>
      </c>
      <c r="AH500" s="172" t="inlineStr">
        <is>
          <t>michael.john@financefox.ch</t>
        </is>
      </c>
      <c r="AI500" s="173" t="inlineStr">
        <is>
          <t>+41 (0)44 350 1361</t>
        </is>
      </c>
      <c r="AJ500" s="174" t="inlineStr">
        <is>
          <t>Zürich, Switzerland</t>
        </is>
      </c>
      <c r="AK500" s="175" t="inlineStr">
        <is>
          <t>Stampfenbachstr. 138</t>
        </is>
      </c>
      <c r="AL500" s="176" t="inlineStr">
        <is>
          <t/>
        </is>
      </c>
      <c r="AM500" s="177" t="inlineStr">
        <is>
          <t>Zürich</t>
        </is>
      </c>
      <c r="AN500" s="178" t="inlineStr">
        <is>
          <t/>
        </is>
      </c>
      <c r="AO500" s="179" t="inlineStr">
        <is>
          <t>8006</t>
        </is>
      </c>
      <c r="AP500" s="180" t="inlineStr">
        <is>
          <t>Switzerland</t>
        </is>
      </c>
      <c r="AQ500" s="181" t="inlineStr">
        <is>
          <t>+41 (0)44 350 1361</t>
        </is>
      </c>
      <c r="AR500" s="182" t="inlineStr">
        <is>
          <t/>
        </is>
      </c>
      <c r="AS500" s="183" t="inlineStr">
        <is>
          <t>info@financefox.ch</t>
        </is>
      </c>
      <c r="AT500" s="184" t="inlineStr">
        <is>
          <t>Europe</t>
        </is>
      </c>
      <c r="AU500" s="185" t="inlineStr">
        <is>
          <t>Western Europe</t>
        </is>
      </c>
      <c r="AV500" s="186" t="inlineStr">
        <is>
          <t>The company raised $28 million of Series A venture funding in a deal co-led by Target Global and Horizons Ventures on September 6, 2016. Idinvest Partners, Salesforce Ventures, Speedinvest, Seedcamp, AngelList, Victory Park Capital and Samuel Skoblo also participated in the round. This funding will be used to further expand its product, marketing, and sales activities in Switzerland and Germany, as well as enter new markets including Austria in Q4 of 2016. Previously, the company raised $5.5 million of venture funding led by Salesforce Ventures on January 12, 2016. AngelList, Idinvest, Seedcamp and Speedinvest also participated.</t>
        </is>
      </c>
      <c r="AW500" s="187" t="inlineStr">
        <is>
          <t>AngelList, Horizons Ventures, IdInvest Partners, Salesforce Ventures, Samuel Skoblo, Seedcamp, Speedinvest, Target Global, Victory Park Capital</t>
        </is>
      </c>
      <c r="AX500" s="188" t="n">
        <v>9.0</v>
      </c>
      <c r="AY500" s="189" t="inlineStr">
        <is>
          <t/>
        </is>
      </c>
      <c r="AZ500" s="190" t="inlineStr">
        <is>
          <t/>
        </is>
      </c>
      <c r="BA500" s="191" t="inlineStr">
        <is>
          <t/>
        </is>
      </c>
      <c r="BB500" s="192" t="inlineStr">
        <is>
          <t>AngelList (www.angel.co), Horizons Ventures (www.horizonsventures.com), IdInvest Partners (www.idinvest.com), Seedcamp (www.seedcamp.com), Speedinvest (www.speedinvest.com), Target Global (www.targetglobal.vc), Victory Park Capital (www.victoryparkcapital.com)</t>
        </is>
      </c>
      <c r="BC500" s="193" t="inlineStr">
        <is>
          <t/>
        </is>
      </c>
      <c r="BD500" s="194" t="inlineStr">
        <is>
          <t/>
        </is>
      </c>
      <c r="BE500" s="195" t="inlineStr">
        <is>
          <t/>
        </is>
      </c>
      <c r="BF500" s="196" t="inlineStr">
        <is>
          <t>Walder Wyss &amp; Partners (Legal Advisor)</t>
        </is>
      </c>
      <c r="BG500" s="197" t="n">
        <v>41962.0</v>
      </c>
      <c r="BH500" s="198" t="inlineStr">
        <is>
          <t/>
        </is>
      </c>
      <c r="BI500" s="199" t="inlineStr">
        <is>
          <t/>
        </is>
      </c>
      <c r="BJ500" s="200" t="inlineStr">
        <is>
          <t/>
        </is>
      </c>
      <c r="BK500" s="201" t="inlineStr">
        <is>
          <t/>
        </is>
      </c>
      <c r="BL500" s="202" t="inlineStr">
        <is>
          <t>Seed Round</t>
        </is>
      </c>
      <c r="BM500" s="203" t="inlineStr">
        <is>
          <t>Seed</t>
        </is>
      </c>
      <c r="BN500" s="204" t="inlineStr">
        <is>
          <t/>
        </is>
      </c>
      <c r="BO500" s="205" t="inlineStr">
        <is>
          <t>Other</t>
        </is>
      </c>
      <c r="BP500" s="206" t="inlineStr">
        <is>
          <t/>
        </is>
      </c>
      <c r="BQ500" s="207" t="inlineStr">
        <is>
          <t/>
        </is>
      </c>
      <c r="BR500" s="208" t="inlineStr">
        <is>
          <t/>
        </is>
      </c>
      <c r="BS500" s="209" t="inlineStr">
        <is>
          <t>Completed</t>
        </is>
      </c>
      <c r="BT500" s="210" t="n">
        <v>42619.0</v>
      </c>
      <c r="BU500" s="211" t="n">
        <v>24.99</v>
      </c>
      <c r="BV500" s="212" t="inlineStr">
        <is>
          <t>Actual</t>
        </is>
      </c>
      <c r="BW500" s="213" t="inlineStr">
        <is>
          <t/>
        </is>
      </c>
      <c r="BX500" s="214" t="inlineStr">
        <is>
          <t/>
        </is>
      </c>
      <c r="BY500" s="215" t="inlineStr">
        <is>
          <t>Early Stage VC</t>
        </is>
      </c>
      <c r="BZ500" s="216" t="inlineStr">
        <is>
          <t>Series A</t>
        </is>
      </c>
      <c r="CA500" s="217" t="inlineStr">
        <is>
          <t/>
        </is>
      </c>
      <c r="CB500" s="218" t="inlineStr">
        <is>
          <t>Venture Capital</t>
        </is>
      </c>
      <c r="CC500" s="219" t="inlineStr">
        <is>
          <t/>
        </is>
      </c>
      <c r="CD500" s="220" t="inlineStr">
        <is>
          <t/>
        </is>
      </c>
      <c r="CE500" s="221" t="inlineStr">
        <is>
          <t/>
        </is>
      </c>
      <c r="CF500" s="222" t="inlineStr">
        <is>
          <t>Completed</t>
        </is>
      </c>
      <c r="CG500" s="223" t="inlineStr">
        <is>
          <t>-10,17%</t>
        </is>
      </c>
      <c r="CH500" s="224" t="inlineStr">
        <is>
          <t>1</t>
        </is>
      </c>
      <c r="CI500" s="225" t="inlineStr">
        <is>
          <t>0,00%</t>
        </is>
      </c>
      <c r="CJ500" s="226" t="inlineStr">
        <is>
          <t>0,00%</t>
        </is>
      </c>
      <c r="CK500" s="227" t="inlineStr">
        <is>
          <t>-10,17%</t>
        </is>
      </c>
      <c r="CL500" s="228" t="inlineStr">
        <is>
          <t>1</t>
        </is>
      </c>
      <c r="CM500" s="229" t="inlineStr">
        <is>
          <t/>
        </is>
      </c>
      <c r="CN500" s="230" t="inlineStr">
        <is>
          <t/>
        </is>
      </c>
      <c r="CO500" s="231" t="inlineStr">
        <is>
          <t>-10,17%</t>
        </is>
      </c>
      <c r="CP500" s="232" t="inlineStr">
        <is>
          <t>2</t>
        </is>
      </c>
      <c r="CQ500" s="233" t="inlineStr">
        <is>
          <t/>
        </is>
      </c>
      <c r="CR500" s="234" t="inlineStr">
        <is>
          <t/>
        </is>
      </c>
      <c r="CS500" s="235" t="inlineStr">
        <is>
          <t/>
        </is>
      </c>
      <c r="CT500" s="236" t="inlineStr">
        <is>
          <t/>
        </is>
      </c>
      <c r="CU500" s="237" t="inlineStr">
        <is>
          <t/>
        </is>
      </c>
      <c r="CV500" s="238" t="inlineStr">
        <is>
          <t/>
        </is>
      </c>
      <c r="CW500" s="239" t="inlineStr">
        <is>
          <t>1,62x</t>
        </is>
      </c>
      <c r="CX500" s="240" t="inlineStr">
        <is>
          <t>60</t>
        </is>
      </c>
      <c r="CY500" s="241" t="inlineStr">
        <is>
          <t>0,00x</t>
        </is>
      </c>
      <c r="CZ500" s="242" t="inlineStr">
        <is>
          <t>0,00%</t>
        </is>
      </c>
      <c r="DA500" s="243" t="inlineStr">
        <is>
          <t>1,62x</t>
        </is>
      </c>
      <c r="DB500" s="244" t="inlineStr">
        <is>
          <t>62</t>
        </is>
      </c>
      <c r="DC500" s="245" t="inlineStr">
        <is>
          <t/>
        </is>
      </c>
      <c r="DD500" s="246" t="inlineStr">
        <is>
          <t/>
        </is>
      </c>
      <c r="DE500" s="247" t="inlineStr">
        <is>
          <t>1,62x</t>
        </is>
      </c>
      <c r="DF500" s="248" t="inlineStr">
        <is>
          <t>60</t>
        </is>
      </c>
      <c r="DG500" s="249" t="inlineStr">
        <is>
          <t/>
        </is>
      </c>
      <c r="DH500" s="250" t="inlineStr">
        <is>
          <t/>
        </is>
      </c>
      <c r="DI500" s="251" t="inlineStr">
        <is>
          <t/>
        </is>
      </c>
      <c r="DJ500" s="252" t="inlineStr">
        <is>
          <t/>
        </is>
      </c>
      <c r="DK500" s="253" t="inlineStr">
        <is>
          <t/>
        </is>
      </c>
      <c r="DL500" s="254" t="inlineStr">
        <is>
          <t/>
        </is>
      </c>
      <c r="DM500" s="255" t="inlineStr">
        <is>
          <t>992</t>
        </is>
      </c>
      <c r="DN500" s="256" t="inlineStr">
        <is>
          <t>15</t>
        </is>
      </c>
      <c r="DO500" s="257" t="inlineStr">
        <is>
          <t>1,54%</t>
        </is>
      </c>
      <c r="DP500" s="258" t="inlineStr">
        <is>
          <t/>
        </is>
      </c>
      <c r="DQ500" s="259" t="inlineStr">
        <is>
          <t/>
        </is>
      </c>
      <c r="DR500" s="260" t="inlineStr">
        <is>
          <t/>
        </is>
      </c>
      <c r="DS500" s="261" t="inlineStr">
        <is>
          <t/>
        </is>
      </c>
      <c r="DT500" s="262" t="inlineStr">
        <is>
          <t/>
        </is>
      </c>
      <c r="DU500" s="263" t="inlineStr">
        <is>
          <t/>
        </is>
      </c>
      <c r="DV500" s="264" t="inlineStr">
        <is>
          <t/>
        </is>
      </c>
      <c r="DW500" s="265" t="inlineStr">
        <is>
          <t/>
        </is>
      </c>
      <c r="DX500" s="266" t="inlineStr">
        <is>
          <t/>
        </is>
      </c>
      <c r="DY500" s="267" t="inlineStr">
        <is>
          <t>PitchBook Research</t>
        </is>
      </c>
      <c r="DZ500" s="786">
        <f>HYPERLINK("https://my.pitchbook.com?c=151291-54", "View company online")</f>
      </c>
    </row>
    <row r="501">
      <c r="A501" s="9" t="inlineStr">
        <is>
          <t>60207-13</t>
        </is>
      </c>
      <c r="B501" s="10" t="inlineStr">
        <is>
          <t>What3Words</t>
        </is>
      </c>
      <c r="C501" s="11" t="inlineStr">
        <is>
          <t/>
        </is>
      </c>
      <c r="D501" s="12" t="inlineStr">
        <is>
          <t/>
        </is>
      </c>
      <c r="E501" s="13" t="inlineStr">
        <is>
          <t>60207-13</t>
        </is>
      </c>
      <c r="F501" s="14" t="inlineStr">
        <is>
          <t>Provider of a web and a mobile based addressing platform designed to find and communicate a location.The company offers a 3mx3m square that locates address code enabling users to discover, search and share a 3 word address and to get directions.</t>
        </is>
      </c>
      <c r="G501" s="15" t="inlineStr">
        <is>
          <t>Information Technology</t>
        </is>
      </c>
      <c r="H501" s="16" t="inlineStr">
        <is>
          <t>Software</t>
        </is>
      </c>
      <c r="I501" s="17" t="inlineStr">
        <is>
          <t>Application Software</t>
        </is>
      </c>
      <c r="J501" s="18" t="inlineStr">
        <is>
          <t>Application Software*</t>
        </is>
      </c>
      <c r="K501" s="19" t="inlineStr">
        <is>
          <t>Mobile</t>
        </is>
      </c>
      <c r="L501" s="20" t="inlineStr">
        <is>
          <t>Venture Capital-Backed</t>
        </is>
      </c>
      <c r="M501" s="21" t="n">
        <v>12.71</v>
      </c>
      <c r="N501" s="22" t="inlineStr">
        <is>
          <t>Generating Revenue</t>
        </is>
      </c>
      <c r="O501" s="23" t="inlineStr">
        <is>
          <t>Privately Held (backing)</t>
        </is>
      </c>
      <c r="P501" s="24" t="inlineStr">
        <is>
          <t>Venture Capital</t>
        </is>
      </c>
      <c r="Q501" s="25" t="inlineStr">
        <is>
          <t>www.what3words.com</t>
        </is>
      </c>
      <c r="R501" s="26" t="n">
        <v>43.0</v>
      </c>
      <c r="S501" s="27" t="inlineStr">
        <is>
          <t/>
        </is>
      </c>
      <c r="T501" s="28" t="inlineStr">
        <is>
          <t/>
        </is>
      </c>
      <c r="U501" s="29" t="n">
        <v>2013.0</v>
      </c>
      <c r="V501" s="30" t="inlineStr">
        <is>
          <t/>
        </is>
      </c>
      <c r="W501" s="31" t="inlineStr">
        <is>
          <t/>
        </is>
      </c>
      <c r="X501" s="32" t="inlineStr">
        <is>
          <t/>
        </is>
      </c>
      <c r="Y501" s="33" t="inlineStr">
        <is>
          <t/>
        </is>
      </c>
      <c r="Z501" s="34" t="inlineStr">
        <is>
          <t/>
        </is>
      </c>
      <c r="AA501" s="35" t="inlineStr">
        <is>
          <t/>
        </is>
      </c>
      <c r="AB501" s="36" t="inlineStr">
        <is>
          <t/>
        </is>
      </c>
      <c r="AC501" s="37" t="inlineStr">
        <is>
          <t/>
        </is>
      </c>
      <c r="AD501" s="38" t="inlineStr">
        <is>
          <t/>
        </is>
      </c>
      <c r="AE501" s="39" t="inlineStr">
        <is>
          <t>98028-37P</t>
        </is>
      </c>
      <c r="AF501" s="40" t="inlineStr">
        <is>
          <t>Christopher Sheldrick</t>
        </is>
      </c>
      <c r="AG501" s="41" t="inlineStr">
        <is>
          <t>Co-Founder, Chief Executive Officer &amp; Board Member</t>
        </is>
      </c>
      <c r="AH501" s="42" t="inlineStr">
        <is>
          <t>chris@what3words.com</t>
        </is>
      </c>
      <c r="AI501" s="43" t="inlineStr">
        <is>
          <t/>
        </is>
      </c>
      <c r="AJ501" s="44" t="inlineStr">
        <is>
          <t>London, United Kingdom</t>
        </is>
      </c>
      <c r="AK501" s="45" t="inlineStr">
        <is>
          <t>Studio 213 Westbourne Studios</t>
        </is>
      </c>
      <c r="AL501" s="46" t="inlineStr">
        <is>
          <t>242 Acklam Road</t>
        </is>
      </c>
      <c r="AM501" s="47" t="inlineStr">
        <is>
          <t>London</t>
        </is>
      </c>
      <c r="AN501" s="48" t="inlineStr">
        <is>
          <t>England</t>
        </is>
      </c>
      <c r="AO501" s="49" t="inlineStr">
        <is>
          <t>W10 5JJ</t>
        </is>
      </c>
      <c r="AP501" s="50" t="inlineStr">
        <is>
          <t>United Kingdom</t>
        </is>
      </c>
      <c r="AQ501" s="51" t="inlineStr">
        <is>
          <t/>
        </is>
      </c>
      <c r="AR501" s="52" t="inlineStr">
        <is>
          <t/>
        </is>
      </c>
      <c r="AS501" s="53" t="inlineStr">
        <is>
          <t/>
        </is>
      </c>
      <c r="AT501" s="54" t="inlineStr">
        <is>
          <t>Europe</t>
        </is>
      </c>
      <c r="AU501" s="55" t="inlineStr">
        <is>
          <t>Western Europe</t>
        </is>
      </c>
      <c r="AV501" s="56" t="inlineStr">
        <is>
          <t>The company raised an undisclosed amount of venture funding from Deutsche Bahn Digital Ventures on April 13, 2017. The company intends to use the funds to enhance their voice recognition product, to enable cars to navigate directly to 3 word addresses in several major languages.</t>
        </is>
      </c>
      <c r="AW501" s="57" t="inlineStr">
        <is>
          <t>Aramex, Deutsche Bahn Digital Ventures, Dominic Perks, Edward Tinsley, Force Over Mass Capital, Future Positive Capital, Guy Westlake, Hambro Perks, Henry Wigan, Horizons Ventures, Innova Kapital, Intel Capital, Ivan Mazour, JamJar Investments, Mike Lebus, Mustard Seed Impact, Richard Fearn, Startup Autobahn, Tom Allason</t>
        </is>
      </c>
      <c r="AX501" s="58" t="n">
        <v>19.0</v>
      </c>
      <c r="AY501" s="59" t="inlineStr">
        <is>
          <t/>
        </is>
      </c>
      <c r="AZ501" s="60" t="inlineStr">
        <is>
          <t/>
        </is>
      </c>
      <c r="BA501" s="61" t="inlineStr">
        <is>
          <t/>
        </is>
      </c>
      <c r="BB501" s="62" t="inlineStr">
        <is>
          <t>Aramex (www.aramex.com), Force Over Mass Capital (www.fomcap.com), Future Positive Capital (www.futurepositivecapital.com), Hambro Perks (www.hambroperks.com), Horizons Ventures (www.horizonsventures.com), Innova Kapital (www.innovakapital.com), Intel Capital (www.intelcapital.com), Ivan Mazour (www.ivanmazour.com), JamJar Investments (www.jamjarinvestments.com), Mustard Seed Impact (www.mustardseed.vc), Startup Autobahn (www.startup-autobahn.com)</t>
        </is>
      </c>
      <c r="BC501" s="63" t="inlineStr">
        <is>
          <t/>
        </is>
      </c>
      <c r="BD501" s="64" t="inlineStr">
        <is>
          <t/>
        </is>
      </c>
      <c r="BE501" s="65" t="inlineStr">
        <is>
          <t>Olswang (Legal Advisor), UHY Hacker Young (Auditor)</t>
        </is>
      </c>
      <c r="BF501" s="66" t="inlineStr">
        <is>
          <t>Olswang (Legal Advisor)</t>
        </is>
      </c>
      <c r="BG501" s="67" t="n">
        <v>41584.0</v>
      </c>
      <c r="BH501" s="68" t="n">
        <v>0.37</v>
      </c>
      <c r="BI501" s="69" t="inlineStr">
        <is>
          <t>Actual</t>
        </is>
      </c>
      <c r="BJ501" s="70" t="inlineStr">
        <is>
          <t/>
        </is>
      </c>
      <c r="BK501" s="71" t="inlineStr">
        <is>
          <t/>
        </is>
      </c>
      <c r="BL501" s="72" t="inlineStr">
        <is>
          <t>Angel (individual)</t>
        </is>
      </c>
      <c r="BM501" s="73" t="inlineStr">
        <is>
          <t>Angel</t>
        </is>
      </c>
      <c r="BN501" s="74" t="inlineStr">
        <is>
          <t/>
        </is>
      </c>
      <c r="BO501" s="75" t="inlineStr">
        <is>
          <t>Individual</t>
        </is>
      </c>
      <c r="BP501" s="76" t="inlineStr">
        <is>
          <t/>
        </is>
      </c>
      <c r="BQ501" s="77" t="inlineStr">
        <is>
          <t/>
        </is>
      </c>
      <c r="BR501" s="78" t="inlineStr">
        <is>
          <t/>
        </is>
      </c>
      <c r="BS501" s="79" t="inlineStr">
        <is>
          <t>Completed</t>
        </is>
      </c>
      <c r="BT501" s="80" t="n">
        <v>42838.0</v>
      </c>
      <c r="BU501" s="81" t="inlineStr">
        <is>
          <t/>
        </is>
      </c>
      <c r="BV501" s="82" t="inlineStr">
        <is>
          <t/>
        </is>
      </c>
      <c r="BW501" s="83" t="inlineStr">
        <is>
          <t/>
        </is>
      </c>
      <c r="BX501" s="84" t="inlineStr">
        <is>
          <t/>
        </is>
      </c>
      <c r="BY501" s="85" t="inlineStr">
        <is>
          <t>Early Stage VC</t>
        </is>
      </c>
      <c r="BZ501" s="86" t="inlineStr">
        <is>
          <t/>
        </is>
      </c>
      <c r="CA501" s="87" t="inlineStr">
        <is>
          <t/>
        </is>
      </c>
      <c r="CB501" s="88" t="inlineStr">
        <is>
          <t>Venture Capital</t>
        </is>
      </c>
      <c r="CC501" s="89" t="inlineStr">
        <is>
          <t/>
        </is>
      </c>
      <c r="CD501" s="90" t="inlineStr">
        <is>
          <t/>
        </is>
      </c>
      <c r="CE501" s="91" t="inlineStr">
        <is>
          <t/>
        </is>
      </c>
      <c r="CF501" s="92" t="inlineStr">
        <is>
          <t>Completed</t>
        </is>
      </c>
      <c r="CG501" s="93" t="inlineStr">
        <is>
          <t>1,82%</t>
        </is>
      </c>
      <c r="CH501" s="94" t="inlineStr">
        <is>
          <t>93</t>
        </is>
      </c>
      <c r="CI501" s="95" t="inlineStr">
        <is>
          <t>0,04%</t>
        </is>
      </c>
      <c r="CJ501" s="96" t="inlineStr">
        <is>
          <t>2,21%</t>
        </is>
      </c>
      <c r="CK501" s="97" t="inlineStr">
        <is>
          <t>1,13%</t>
        </is>
      </c>
      <c r="CL501" s="98" t="inlineStr">
        <is>
          <t>87</t>
        </is>
      </c>
      <c r="CM501" s="99" t="inlineStr">
        <is>
          <t>3,07%</t>
        </is>
      </c>
      <c r="CN501" s="100" t="inlineStr">
        <is>
          <t>99</t>
        </is>
      </c>
      <c r="CO501" s="101" t="inlineStr">
        <is>
          <t>0,05%</t>
        </is>
      </c>
      <c r="CP501" s="102" t="inlineStr">
        <is>
          <t>78</t>
        </is>
      </c>
      <c r="CQ501" s="103" t="inlineStr">
        <is>
          <t>2,21%</t>
        </is>
      </c>
      <c r="CR501" s="104" t="inlineStr">
        <is>
          <t>91</t>
        </is>
      </c>
      <c r="CS501" s="105" t="inlineStr">
        <is>
          <t>3,94%</t>
        </is>
      </c>
      <c r="CT501" s="106" t="inlineStr">
        <is>
          <t>99</t>
        </is>
      </c>
      <c r="CU501" s="107" t="inlineStr">
        <is>
          <t>2,21%</t>
        </is>
      </c>
      <c r="CV501" s="108" t="inlineStr">
        <is>
          <t>99</t>
        </is>
      </c>
      <c r="CW501" s="109" t="inlineStr">
        <is>
          <t>28,80x</t>
        </is>
      </c>
      <c r="CX501" s="110" t="inlineStr">
        <is>
          <t>94</t>
        </is>
      </c>
      <c r="CY501" s="111" t="inlineStr">
        <is>
          <t>0,77x</t>
        </is>
      </c>
      <c r="CZ501" s="112" t="inlineStr">
        <is>
          <t>2,73%</t>
        </is>
      </c>
      <c r="DA501" s="113" t="inlineStr">
        <is>
          <t>37,70x</t>
        </is>
      </c>
      <c r="DB501" s="114" t="inlineStr">
        <is>
          <t>95</t>
        </is>
      </c>
      <c r="DC501" s="115" t="inlineStr">
        <is>
          <t>47,22x</t>
        </is>
      </c>
      <c r="DD501" s="116" t="inlineStr">
        <is>
          <t>94</t>
        </is>
      </c>
      <c r="DE501" s="117" t="inlineStr">
        <is>
          <t>68,31x</t>
        </is>
      </c>
      <c r="DF501" s="118" t="inlineStr">
        <is>
          <t>95</t>
        </is>
      </c>
      <c r="DG501" s="119" t="inlineStr">
        <is>
          <t>7,08x</t>
        </is>
      </c>
      <c r="DH501" s="120" t="inlineStr">
        <is>
          <t>82</t>
        </is>
      </c>
      <c r="DI501" s="121" t="inlineStr">
        <is>
          <t>45,63x</t>
        </is>
      </c>
      <c r="DJ501" s="122" t="inlineStr">
        <is>
          <t>92</t>
        </is>
      </c>
      <c r="DK501" s="123" t="inlineStr">
        <is>
          <t>48,81x</t>
        </is>
      </c>
      <c r="DL501" s="124" t="inlineStr">
        <is>
          <t>96</t>
        </is>
      </c>
      <c r="DM501" s="125" t="inlineStr">
        <is>
          <t>41.125</t>
        </is>
      </c>
      <c r="DN501" s="126" t="inlineStr">
        <is>
          <t>2.658</t>
        </is>
      </c>
      <c r="DO501" s="127" t="inlineStr">
        <is>
          <t>6,91%</t>
        </is>
      </c>
      <c r="DP501" s="128" t="inlineStr">
        <is>
          <t>36.000</t>
        </is>
      </c>
      <c r="DQ501" s="129" t="inlineStr">
        <is>
          <t>1.117</t>
        </is>
      </c>
      <c r="DR501" s="130" t="inlineStr">
        <is>
          <t>3,20%</t>
        </is>
      </c>
      <c r="DS501" s="131" t="inlineStr">
        <is>
          <t>254</t>
        </is>
      </c>
      <c r="DT501" s="132" t="inlineStr">
        <is>
          <t>2</t>
        </is>
      </c>
      <c r="DU501" s="133" t="inlineStr">
        <is>
          <t>0,79%</t>
        </is>
      </c>
      <c r="DV501" s="134" t="inlineStr">
        <is>
          <t>16.595</t>
        </is>
      </c>
      <c r="DW501" s="135" t="inlineStr">
        <is>
          <t>420</t>
        </is>
      </c>
      <c r="DX501" s="136" t="inlineStr">
        <is>
          <t>2,60%</t>
        </is>
      </c>
      <c r="DY501" s="137" t="inlineStr">
        <is>
          <t>PitchBook Research</t>
        </is>
      </c>
      <c r="DZ501" s="785">
        <f>HYPERLINK("https://my.pitchbook.com?c=60207-13", "View company online")</f>
      </c>
    </row>
    <row r="502">
      <c r="A502" s="139" t="inlineStr">
        <is>
          <t>55804-15</t>
        </is>
      </c>
      <c r="B502" s="140" t="inlineStr">
        <is>
          <t>Wikifolio</t>
        </is>
      </c>
      <c r="C502" s="141" t="inlineStr">
        <is>
          <t/>
        </is>
      </c>
      <c r="D502" s="142" t="inlineStr">
        <is>
          <t/>
        </is>
      </c>
      <c r="E502" s="143" t="inlineStr">
        <is>
          <t>55804-15</t>
        </is>
      </c>
      <c r="F502" s="144" t="inlineStr">
        <is>
          <t>Provider of a social trading platform designed to democratize financial investments. The company's social trading platform offers portfolios that constitute the basis for an exchange traded financial product with an individual security number (ISIN) listed at the Stuttgart Stock Exchange, enabling both investment professionals and private individuals to conduct their investment strategies on virtual portfolios.</t>
        </is>
      </c>
      <c r="G502" s="145" t="inlineStr">
        <is>
          <t>Information Technology</t>
        </is>
      </c>
      <c r="H502" s="146" t="inlineStr">
        <is>
          <t>Software</t>
        </is>
      </c>
      <c r="I502" s="147" t="inlineStr">
        <is>
          <t>Financial Software</t>
        </is>
      </c>
      <c r="J502" s="148" t="inlineStr">
        <is>
          <t>Financial Software*; Other Financial Services</t>
        </is>
      </c>
      <c r="K502" s="149" t="inlineStr">
        <is>
          <t>FinTech</t>
        </is>
      </c>
      <c r="L502" s="150" t="inlineStr">
        <is>
          <t>Venture Capital-Backed</t>
        </is>
      </c>
      <c r="M502" s="151" t="n">
        <v>6.0</v>
      </c>
      <c r="N502" s="152" t="inlineStr">
        <is>
          <t>Profitable</t>
        </is>
      </c>
      <c r="O502" s="153" t="inlineStr">
        <is>
          <t>Privately Held (backing)</t>
        </is>
      </c>
      <c r="P502" s="154" t="inlineStr">
        <is>
          <t>Venture Capital</t>
        </is>
      </c>
      <c r="Q502" s="155" t="inlineStr">
        <is>
          <t>www.wikifolio.com</t>
        </is>
      </c>
      <c r="R502" s="156" t="n">
        <v>25.0</v>
      </c>
      <c r="S502" s="157" t="inlineStr">
        <is>
          <t/>
        </is>
      </c>
      <c r="T502" s="158" t="inlineStr">
        <is>
          <t/>
        </is>
      </c>
      <c r="U502" s="159" t="n">
        <v>2012.0</v>
      </c>
      <c r="V502" s="160" t="inlineStr">
        <is>
          <t/>
        </is>
      </c>
      <c r="W502" s="161" t="inlineStr">
        <is>
          <t/>
        </is>
      </c>
      <c r="X502" s="162" t="inlineStr">
        <is>
          <t/>
        </is>
      </c>
      <c r="Y502" s="163" t="inlineStr">
        <is>
          <t/>
        </is>
      </c>
      <c r="Z502" s="164" t="inlineStr">
        <is>
          <t/>
        </is>
      </c>
      <c r="AA502" s="165" t="inlineStr">
        <is>
          <t/>
        </is>
      </c>
      <c r="AB502" s="166" t="inlineStr">
        <is>
          <t/>
        </is>
      </c>
      <c r="AC502" s="167" t="inlineStr">
        <is>
          <t/>
        </is>
      </c>
      <c r="AD502" s="168" t="inlineStr">
        <is>
          <t/>
        </is>
      </c>
      <c r="AE502" s="169" t="inlineStr">
        <is>
          <t>48826-45P</t>
        </is>
      </c>
      <c r="AF502" s="170" t="inlineStr">
        <is>
          <t>Andreas Kern</t>
        </is>
      </c>
      <c r="AG502" s="171" t="inlineStr">
        <is>
          <t>Founder &amp; Chief Executive Officer</t>
        </is>
      </c>
      <c r="AH502" s="172" t="inlineStr">
        <is>
          <t>andreas.kern@wikifolio.com</t>
        </is>
      </c>
      <c r="AI502" s="173" t="inlineStr">
        <is>
          <t>+43 (0)7 203 0381 270</t>
        </is>
      </c>
      <c r="AJ502" s="174" t="inlineStr">
        <is>
          <t>Vienna, Austria</t>
        </is>
      </c>
      <c r="AK502" s="175" t="inlineStr">
        <is>
          <t>Berggasse 31</t>
        </is>
      </c>
      <c r="AL502" s="176" t="inlineStr">
        <is>
          <t/>
        </is>
      </c>
      <c r="AM502" s="177" t="inlineStr">
        <is>
          <t>Vienna</t>
        </is>
      </c>
      <c r="AN502" s="178" t="inlineStr">
        <is>
          <t/>
        </is>
      </c>
      <c r="AO502" s="179" t="inlineStr">
        <is>
          <t>1090</t>
        </is>
      </c>
      <c r="AP502" s="180" t="inlineStr">
        <is>
          <t>Austria</t>
        </is>
      </c>
      <c r="AQ502" s="181" t="inlineStr">
        <is>
          <t>+43 (0)7 203 0381 270</t>
        </is>
      </c>
      <c r="AR502" s="182" t="inlineStr">
        <is>
          <t/>
        </is>
      </c>
      <c r="AS502" s="183" t="inlineStr">
        <is>
          <t/>
        </is>
      </c>
      <c r="AT502" s="184" t="inlineStr">
        <is>
          <t>Europe</t>
        </is>
      </c>
      <c r="AU502" s="185" t="inlineStr">
        <is>
          <t>Western Europe</t>
        </is>
      </c>
      <c r="AV502" s="186" t="inlineStr">
        <is>
          <t>The company raised an undisclosed amount of Series B venture funding in a deal led by New Alpha Asset Management in June 2017. Other undisclosed investors also participated. The company will use the funding to accelerate the international development of its online trading platform.</t>
        </is>
      </c>
      <c r="AW502" s="187" t="inlineStr">
        <is>
          <t>Christoph Prinz, Daniel Keiper-Knorr, Dieter von Holtzbrinck Ventures, i5invest, Individual Investor, Joerg Floeck, Lang &amp; Schwarz, Michael Altrichter, Michael Grabner Media, New Alpha Asset Management, Speedinvest, VHB ventures</t>
        </is>
      </c>
      <c r="AX502" s="188" t="n">
        <v>12.0</v>
      </c>
      <c r="AY502" s="189" t="inlineStr">
        <is>
          <t/>
        </is>
      </c>
      <c r="AZ502" s="190" t="inlineStr">
        <is>
          <t/>
        </is>
      </c>
      <c r="BA502" s="191" t="inlineStr">
        <is>
          <t/>
        </is>
      </c>
      <c r="BB502" s="192" t="inlineStr">
        <is>
          <t>Dieter von Holtzbrinck Ventures (www.dvhventures.de), i5invest (www.i5invest.com), Lang &amp; Schwarz (www.ls-d.de), Michael Grabner Media (www.michaelgrabner.com), New Alpha Asset Management (www.newalpha.net), Speedinvest (www.speedinvest.com), VHB ventures (www.vhbventures.de)</t>
        </is>
      </c>
      <c r="BC502" s="193" t="inlineStr">
        <is>
          <t/>
        </is>
      </c>
      <c r="BD502" s="194" t="inlineStr">
        <is>
          <t/>
        </is>
      </c>
      <c r="BE502" s="195" t="inlineStr">
        <is>
          <t/>
        </is>
      </c>
      <c r="BF502" s="196" t="inlineStr">
        <is>
          <t/>
        </is>
      </c>
      <c r="BG502" s="197" t="n">
        <v>41091.0</v>
      </c>
      <c r="BH502" s="198" t="inlineStr">
        <is>
          <t/>
        </is>
      </c>
      <c r="BI502" s="199" t="inlineStr">
        <is>
          <t/>
        </is>
      </c>
      <c r="BJ502" s="200" t="inlineStr">
        <is>
          <t/>
        </is>
      </c>
      <c r="BK502" s="201" t="inlineStr">
        <is>
          <t/>
        </is>
      </c>
      <c r="BL502" s="202" t="inlineStr">
        <is>
          <t>Early Stage VC</t>
        </is>
      </c>
      <c r="BM502" s="203" t="inlineStr">
        <is>
          <t/>
        </is>
      </c>
      <c r="BN502" s="204" t="inlineStr">
        <is>
          <t/>
        </is>
      </c>
      <c r="BO502" s="205" t="inlineStr">
        <is>
          <t>Venture Capital</t>
        </is>
      </c>
      <c r="BP502" s="206" t="inlineStr">
        <is>
          <t/>
        </is>
      </c>
      <c r="BQ502" s="207" t="inlineStr">
        <is>
          <t/>
        </is>
      </c>
      <c r="BR502" s="208" t="inlineStr">
        <is>
          <t/>
        </is>
      </c>
      <c r="BS502" s="209" t="inlineStr">
        <is>
          <t>Completed</t>
        </is>
      </c>
      <c r="BT502" s="210" t="n">
        <v>42887.0</v>
      </c>
      <c r="BU502" s="211" t="inlineStr">
        <is>
          <t/>
        </is>
      </c>
      <c r="BV502" s="212" t="inlineStr">
        <is>
          <t/>
        </is>
      </c>
      <c r="BW502" s="213" t="inlineStr">
        <is>
          <t/>
        </is>
      </c>
      <c r="BX502" s="214" t="inlineStr">
        <is>
          <t/>
        </is>
      </c>
      <c r="BY502" s="215" t="inlineStr">
        <is>
          <t>Early Stage VC</t>
        </is>
      </c>
      <c r="BZ502" s="216" t="inlineStr">
        <is>
          <t>Series B</t>
        </is>
      </c>
      <c r="CA502" s="217" t="inlineStr">
        <is>
          <t/>
        </is>
      </c>
      <c r="CB502" s="218" t="inlineStr">
        <is>
          <t>Venture Capital</t>
        </is>
      </c>
      <c r="CC502" s="219" t="inlineStr">
        <is>
          <t/>
        </is>
      </c>
      <c r="CD502" s="220" t="inlineStr">
        <is>
          <t/>
        </is>
      </c>
      <c r="CE502" s="221" t="inlineStr">
        <is>
          <t/>
        </is>
      </c>
      <c r="CF502" s="222" t="inlineStr">
        <is>
          <t>Completed</t>
        </is>
      </c>
      <c r="CG502" s="223" t="inlineStr">
        <is>
          <t>0,62%</t>
        </is>
      </c>
      <c r="CH502" s="224" t="inlineStr">
        <is>
          <t>85</t>
        </is>
      </c>
      <c r="CI502" s="225" t="inlineStr">
        <is>
          <t>0,02%</t>
        </is>
      </c>
      <c r="CJ502" s="226" t="inlineStr">
        <is>
          <t>3,70%</t>
        </is>
      </c>
      <c r="CK502" s="227" t="inlineStr">
        <is>
          <t>0,95%</t>
        </is>
      </c>
      <c r="CL502" s="228" t="inlineStr">
        <is>
          <t>86</t>
        </is>
      </c>
      <c r="CM502" s="229" t="inlineStr">
        <is>
          <t>0,29%</t>
        </is>
      </c>
      <c r="CN502" s="230" t="inlineStr">
        <is>
          <t>80</t>
        </is>
      </c>
      <c r="CO502" s="231" t="inlineStr">
        <is>
          <t>-0,98%</t>
        </is>
      </c>
      <c r="CP502" s="232" t="inlineStr">
        <is>
          <t>20</t>
        </is>
      </c>
      <c r="CQ502" s="233" t="inlineStr">
        <is>
          <t>2,87%</t>
        </is>
      </c>
      <c r="CR502" s="234" t="inlineStr">
        <is>
          <t>92</t>
        </is>
      </c>
      <c r="CS502" s="235" t="inlineStr">
        <is>
          <t>0,36%</t>
        </is>
      </c>
      <c r="CT502" s="236" t="inlineStr">
        <is>
          <t>82</t>
        </is>
      </c>
      <c r="CU502" s="237" t="inlineStr">
        <is>
          <t>0,22%</t>
        </is>
      </c>
      <c r="CV502" s="238" t="inlineStr">
        <is>
          <t>79</t>
        </is>
      </c>
      <c r="CW502" s="239" t="inlineStr">
        <is>
          <t>38,26x</t>
        </is>
      </c>
      <c r="CX502" s="240" t="inlineStr">
        <is>
          <t>95</t>
        </is>
      </c>
      <c r="CY502" s="241" t="inlineStr">
        <is>
          <t>0,35x</t>
        </is>
      </c>
      <c r="CZ502" s="242" t="inlineStr">
        <is>
          <t>0,93%</t>
        </is>
      </c>
      <c r="DA502" s="243" t="inlineStr">
        <is>
          <t>64,18x</t>
        </is>
      </c>
      <c r="DB502" s="244" t="inlineStr">
        <is>
          <t>97</t>
        </is>
      </c>
      <c r="DC502" s="245" t="inlineStr">
        <is>
          <t>12,34x</t>
        </is>
      </c>
      <c r="DD502" s="246" t="inlineStr">
        <is>
          <t>86</t>
        </is>
      </c>
      <c r="DE502" s="247" t="inlineStr">
        <is>
          <t>91,89x</t>
        </is>
      </c>
      <c r="DF502" s="248" t="inlineStr">
        <is>
          <t>96</t>
        </is>
      </c>
      <c r="DG502" s="249" t="inlineStr">
        <is>
          <t>36,47x</t>
        </is>
      </c>
      <c r="DH502" s="250" t="inlineStr">
        <is>
          <t>96</t>
        </is>
      </c>
      <c r="DI502" s="251" t="inlineStr">
        <is>
          <t>15,47x</t>
        </is>
      </c>
      <c r="DJ502" s="252" t="inlineStr">
        <is>
          <t>86</t>
        </is>
      </c>
      <c r="DK502" s="253" t="inlineStr">
        <is>
          <t>9,22x</t>
        </is>
      </c>
      <c r="DL502" s="254" t="inlineStr">
        <is>
          <t>85</t>
        </is>
      </c>
      <c r="DM502" s="255" t="inlineStr">
        <is>
          <t>56.262</t>
        </is>
      </c>
      <c r="DN502" s="256" t="inlineStr">
        <is>
          <t>753</t>
        </is>
      </c>
      <c r="DO502" s="257" t="inlineStr">
        <is>
          <t>1,36%</t>
        </is>
      </c>
      <c r="DP502" s="258" t="inlineStr">
        <is>
          <t>12.327</t>
        </is>
      </c>
      <c r="DQ502" s="259" t="inlineStr">
        <is>
          <t>54</t>
        </is>
      </c>
      <c r="DR502" s="260" t="inlineStr">
        <is>
          <t>0,44%</t>
        </is>
      </c>
      <c r="DS502" s="261" t="inlineStr">
        <is>
          <t>1.315</t>
        </is>
      </c>
      <c r="DT502" s="262" t="inlineStr">
        <is>
          <t>-1</t>
        </is>
      </c>
      <c r="DU502" s="263" t="inlineStr">
        <is>
          <t>-0,08%</t>
        </is>
      </c>
      <c r="DV502" s="264" t="inlineStr">
        <is>
          <t>3.161</t>
        </is>
      </c>
      <c r="DW502" s="265" t="inlineStr">
        <is>
          <t>3</t>
        </is>
      </c>
      <c r="DX502" s="266" t="inlineStr">
        <is>
          <t>0,09%</t>
        </is>
      </c>
      <c r="DY502" s="267" t="inlineStr">
        <is>
          <t>PitchBook Research</t>
        </is>
      </c>
      <c r="DZ502" s="786">
        <f>HYPERLINK("https://my.pitchbook.com?c=55804-15", "View company online")</f>
      </c>
    </row>
    <row r="503">
      <c r="A503" s="9" t="inlineStr">
        <is>
          <t>168517-81</t>
        </is>
      </c>
      <c r="B503" s="10" t="inlineStr">
        <is>
          <t>Wocozon</t>
        </is>
      </c>
      <c r="C503" s="11" t="inlineStr">
        <is>
          <t/>
        </is>
      </c>
      <c r="D503" s="12" t="inlineStr">
        <is>
          <t/>
        </is>
      </c>
      <c r="E503" s="13" t="inlineStr">
        <is>
          <t>168517-81</t>
        </is>
      </c>
      <c r="F503" s="14" t="inlineStr">
        <is>
          <t>Provider of solar power. The company installs solar panels on tenants' roofs and allows them to use the power generated for a fixed rental charge.</t>
        </is>
      </c>
      <c r="G503" s="15" t="inlineStr">
        <is>
          <t>Energy</t>
        </is>
      </c>
      <c r="H503" s="16" t="inlineStr">
        <is>
          <t>Energy Services</t>
        </is>
      </c>
      <c r="I503" s="17" t="inlineStr">
        <is>
          <t>Energy Traders and Brokers</t>
        </is>
      </c>
      <c r="J503" s="18" t="inlineStr">
        <is>
          <t>Energy Traders and Brokers*; Energy Infrastructure</t>
        </is>
      </c>
      <c r="K503" s="19" t="inlineStr">
        <is>
          <t>CleanTech, LOHAS &amp; Wellness</t>
        </is>
      </c>
      <c r="L503" s="20" t="inlineStr">
        <is>
          <t>Venture Capital-Backed</t>
        </is>
      </c>
      <c r="M503" s="21" t="n">
        <v>45.51</v>
      </c>
      <c r="N503" s="22" t="inlineStr">
        <is>
          <t>Startup</t>
        </is>
      </c>
      <c r="O503" s="23" t="inlineStr">
        <is>
          <t>Privately Held (backing)</t>
        </is>
      </c>
      <c r="P503" s="24" t="inlineStr">
        <is>
          <t>Venture Capital</t>
        </is>
      </c>
      <c r="Q503" s="25" t="inlineStr">
        <is>
          <t>www.wocozon.nl</t>
        </is>
      </c>
      <c r="R503" s="26" t="inlineStr">
        <is>
          <t/>
        </is>
      </c>
      <c r="S503" s="27" t="inlineStr">
        <is>
          <t/>
        </is>
      </c>
      <c r="T503" s="28" t="inlineStr">
        <is>
          <t/>
        </is>
      </c>
      <c r="U503" s="29" t="n">
        <v>2012.0</v>
      </c>
      <c r="V503" s="30" t="inlineStr">
        <is>
          <t/>
        </is>
      </c>
      <c r="W503" s="31" t="inlineStr">
        <is>
          <t/>
        </is>
      </c>
      <c r="X503" s="32" t="inlineStr">
        <is>
          <t/>
        </is>
      </c>
      <c r="Y503" s="33" t="inlineStr">
        <is>
          <t/>
        </is>
      </c>
      <c r="Z503" s="34" t="inlineStr">
        <is>
          <t/>
        </is>
      </c>
      <c r="AA503" s="35" t="inlineStr">
        <is>
          <t/>
        </is>
      </c>
      <c r="AB503" s="36" t="inlineStr">
        <is>
          <t/>
        </is>
      </c>
      <c r="AC503" s="37" t="inlineStr">
        <is>
          <t/>
        </is>
      </c>
      <c r="AD503" s="38" t="inlineStr">
        <is>
          <t/>
        </is>
      </c>
      <c r="AE503" s="39" t="inlineStr">
        <is>
          <t/>
        </is>
      </c>
      <c r="AF503" s="40" t="inlineStr">
        <is>
          <t/>
        </is>
      </c>
      <c r="AG503" s="41" t="inlineStr">
        <is>
          <t/>
        </is>
      </c>
      <c r="AH503" s="42" t="inlineStr">
        <is>
          <t/>
        </is>
      </c>
      <c r="AI503" s="43" t="inlineStr">
        <is>
          <t/>
        </is>
      </c>
      <c r="AJ503" s="44" t="inlineStr">
        <is>
          <t>Utrecht, Netherlands</t>
        </is>
      </c>
      <c r="AK503" s="45" t="inlineStr">
        <is>
          <t>Leidse Rijn 21, De Meern</t>
        </is>
      </c>
      <c r="AL503" s="46" t="inlineStr">
        <is>
          <t>Postbus 178</t>
        </is>
      </c>
      <c r="AM503" s="47" t="inlineStr">
        <is>
          <t>Utrecht</t>
        </is>
      </c>
      <c r="AN503" s="48" t="inlineStr">
        <is>
          <t/>
        </is>
      </c>
      <c r="AO503" s="49" t="inlineStr">
        <is>
          <t>3454 PZ</t>
        </is>
      </c>
      <c r="AP503" s="50" t="inlineStr">
        <is>
          <t>Netherlands</t>
        </is>
      </c>
      <c r="AQ503" s="51" t="inlineStr">
        <is>
          <t>+31 (0)85 744 1058</t>
        </is>
      </c>
      <c r="AR503" s="52" t="inlineStr">
        <is>
          <t/>
        </is>
      </c>
      <c r="AS503" s="53" t="inlineStr">
        <is>
          <t>info@wocozon.nl</t>
        </is>
      </c>
      <c r="AT503" s="54" t="inlineStr">
        <is>
          <t>Europe</t>
        </is>
      </c>
      <c r="AU503" s="55" t="inlineStr">
        <is>
          <t>Western Europe</t>
        </is>
      </c>
      <c r="AV503" s="56" t="inlineStr">
        <is>
          <t>The company raised EUR 512,750 of venture funding via One planetcrowd in September 2015. Start Green Capital and Brabantse Ontwikkelings Maatschappij also participated in this round. Previously, the company received EUR45 million of debt financing from BNG Bank in 2015.</t>
        </is>
      </c>
      <c r="AW503" s="57" t="inlineStr">
        <is>
          <t>Brabantse Ontwikkelings Maatschappij, Start Green Capital</t>
        </is>
      </c>
      <c r="AX503" s="58" t="n">
        <v>2.0</v>
      </c>
      <c r="AY503" s="59" t="inlineStr">
        <is>
          <t/>
        </is>
      </c>
      <c r="AZ503" s="60" t="inlineStr">
        <is>
          <t/>
        </is>
      </c>
      <c r="BA503" s="61" t="inlineStr">
        <is>
          <t/>
        </is>
      </c>
      <c r="BB503" s="62" t="inlineStr">
        <is>
          <t>Brabantse Ontwikkelings Maatschappij (www.bom.nl), Start Green Capital (www.startgreen.nl)</t>
        </is>
      </c>
      <c r="BC503" s="63" t="inlineStr">
        <is>
          <t/>
        </is>
      </c>
      <c r="BD503" s="64" t="inlineStr">
        <is>
          <t/>
        </is>
      </c>
      <c r="BE503" s="65" t="inlineStr">
        <is>
          <t/>
        </is>
      </c>
      <c r="BF503" s="66" t="inlineStr">
        <is>
          <t>ICP Corporate Finance (Advisor), BNG Bank, One planetcrowd (Lead Manager or Arranger)</t>
        </is>
      </c>
      <c r="BG503" s="67" t="n">
        <v>42005.0</v>
      </c>
      <c r="BH503" s="68" t="n">
        <v>45.0</v>
      </c>
      <c r="BI503" s="69" t="inlineStr">
        <is>
          <t>Actual</t>
        </is>
      </c>
      <c r="BJ503" s="70" t="inlineStr">
        <is>
          <t/>
        </is>
      </c>
      <c r="BK503" s="71" t="inlineStr">
        <is>
          <t/>
        </is>
      </c>
      <c r="BL503" s="72" t="inlineStr">
        <is>
          <t>Debt - General</t>
        </is>
      </c>
      <c r="BM503" s="73" t="inlineStr">
        <is>
          <t/>
        </is>
      </c>
      <c r="BN503" s="74" t="inlineStr">
        <is>
          <t/>
        </is>
      </c>
      <c r="BO503" s="75" t="inlineStr">
        <is>
          <t>Debt</t>
        </is>
      </c>
      <c r="BP503" s="76" t="inlineStr">
        <is>
          <t>Loan</t>
        </is>
      </c>
      <c r="BQ503" s="77" t="inlineStr">
        <is>
          <t/>
        </is>
      </c>
      <c r="BR503" s="78" t="inlineStr">
        <is>
          <t/>
        </is>
      </c>
      <c r="BS503" s="79" t="inlineStr">
        <is>
          <t>Completed</t>
        </is>
      </c>
      <c r="BT503" s="80" t="n">
        <v>42248.0</v>
      </c>
      <c r="BU503" s="81" t="n">
        <v>0.51</v>
      </c>
      <c r="BV503" s="82" t="inlineStr">
        <is>
          <t>Actual</t>
        </is>
      </c>
      <c r="BW503" s="83" t="inlineStr">
        <is>
          <t/>
        </is>
      </c>
      <c r="BX503" s="84" t="inlineStr">
        <is>
          <t/>
        </is>
      </c>
      <c r="BY503" s="85" t="inlineStr">
        <is>
          <t>Seed Round</t>
        </is>
      </c>
      <c r="BZ503" s="86" t="inlineStr">
        <is>
          <t>Seed</t>
        </is>
      </c>
      <c r="CA503" s="87" t="inlineStr">
        <is>
          <t/>
        </is>
      </c>
      <c r="CB503" s="88" t="inlineStr">
        <is>
          <t>Venture Capital</t>
        </is>
      </c>
      <c r="CC503" s="89" t="inlineStr">
        <is>
          <t/>
        </is>
      </c>
      <c r="CD503" s="90" t="inlineStr">
        <is>
          <t/>
        </is>
      </c>
      <c r="CE503" s="91" t="inlineStr">
        <is>
          <t/>
        </is>
      </c>
      <c r="CF503" s="92" t="inlineStr">
        <is>
          <t>Completed</t>
        </is>
      </c>
      <c r="CG503" s="93" t="inlineStr">
        <is>
          <t>0,00%</t>
        </is>
      </c>
      <c r="CH503" s="94" t="inlineStr">
        <is>
          <t>23</t>
        </is>
      </c>
      <c r="CI503" s="95" t="inlineStr">
        <is>
          <t>0,00%</t>
        </is>
      </c>
      <c r="CJ503" s="96" t="inlineStr">
        <is>
          <t>0,00%</t>
        </is>
      </c>
      <c r="CK503" s="97" t="inlineStr">
        <is>
          <t>0,00%</t>
        </is>
      </c>
      <c r="CL503" s="98" t="inlineStr">
        <is>
          <t>18</t>
        </is>
      </c>
      <c r="CM503" s="99" t="inlineStr">
        <is>
          <t>0,00%</t>
        </is>
      </c>
      <c r="CN503" s="100" t="inlineStr">
        <is>
          <t>19</t>
        </is>
      </c>
      <c r="CO503" s="101" t="inlineStr">
        <is>
          <t/>
        </is>
      </c>
      <c r="CP503" s="102" t="inlineStr">
        <is>
          <t/>
        </is>
      </c>
      <c r="CQ503" s="103" t="inlineStr">
        <is>
          <t>0,00%</t>
        </is>
      </c>
      <c r="CR503" s="104" t="inlineStr">
        <is>
          <t>13</t>
        </is>
      </c>
      <c r="CS503" s="105" t="inlineStr">
        <is>
          <t>0,00%</t>
        </is>
      </c>
      <c r="CT503" s="106" t="inlineStr">
        <is>
          <t>18</t>
        </is>
      </c>
      <c r="CU503" s="107" t="inlineStr">
        <is>
          <t>0,00%</t>
        </is>
      </c>
      <c r="CV503" s="108" t="inlineStr">
        <is>
          <t>20</t>
        </is>
      </c>
      <c r="CW503" s="109" t="inlineStr">
        <is>
          <t>0,25x</t>
        </is>
      </c>
      <c r="CX503" s="110" t="inlineStr">
        <is>
          <t>20</t>
        </is>
      </c>
      <c r="CY503" s="111" t="inlineStr">
        <is>
          <t>0,00x</t>
        </is>
      </c>
      <c r="CZ503" s="112" t="inlineStr">
        <is>
          <t>-1,89%</t>
        </is>
      </c>
      <c r="DA503" s="113" t="inlineStr">
        <is>
          <t>0,36x</t>
        </is>
      </c>
      <c r="DB503" s="114" t="inlineStr">
        <is>
          <t>29</t>
        </is>
      </c>
      <c r="DC503" s="115" t="inlineStr">
        <is>
          <t>0,14x</t>
        </is>
      </c>
      <c r="DD503" s="116" t="inlineStr">
        <is>
          <t>17</t>
        </is>
      </c>
      <c r="DE503" s="117" t="inlineStr">
        <is>
          <t/>
        </is>
      </c>
      <c r="DF503" s="118" t="inlineStr">
        <is>
          <t/>
        </is>
      </c>
      <c r="DG503" s="119" t="inlineStr">
        <is>
          <t>0,36x</t>
        </is>
      </c>
      <c r="DH503" s="120" t="inlineStr">
        <is>
          <t>30</t>
        </is>
      </c>
      <c r="DI503" s="121" t="inlineStr">
        <is>
          <t>0,04x</t>
        </is>
      </c>
      <c r="DJ503" s="122" t="inlineStr">
        <is>
          <t>7</t>
        </is>
      </c>
      <c r="DK503" s="123" t="inlineStr">
        <is>
          <t>0,24x</t>
        </is>
      </c>
      <c r="DL503" s="124" t="inlineStr">
        <is>
          <t>28</t>
        </is>
      </c>
      <c r="DM503" s="125" t="inlineStr">
        <is>
          <t/>
        </is>
      </c>
      <c r="DN503" s="126" t="inlineStr">
        <is>
          <t/>
        </is>
      </c>
      <c r="DO503" s="127" t="inlineStr">
        <is>
          <t/>
        </is>
      </c>
      <c r="DP503" s="128" t="inlineStr">
        <is>
          <t>28</t>
        </is>
      </c>
      <c r="DQ503" s="129" t="inlineStr">
        <is>
          <t>0</t>
        </is>
      </c>
      <c r="DR503" s="130" t="inlineStr">
        <is>
          <t>0,00%</t>
        </is>
      </c>
      <c r="DS503" s="131" t="inlineStr">
        <is>
          <t>13</t>
        </is>
      </c>
      <c r="DT503" s="132" t="inlineStr">
        <is>
          <t>-1</t>
        </is>
      </c>
      <c r="DU503" s="133" t="inlineStr">
        <is>
          <t>-7,14%</t>
        </is>
      </c>
      <c r="DV503" s="134" t="inlineStr">
        <is>
          <t>80</t>
        </is>
      </c>
      <c r="DW503" s="135" t="inlineStr">
        <is>
          <t>2</t>
        </is>
      </c>
      <c r="DX503" s="136" t="inlineStr">
        <is>
          <t>2,56%</t>
        </is>
      </c>
      <c r="DY503" s="137" t="inlineStr">
        <is>
          <t>PitchBook Research</t>
        </is>
      </c>
      <c r="DZ503" s="785">
        <f>HYPERLINK("https://my.pitchbook.com?c=168517-81", "View company online")</f>
      </c>
    </row>
    <row r="504">
      <c r="A504" s="139" t="inlineStr">
        <is>
          <t>110331-91</t>
        </is>
      </c>
      <c r="B504" s="140" t="inlineStr">
        <is>
          <t>Wolt</t>
        </is>
      </c>
      <c r="C504" s="141" t="inlineStr">
        <is>
          <t/>
        </is>
      </c>
      <c r="D504" s="142" t="inlineStr">
        <is>
          <t/>
        </is>
      </c>
      <c r="E504" s="143" t="inlineStr">
        <is>
          <t>110331-91</t>
        </is>
      </c>
      <c r="F504" s="144" t="inlineStr">
        <is>
          <t>Provider of an online food ordering platform. The company develops a mobile application that allows users to order home-delivered or takeaway food.</t>
        </is>
      </c>
      <c r="G504" s="145" t="inlineStr">
        <is>
          <t>Consumer Products and Services (B2C)</t>
        </is>
      </c>
      <c r="H504" s="146" t="inlineStr">
        <is>
          <t>Retail</t>
        </is>
      </c>
      <c r="I504" s="147" t="inlineStr">
        <is>
          <t>Internet Retail</t>
        </is>
      </c>
      <c r="J504" s="148" t="inlineStr">
        <is>
          <t>Internet Retail*; Other Retail; Application Software</t>
        </is>
      </c>
      <c r="K504" s="149" t="inlineStr">
        <is>
          <t>Mobile</t>
        </is>
      </c>
      <c r="L504" s="150" t="inlineStr">
        <is>
          <t>Venture Capital-Backed</t>
        </is>
      </c>
      <c r="M504" s="151" t="n">
        <v>12.1</v>
      </c>
      <c r="N504" s="152" t="inlineStr">
        <is>
          <t>Startup</t>
        </is>
      </c>
      <c r="O504" s="153" t="inlineStr">
        <is>
          <t>Privately Held (backing)</t>
        </is>
      </c>
      <c r="P504" s="154" t="inlineStr">
        <is>
          <t>Venture Capital</t>
        </is>
      </c>
      <c r="Q504" s="155" t="inlineStr">
        <is>
          <t>www.wolt.com</t>
        </is>
      </c>
      <c r="R504" s="156" t="n">
        <v>51.0</v>
      </c>
      <c r="S504" s="157" t="inlineStr">
        <is>
          <t/>
        </is>
      </c>
      <c r="T504" s="158" t="inlineStr">
        <is>
          <t/>
        </is>
      </c>
      <c r="U504" s="159" t="n">
        <v>2014.0</v>
      </c>
      <c r="V504" s="160" t="inlineStr">
        <is>
          <t/>
        </is>
      </c>
      <c r="W504" s="161" t="inlineStr">
        <is>
          <t/>
        </is>
      </c>
      <c r="X504" s="162" t="inlineStr">
        <is>
          <t/>
        </is>
      </c>
      <c r="Y504" s="163" t="n">
        <v>0.19293</v>
      </c>
      <c r="Z504" s="164" t="inlineStr">
        <is>
          <t/>
        </is>
      </c>
      <c r="AA504" s="165" t="n">
        <v>-1.05654</v>
      </c>
      <c r="AB504" s="166" t="inlineStr">
        <is>
          <t/>
        </is>
      </c>
      <c r="AC504" s="167" t="n">
        <v>-1.05654</v>
      </c>
      <c r="AD504" s="168" t="inlineStr">
        <is>
          <t>FY 2015</t>
        </is>
      </c>
      <c r="AE504" s="169" t="inlineStr">
        <is>
          <t>96118-84P</t>
        </is>
      </c>
      <c r="AF504" s="170" t="inlineStr">
        <is>
          <t>Miki Kuusi</t>
        </is>
      </c>
      <c r="AG504" s="171" t="inlineStr">
        <is>
          <t>Chief Executive Officer and Co-Founder</t>
        </is>
      </c>
      <c r="AH504" s="172" t="inlineStr">
        <is>
          <t>miki@woltapp.com</t>
        </is>
      </c>
      <c r="AI504" s="173" t="inlineStr">
        <is>
          <t>+358 (0)94 245 0254</t>
        </is>
      </c>
      <c r="AJ504" s="174" t="inlineStr">
        <is>
          <t>Helsinki, Finland</t>
        </is>
      </c>
      <c r="AK504" s="175" t="inlineStr">
        <is>
          <t>Köydenpunojankatu 2 a D</t>
        </is>
      </c>
      <c r="AL504" s="176" t="inlineStr">
        <is>
          <t/>
        </is>
      </c>
      <c r="AM504" s="177" t="inlineStr">
        <is>
          <t>Helsinki</t>
        </is>
      </c>
      <c r="AN504" s="178" t="inlineStr">
        <is>
          <t/>
        </is>
      </c>
      <c r="AO504" s="179" t="inlineStr">
        <is>
          <t>00180</t>
        </is>
      </c>
      <c r="AP504" s="180" t="inlineStr">
        <is>
          <t>Finland</t>
        </is>
      </c>
      <c r="AQ504" s="181" t="inlineStr">
        <is>
          <t>+358 (0)94 245 0254</t>
        </is>
      </c>
      <c r="AR504" s="182" t="inlineStr">
        <is>
          <t/>
        </is>
      </c>
      <c r="AS504" s="183" t="inlineStr">
        <is>
          <t>info@woltapp.com</t>
        </is>
      </c>
      <c r="AT504" s="184" t="inlineStr">
        <is>
          <t>Europe</t>
        </is>
      </c>
      <c r="AU504" s="185" t="inlineStr">
        <is>
          <t>Northern Europe</t>
        </is>
      </c>
      <c r="AV504" s="186" t="inlineStr">
        <is>
          <t>The company raised $11 million of venture funding led by EQT Ventures on April 15, 2016. Niklas Zennström, Ilkka Paananen, Lifeline Venture and Risto Siilasmaa also participated. Tamares also participated. The company till date has raised $14 million.</t>
        </is>
      </c>
      <c r="AW504" s="187" t="inlineStr">
        <is>
          <t>EQT Ventures, Ilkka Paananen, Inventure, Lifeline Ventures, Niklas Zennström, Pii Ketvel, Poju Zabludowicz, Risto Siilasmaa, Tamares Group, Visa Forsten</t>
        </is>
      </c>
      <c r="AX504" s="188" t="n">
        <v>10.0</v>
      </c>
      <c r="AY504" s="189" t="inlineStr">
        <is>
          <t/>
        </is>
      </c>
      <c r="AZ504" s="190" t="inlineStr">
        <is>
          <t/>
        </is>
      </c>
      <c r="BA504" s="191" t="inlineStr">
        <is>
          <t/>
        </is>
      </c>
      <c r="BB504" s="192" t="inlineStr">
        <is>
          <t>EQT Ventures (www.eqtventures.com), Inventure (www.inventure.fi), Lifeline Ventures (www.lifelineventures.com), Tamares Group (www.tamares.com)</t>
        </is>
      </c>
      <c r="BC504" s="193" t="inlineStr">
        <is>
          <t/>
        </is>
      </c>
      <c r="BD504" s="194" t="inlineStr">
        <is>
          <t/>
        </is>
      </c>
      <c r="BE504" s="195" t="inlineStr">
        <is>
          <t/>
        </is>
      </c>
      <c r="BF504" s="196" t="inlineStr">
        <is>
          <t/>
        </is>
      </c>
      <c r="BG504" s="197" t="n">
        <v>41960.0</v>
      </c>
      <c r="BH504" s="198" t="n">
        <v>0.4</v>
      </c>
      <c r="BI504" s="199" t="inlineStr">
        <is>
          <t>Actual</t>
        </is>
      </c>
      <c r="BJ504" s="200" t="inlineStr">
        <is>
          <t/>
        </is>
      </c>
      <c r="BK504" s="201" t="inlineStr">
        <is>
          <t/>
        </is>
      </c>
      <c r="BL504" s="202" t="inlineStr">
        <is>
          <t>Seed Round</t>
        </is>
      </c>
      <c r="BM504" s="203" t="inlineStr">
        <is>
          <t>Seed</t>
        </is>
      </c>
      <c r="BN504" s="204" t="inlineStr">
        <is>
          <t/>
        </is>
      </c>
      <c r="BO504" s="205" t="inlineStr">
        <is>
          <t>Venture Capital</t>
        </is>
      </c>
      <c r="BP504" s="206" t="inlineStr">
        <is>
          <t/>
        </is>
      </c>
      <c r="BQ504" s="207" t="inlineStr">
        <is>
          <t/>
        </is>
      </c>
      <c r="BR504" s="208" t="inlineStr">
        <is>
          <t/>
        </is>
      </c>
      <c r="BS504" s="209" t="inlineStr">
        <is>
          <t>Completed</t>
        </is>
      </c>
      <c r="BT504" s="210" t="n">
        <v>42475.0</v>
      </c>
      <c r="BU504" s="211" t="n">
        <v>9.7</v>
      </c>
      <c r="BV504" s="212" t="inlineStr">
        <is>
          <t>Actual</t>
        </is>
      </c>
      <c r="BW504" s="213" t="inlineStr">
        <is>
          <t/>
        </is>
      </c>
      <c r="BX504" s="214" t="inlineStr">
        <is>
          <t/>
        </is>
      </c>
      <c r="BY504" s="215" t="inlineStr">
        <is>
          <t>Early Stage VC</t>
        </is>
      </c>
      <c r="BZ504" s="216" t="inlineStr">
        <is>
          <t/>
        </is>
      </c>
      <c r="CA504" s="217" t="inlineStr">
        <is>
          <t/>
        </is>
      </c>
      <c r="CB504" s="218" t="inlineStr">
        <is>
          <t>Venture Capital</t>
        </is>
      </c>
      <c r="CC504" s="219" t="inlineStr">
        <is>
          <t/>
        </is>
      </c>
      <c r="CD504" s="220" t="inlineStr">
        <is>
          <t/>
        </is>
      </c>
      <c r="CE504" s="221" t="inlineStr">
        <is>
          <t/>
        </is>
      </c>
      <c r="CF504" s="222" t="inlineStr">
        <is>
          <t>Completed</t>
        </is>
      </c>
      <c r="CG504" s="223" t="inlineStr">
        <is>
          <t>-0,04%</t>
        </is>
      </c>
      <c r="CH504" s="224" t="inlineStr">
        <is>
          <t>17</t>
        </is>
      </c>
      <c r="CI504" s="225" t="inlineStr">
        <is>
          <t>0,00%</t>
        </is>
      </c>
      <c r="CJ504" s="226" t="inlineStr">
        <is>
          <t>-8,99%</t>
        </is>
      </c>
      <c r="CK504" s="227" t="inlineStr">
        <is>
          <t>-0,67%</t>
        </is>
      </c>
      <c r="CL504" s="228" t="inlineStr">
        <is>
          <t>11</t>
        </is>
      </c>
      <c r="CM504" s="229" t="inlineStr">
        <is>
          <t>0,55%</t>
        </is>
      </c>
      <c r="CN504" s="230" t="inlineStr">
        <is>
          <t>91</t>
        </is>
      </c>
      <c r="CO504" s="231" t="inlineStr">
        <is>
          <t>-0,67%</t>
        </is>
      </c>
      <c r="CP504" s="232" t="inlineStr">
        <is>
          <t>22</t>
        </is>
      </c>
      <c r="CQ504" s="233" t="inlineStr">
        <is>
          <t/>
        </is>
      </c>
      <c r="CR504" s="234" t="inlineStr">
        <is>
          <t/>
        </is>
      </c>
      <c r="CS504" s="235" t="inlineStr">
        <is>
          <t>1,05%</t>
        </is>
      </c>
      <c r="CT504" s="236" t="inlineStr">
        <is>
          <t>95</t>
        </is>
      </c>
      <c r="CU504" s="237" t="inlineStr">
        <is>
          <t>0,05%</t>
        </is>
      </c>
      <c r="CV504" s="238" t="inlineStr">
        <is>
          <t>61</t>
        </is>
      </c>
      <c r="CW504" s="239" t="inlineStr">
        <is>
          <t>22,42x</t>
        </is>
      </c>
      <c r="CX504" s="240" t="inlineStr">
        <is>
          <t>92</t>
        </is>
      </c>
      <c r="CY504" s="241" t="inlineStr">
        <is>
          <t>0,16x</t>
        </is>
      </c>
      <c r="CZ504" s="242" t="inlineStr">
        <is>
          <t>0,72%</t>
        </is>
      </c>
      <c r="DA504" s="243" t="inlineStr">
        <is>
          <t>49,80x</t>
        </is>
      </c>
      <c r="DB504" s="244" t="inlineStr">
        <is>
          <t>96</t>
        </is>
      </c>
      <c r="DC504" s="245" t="inlineStr">
        <is>
          <t>17,33x</t>
        </is>
      </c>
      <c r="DD504" s="246" t="inlineStr">
        <is>
          <t>89</t>
        </is>
      </c>
      <c r="DE504" s="247" t="inlineStr">
        <is>
          <t>49,80x</t>
        </is>
      </c>
      <c r="DF504" s="248" t="inlineStr">
        <is>
          <t>93</t>
        </is>
      </c>
      <c r="DG504" s="249" t="inlineStr">
        <is>
          <t/>
        </is>
      </c>
      <c r="DH504" s="250" t="inlineStr">
        <is>
          <t/>
        </is>
      </c>
      <c r="DI504" s="251" t="inlineStr">
        <is>
          <t>23,63x</t>
        </is>
      </c>
      <c r="DJ504" s="252" t="inlineStr">
        <is>
          <t>89</t>
        </is>
      </c>
      <c r="DK504" s="253" t="inlineStr">
        <is>
          <t>11,02x</t>
        </is>
      </c>
      <c r="DL504" s="254" t="inlineStr">
        <is>
          <t>87</t>
        </is>
      </c>
      <c r="DM504" s="255" t="inlineStr">
        <is>
          <t>30.679</t>
        </is>
      </c>
      <c r="DN504" s="256" t="inlineStr">
        <is>
          <t>-166</t>
        </is>
      </c>
      <c r="DO504" s="257" t="inlineStr">
        <is>
          <t>-0,54%</t>
        </is>
      </c>
      <c r="DP504" s="258" t="inlineStr">
        <is>
          <t>18.781</t>
        </is>
      </c>
      <c r="DQ504" s="259" t="inlineStr">
        <is>
          <t>190</t>
        </is>
      </c>
      <c r="DR504" s="260" t="inlineStr">
        <is>
          <t>1,02%</t>
        </is>
      </c>
      <c r="DS504" s="261" t="inlineStr">
        <is>
          <t/>
        </is>
      </c>
      <c r="DT504" s="262" t="inlineStr">
        <is>
          <t/>
        </is>
      </c>
      <c r="DU504" s="263" t="inlineStr">
        <is>
          <t/>
        </is>
      </c>
      <c r="DV504" s="264" t="inlineStr">
        <is>
          <t>3.781</t>
        </is>
      </c>
      <c r="DW504" s="265" t="inlineStr">
        <is>
          <t>4</t>
        </is>
      </c>
      <c r="DX504" s="266" t="inlineStr">
        <is>
          <t>0,11%</t>
        </is>
      </c>
      <c r="DY504" s="267" t="inlineStr">
        <is>
          <t>PitchBook Research</t>
        </is>
      </c>
      <c r="DZ504" s="786">
        <f>HYPERLINK("https://my.pitchbook.com?c=110331-91", "View company online")</f>
      </c>
    </row>
    <row r="505">
      <c r="A505" s="9" t="inlineStr">
        <is>
          <t>63706-42</t>
        </is>
      </c>
      <c r="B505" s="10" t="inlineStr">
        <is>
          <t>Wonderbly</t>
        </is>
      </c>
      <c r="C505" s="11" t="inlineStr">
        <is>
          <t>Lost My Name</t>
        </is>
      </c>
      <c r="D505" s="12" t="inlineStr">
        <is>
          <t/>
        </is>
      </c>
      <c r="E505" s="13" t="inlineStr">
        <is>
          <t>63706-42</t>
        </is>
      </c>
      <c r="F505" s="14" t="inlineStr">
        <is>
          <t>Publisher of personalized children's books. The company's custom storytelling platform helps individuals to create personalized story books, enabling children to make more curious, clever &amp; kind and empowering them to create stories and products that bring them closer to the people they love.</t>
        </is>
      </c>
      <c r="G505" s="15" t="inlineStr">
        <is>
          <t>Consumer Products and Services (B2C)</t>
        </is>
      </c>
      <c r="H505" s="16" t="inlineStr">
        <is>
          <t>Media</t>
        </is>
      </c>
      <c r="I505" s="17" t="inlineStr">
        <is>
          <t>Publishing</t>
        </is>
      </c>
      <c r="J505" s="18" t="inlineStr">
        <is>
          <t>Publishing*</t>
        </is>
      </c>
      <c r="K505" s="19" t="inlineStr">
        <is>
          <t>SaaS</t>
        </is>
      </c>
      <c r="L505" s="20" t="inlineStr">
        <is>
          <t>Venture Capital-Backed</t>
        </is>
      </c>
      <c r="M505" s="21" t="n">
        <v>13.27</v>
      </c>
      <c r="N505" s="22" t="inlineStr">
        <is>
          <t>Profitable</t>
        </is>
      </c>
      <c r="O505" s="23" t="inlineStr">
        <is>
          <t>Privately Held (backing)</t>
        </is>
      </c>
      <c r="P505" s="24" t="inlineStr">
        <is>
          <t>Venture Capital</t>
        </is>
      </c>
      <c r="Q505" s="25" t="inlineStr">
        <is>
          <t>www.wonderbly.com</t>
        </is>
      </c>
      <c r="R505" s="26" t="n">
        <v>60.0</v>
      </c>
      <c r="S505" s="27" t="inlineStr">
        <is>
          <t/>
        </is>
      </c>
      <c r="T505" s="28" t="inlineStr">
        <is>
          <t/>
        </is>
      </c>
      <c r="U505" s="29" t="n">
        <v>2012.0</v>
      </c>
      <c r="V505" s="30" t="inlineStr">
        <is>
          <t/>
        </is>
      </c>
      <c r="W505" s="31" t="inlineStr">
        <is>
          <t/>
        </is>
      </c>
      <c r="X505" s="32" t="inlineStr">
        <is>
          <t/>
        </is>
      </c>
      <c r="Y505" s="33" t="n">
        <v>8.30439</v>
      </c>
      <c r="Z505" s="34" t="inlineStr">
        <is>
          <t/>
        </is>
      </c>
      <c r="AA505" s="35" t="inlineStr">
        <is>
          <t/>
        </is>
      </c>
      <c r="AB505" s="36" t="inlineStr">
        <is>
          <t/>
        </is>
      </c>
      <c r="AC505" s="37" t="inlineStr">
        <is>
          <t/>
        </is>
      </c>
      <c r="AD505" s="38" t="inlineStr">
        <is>
          <t>FY 2015</t>
        </is>
      </c>
      <c r="AE505" s="39" t="inlineStr">
        <is>
          <t>104395-33P</t>
        </is>
      </c>
      <c r="AF505" s="40" t="inlineStr">
        <is>
          <t>Ian Sutherland</t>
        </is>
      </c>
      <c r="AG505" s="41" t="inlineStr">
        <is>
          <t>Chief Financial Officer &amp; Head of Operations</t>
        </is>
      </c>
      <c r="AH505" s="42" t="inlineStr">
        <is>
          <t>ian@wonderbly.com</t>
        </is>
      </c>
      <c r="AI505" s="43" t="inlineStr">
        <is>
          <t/>
        </is>
      </c>
      <c r="AJ505" s="44" t="inlineStr">
        <is>
          <t>London, United Kingdom</t>
        </is>
      </c>
      <c r="AK505" s="45" t="inlineStr">
        <is>
          <t>30-36 Pritchards Road</t>
        </is>
      </c>
      <c r="AL505" s="46" t="inlineStr">
        <is>
          <t/>
        </is>
      </c>
      <c r="AM505" s="47" t="inlineStr">
        <is>
          <t>London</t>
        </is>
      </c>
      <c r="AN505" s="48" t="inlineStr">
        <is>
          <t>England</t>
        </is>
      </c>
      <c r="AO505" s="49" t="inlineStr">
        <is>
          <t>E2 9AP</t>
        </is>
      </c>
      <c r="AP505" s="50" t="inlineStr">
        <is>
          <t>United Kingdom</t>
        </is>
      </c>
      <c r="AQ505" s="51" t="inlineStr">
        <is>
          <t/>
        </is>
      </c>
      <c r="AR505" s="52" t="inlineStr">
        <is>
          <t/>
        </is>
      </c>
      <c r="AS505" s="53" t="inlineStr">
        <is>
          <t>hello@lostmy.name</t>
        </is>
      </c>
      <c r="AT505" s="54" t="inlineStr">
        <is>
          <t>Europe</t>
        </is>
      </c>
      <c r="AU505" s="55" t="inlineStr">
        <is>
          <t>Western Europe</t>
        </is>
      </c>
      <c r="AV505" s="56" t="inlineStr">
        <is>
          <t>The company raised $8.5 million of Series B venture funding through a combination of equity and debt on July 31, 2017. The equity portion of Series B funding was led by Ravensburger with participation from GV, Project A Ventures, Greycroft, The Cherning Group and Allen &amp; Co and the debt portion was provided by Silicon Valley Bank. The company will be use the funds for new product development and international growth.</t>
        </is>
      </c>
      <c r="AW505" s="57" t="inlineStr">
        <is>
          <t>Allen &amp; Company, Cris Conde, Forward Partners, Greycroft Partners, GV, Matt Wheeler, Neil Hutchinson, Paul Fisher, Pradeep Raman, Project A Ventures, Ravensburger, Self Funded, The Chernin Group, Tom Hulme</t>
        </is>
      </c>
      <c r="AX505" s="58" t="n">
        <v>14.0</v>
      </c>
      <c r="AY505" s="59" t="inlineStr">
        <is>
          <t/>
        </is>
      </c>
      <c r="AZ505" s="60" t="inlineStr">
        <is>
          <t/>
        </is>
      </c>
      <c r="BA505" s="61" t="inlineStr">
        <is>
          <t/>
        </is>
      </c>
      <c r="BB505" s="62" t="inlineStr">
        <is>
          <t>Allen &amp; Company (www.allenco.com), Forward Partners (www.forwardpartners.com), Greycroft Partners (www.greycroft.com), GV (www.gv.com), Paul Fisher (www.buyometric.co.uk), Project A Ventures (www.project-a.com/en)</t>
        </is>
      </c>
      <c r="BC505" s="63" t="inlineStr">
        <is>
          <t/>
        </is>
      </c>
      <c r="BD505" s="64" t="inlineStr">
        <is>
          <t/>
        </is>
      </c>
      <c r="BE505" s="65" t="inlineStr">
        <is>
          <t>JAG Shaw Baker (Legal Advisor), Squire Patton Boggs (Legal Advisor), Future Fifty (Consulting)</t>
        </is>
      </c>
      <c r="BF505" s="66" t="inlineStr">
        <is>
          <t>Silicon Valley Bank, Squire Patton Boggs (Legal Advisor)</t>
        </is>
      </c>
      <c r="BG505" s="67" t="n">
        <v>41212.0</v>
      </c>
      <c r="BH505" s="68" t="n">
        <v>0.05</v>
      </c>
      <c r="BI505" s="69" t="inlineStr">
        <is>
          <t>Actual</t>
        </is>
      </c>
      <c r="BJ505" s="70" t="inlineStr">
        <is>
          <t/>
        </is>
      </c>
      <c r="BK505" s="71" t="inlineStr">
        <is>
          <t/>
        </is>
      </c>
      <c r="BL505" s="72" t="inlineStr">
        <is>
          <t>Seed Round</t>
        </is>
      </c>
      <c r="BM505" s="73" t="inlineStr">
        <is>
          <t>Seed</t>
        </is>
      </c>
      <c r="BN505" s="74" t="inlineStr">
        <is>
          <t/>
        </is>
      </c>
      <c r="BO505" s="75" t="inlineStr">
        <is>
          <t>Venture Capital</t>
        </is>
      </c>
      <c r="BP505" s="76" t="inlineStr">
        <is>
          <t/>
        </is>
      </c>
      <c r="BQ505" s="77" t="inlineStr">
        <is>
          <t/>
        </is>
      </c>
      <c r="BR505" s="78" t="inlineStr">
        <is>
          <t/>
        </is>
      </c>
      <c r="BS505" s="79" t="inlineStr">
        <is>
          <t>Completed</t>
        </is>
      </c>
      <c r="BT505" s="80" t="n">
        <v>42947.0</v>
      </c>
      <c r="BU505" s="81" t="n">
        <v>7.38</v>
      </c>
      <c r="BV505" s="82" t="inlineStr">
        <is>
          <t>Actual</t>
        </is>
      </c>
      <c r="BW505" s="83" t="inlineStr">
        <is>
          <t/>
        </is>
      </c>
      <c r="BX505" s="84" t="inlineStr">
        <is>
          <t/>
        </is>
      </c>
      <c r="BY505" s="85" t="inlineStr">
        <is>
          <t>Early Stage VC</t>
        </is>
      </c>
      <c r="BZ505" s="86" t="inlineStr">
        <is>
          <t>Series B</t>
        </is>
      </c>
      <c r="CA505" s="87" t="inlineStr">
        <is>
          <t/>
        </is>
      </c>
      <c r="CB505" s="88" t="inlineStr">
        <is>
          <t>Venture Capital</t>
        </is>
      </c>
      <c r="CC505" s="89" t="inlineStr">
        <is>
          <t>Loan</t>
        </is>
      </c>
      <c r="CD505" s="90" t="inlineStr">
        <is>
          <t/>
        </is>
      </c>
      <c r="CE505" s="91" t="inlineStr">
        <is>
          <t/>
        </is>
      </c>
      <c r="CF505" s="92" t="inlineStr">
        <is>
          <t>Completed</t>
        </is>
      </c>
      <c r="CG505" s="93" t="inlineStr">
        <is>
          <t>13,72%</t>
        </is>
      </c>
      <c r="CH505" s="94" t="inlineStr">
        <is>
          <t>100</t>
        </is>
      </c>
      <c r="CI505" s="95" t="inlineStr">
        <is>
          <t>-40,43%</t>
        </is>
      </c>
      <c r="CJ505" s="96" t="inlineStr">
        <is>
          <t>-74,66%</t>
        </is>
      </c>
      <c r="CK505" s="97" t="inlineStr">
        <is>
          <t>27,12%</t>
        </is>
      </c>
      <c r="CL505" s="98" t="inlineStr">
        <is>
          <t>100</t>
        </is>
      </c>
      <c r="CM505" s="99" t="inlineStr">
        <is>
          <t>0,32%</t>
        </is>
      </c>
      <c r="CN505" s="100" t="inlineStr">
        <is>
          <t>82</t>
        </is>
      </c>
      <c r="CO505" s="101" t="inlineStr">
        <is>
          <t>54,15%</t>
        </is>
      </c>
      <c r="CP505" s="102" t="inlineStr">
        <is>
          <t>100</t>
        </is>
      </c>
      <c r="CQ505" s="103" t="inlineStr">
        <is>
          <t>0,09%</t>
        </is>
      </c>
      <c r="CR505" s="104" t="inlineStr">
        <is>
          <t>83</t>
        </is>
      </c>
      <c r="CS505" s="105" t="inlineStr">
        <is>
          <t>0,49%</t>
        </is>
      </c>
      <c r="CT505" s="106" t="inlineStr">
        <is>
          <t>87</t>
        </is>
      </c>
      <c r="CU505" s="107" t="inlineStr">
        <is>
          <t>0,15%</t>
        </is>
      </c>
      <c r="CV505" s="108" t="inlineStr">
        <is>
          <t>73</t>
        </is>
      </c>
      <c r="CW505" s="109" t="inlineStr">
        <is>
          <t>428,57x</t>
        </is>
      </c>
      <c r="CX505" s="110" t="inlineStr">
        <is>
          <t>100</t>
        </is>
      </c>
      <c r="CY505" s="111" t="inlineStr">
        <is>
          <t>270,62x</t>
        </is>
      </c>
      <c r="CZ505" s="112" t="inlineStr">
        <is>
          <t>171,33%</t>
        </is>
      </c>
      <c r="DA505" s="113" t="inlineStr">
        <is>
          <t>107,41x</t>
        </is>
      </c>
      <c r="DB505" s="114" t="inlineStr">
        <is>
          <t>98</t>
        </is>
      </c>
      <c r="DC505" s="115" t="inlineStr">
        <is>
          <t>749,74x</t>
        </is>
      </c>
      <c r="DD505" s="116" t="inlineStr">
        <is>
          <t>100</t>
        </is>
      </c>
      <c r="DE505" s="117" t="inlineStr">
        <is>
          <t>157,95x</t>
        </is>
      </c>
      <c r="DF505" s="118" t="inlineStr">
        <is>
          <t>97</t>
        </is>
      </c>
      <c r="DG505" s="119" t="inlineStr">
        <is>
          <t>56,86x</t>
        </is>
      </c>
      <c r="DH505" s="120" t="inlineStr">
        <is>
          <t>97</t>
        </is>
      </c>
      <c r="DI505" s="121" t="inlineStr">
        <is>
          <t>1.476,55x</t>
        </is>
      </c>
      <c r="DJ505" s="122" t="inlineStr">
        <is>
          <t>100</t>
        </is>
      </c>
      <c r="DK505" s="123" t="inlineStr">
        <is>
          <t>22,93x</t>
        </is>
      </c>
      <c r="DL505" s="124" t="inlineStr">
        <is>
          <t>92</t>
        </is>
      </c>
      <c r="DM505" s="125" t="inlineStr">
        <is>
          <t>92.253</t>
        </is>
      </c>
      <c r="DN505" s="126" t="inlineStr">
        <is>
          <t>14.663</t>
        </is>
      </c>
      <c r="DO505" s="127" t="inlineStr">
        <is>
          <t>18,90%</t>
        </is>
      </c>
      <c r="DP505" s="128" t="inlineStr">
        <is>
          <t>1.177.367</t>
        </is>
      </c>
      <c r="DQ505" s="129" t="inlineStr">
        <is>
          <t>5.839</t>
        </is>
      </c>
      <c r="DR505" s="130" t="inlineStr">
        <is>
          <t>0,50%</t>
        </is>
      </c>
      <c r="DS505" s="131" t="inlineStr">
        <is>
          <t>1.995</t>
        </is>
      </c>
      <c r="DT505" s="132" t="inlineStr">
        <is>
          <t>81</t>
        </is>
      </c>
      <c r="DU505" s="133" t="inlineStr">
        <is>
          <t>4,23%</t>
        </is>
      </c>
      <c r="DV505" s="134" t="inlineStr">
        <is>
          <t>7.851</t>
        </is>
      </c>
      <c r="DW505" s="135" t="inlineStr">
        <is>
          <t>14</t>
        </is>
      </c>
      <c r="DX505" s="136" t="inlineStr">
        <is>
          <t>0,18%</t>
        </is>
      </c>
      <c r="DY505" s="137" t="inlineStr">
        <is>
          <t>PitchBook Research</t>
        </is>
      </c>
      <c r="DZ505" s="785">
        <f>HYPERLINK("https://my.pitchbook.com?c=63706-42", "View company online")</f>
      </c>
    </row>
    <row r="506">
      <c r="A506" s="139" t="inlineStr">
        <is>
          <t>56244-97</t>
        </is>
      </c>
      <c r="B506" s="140" t="inlineStr">
        <is>
          <t>Workable</t>
        </is>
      </c>
      <c r="C506" s="141" t="inlineStr">
        <is>
          <t/>
        </is>
      </c>
      <c r="D506" s="142" t="inlineStr">
        <is>
          <t>Workable HR</t>
        </is>
      </c>
      <c r="E506" s="143" t="inlineStr">
        <is>
          <t>56244-97</t>
        </is>
      </c>
      <c r="F506" s="144" t="inlineStr">
        <is>
          <t>Provider of recruiting software designed to streamline the hiring process. The company's recruiting software has single-submission posting to all the important job boards that makes it easy to browse, enabling candidates to keep track of new jobs as soon as they are notified.</t>
        </is>
      </c>
      <c r="G506" s="145" t="inlineStr">
        <is>
          <t>Information Technology</t>
        </is>
      </c>
      <c r="H506" s="146" t="inlineStr">
        <is>
          <t>Software</t>
        </is>
      </c>
      <c r="I506" s="147" t="inlineStr">
        <is>
          <t>Application Software</t>
        </is>
      </c>
      <c r="J506" s="148" t="inlineStr">
        <is>
          <t>Application Software*; Human Capital Services</t>
        </is>
      </c>
      <c r="K506" s="149" t="inlineStr">
        <is>
          <t>SaaS</t>
        </is>
      </c>
      <c r="L506" s="150" t="inlineStr">
        <is>
          <t>Venture Capital-Backed</t>
        </is>
      </c>
      <c r="M506" s="151" t="n">
        <v>30.78</v>
      </c>
      <c r="N506" s="152" t="inlineStr">
        <is>
          <t>Generating Revenue</t>
        </is>
      </c>
      <c r="O506" s="153" t="inlineStr">
        <is>
          <t>Privately Held (backing)</t>
        </is>
      </c>
      <c r="P506" s="154" t="inlineStr">
        <is>
          <t>Venture Capital</t>
        </is>
      </c>
      <c r="Q506" s="155" t="inlineStr">
        <is>
          <t>www.workable.com</t>
        </is>
      </c>
      <c r="R506" s="156" t="n">
        <v>46.0</v>
      </c>
      <c r="S506" s="157" t="inlineStr">
        <is>
          <t/>
        </is>
      </c>
      <c r="T506" s="158" t="inlineStr">
        <is>
          <t/>
        </is>
      </c>
      <c r="U506" s="159" t="n">
        <v>2012.0</v>
      </c>
      <c r="V506" s="160" t="inlineStr">
        <is>
          <t/>
        </is>
      </c>
      <c r="W506" s="161" t="inlineStr">
        <is>
          <t/>
        </is>
      </c>
      <c r="X506" s="162" t="inlineStr">
        <is>
          <t/>
        </is>
      </c>
      <c r="Y506" s="163" t="n">
        <v>3.21556</v>
      </c>
      <c r="Z506" s="164" t="n">
        <v>1.82827</v>
      </c>
      <c r="AA506" s="165" t="n">
        <v>-5.40213</v>
      </c>
      <c r="AB506" s="166" t="inlineStr">
        <is>
          <t/>
        </is>
      </c>
      <c r="AC506" s="167" t="n">
        <v>-5.61344</v>
      </c>
      <c r="AD506" s="168" t="inlineStr">
        <is>
          <t>FY 2015</t>
        </is>
      </c>
      <c r="AE506" s="169" t="inlineStr">
        <is>
          <t>116470-09P</t>
        </is>
      </c>
      <c r="AF506" s="170" t="inlineStr">
        <is>
          <t>Elsa Sahnas</t>
        </is>
      </c>
      <c r="AG506" s="171" t="inlineStr">
        <is>
          <t>Finance Director</t>
        </is>
      </c>
      <c r="AH506" s="172" t="inlineStr">
        <is>
          <t>elsa@workable.com</t>
        </is>
      </c>
      <c r="AI506" s="173" t="inlineStr">
        <is>
          <t/>
        </is>
      </c>
      <c r="AJ506" s="174" t="inlineStr">
        <is>
          <t>London, United Kingdom</t>
        </is>
      </c>
      <c r="AK506" s="175" t="inlineStr">
        <is>
          <t>WeWork, 1 Fore Street</t>
        </is>
      </c>
      <c r="AL506" s="176" t="inlineStr">
        <is>
          <t/>
        </is>
      </c>
      <c r="AM506" s="177" t="inlineStr">
        <is>
          <t>London</t>
        </is>
      </c>
      <c r="AN506" s="178" t="inlineStr">
        <is>
          <t>England</t>
        </is>
      </c>
      <c r="AO506" s="179" t="inlineStr">
        <is>
          <t>EC2Y 5EJ</t>
        </is>
      </c>
      <c r="AP506" s="180" t="inlineStr">
        <is>
          <t>United Kingdom</t>
        </is>
      </c>
      <c r="AQ506" s="181" t="inlineStr">
        <is>
          <t/>
        </is>
      </c>
      <c r="AR506" s="182" t="inlineStr">
        <is>
          <t/>
        </is>
      </c>
      <c r="AS506" s="183" t="inlineStr">
        <is>
          <t/>
        </is>
      </c>
      <c r="AT506" s="184" t="inlineStr">
        <is>
          <t>Europe</t>
        </is>
      </c>
      <c r="AU506" s="185" t="inlineStr">
        <is>
          <t>Western Europe</t>
        </is>
      </c>
      <c r="AV506" s="186" t="inlineStr">
        <is>
          <t>The company raised $27 million of Series B venture funding in a deal led by Balderton Capital on August 11, 2015. Notion Capital and 83North also participated in the round. The company will use the funding for business expansion. Previously, the company raised $5 million of venture funding from 83North and Openfund on February 26, 2015.</t>
        </is>
      </c>
      <c r="AW506" s="187" t="inlineStr">
        <is>
          <t>83North, Alexis Pantazis, Balderton Capital, Chrysanthos Chrysanthou, Dimitris Vranopoulos, Marco Veremis, Notion Capital, OpenFund</t>
        </is>
      </c>
      <c r="AX506" s="188" t="n">
        <v>8.0</v>
      </c>
      <c r="AY506" s="189" t="inlineStr">
        <is>
          <t/>
        </is>
      </c>
      <c r="AZ506" s="190" t="inlineStr">
        <is>
          <t/>
        </is>
      </c>
      <c r="BA506" s="191" t="inlineStr">
        <is>
          <t/>
        </is>
      </c>
      <c r="BB506" s="192" t="inlineStr">
        <is>
          <t>83North (www.83north.com), Balderton Capital (www.balderton.com), Notion Capital (www.notioncapital.com), OpenFund (www.theopenfund.com)</t>
        </is>
      </c>
      <c r="BC506" s="193" t="inlineStr">
        <is>
          <t/>
        </is>
      </c>
      <c r="BD506" s="194" t="inlineStr">
        <is>
          <t/>
        </is>
      </c>
      <c r="BE506" s="195" t="inlineStr">
        <is>
          <t>Waterfront Solicitors (Legal Advisor), Gunderson Dettmer (Legal Advisor), Rusell New (Accounting)</t>
        </is>
      </c>
      <c r="BF506" s="196" t="inlineStr">
        <is>
          <t>Gunderson Dettmer (Legal Advisor)</t>
        </is>
      </c>
      <c r="BG506" s="197" t="n">
        <v>41337.0</v>
      </c>
      <c r="BH506" s="198" t="n">
        <v>0.95</v>
      </c>
      <c r="BI506" s="199" t="inlineStr">
        <is>
          <t>Actual</t>
        </is>
      </c>
      <c r="BJ506" s="200" t="inlineStr">
        <is>
          <t/>
        </is>
      </c>
      <c r="BK506" s="201" t="inlineStr">
        <is>
          <t/>
        </is>
      </c>
      <c r="BL506" s="202" t="inlineStr">
        <is>
          <t>Seed Round</t>
        </is>
      </c>
      <c r="BM506" s="203" t="inlineStr">
        <is>
          <t>Seed</t>
        </is>
      </c>
      <c r="BN506" s="204" t="inlineStr">
        <is>
          <t/>
        </is>
      </c>
      <c r="BO506" s="205" t="inlineStr">
        <is>
          <t>Venture Capital</t>
        </is>
      </c>
      <c r="BP506" s="206" t="inlineStr">
        <is>
          <t/>
        </is>
      </c>
      <c r="BQ506" s="207" t="inlineStr">
        <is>
          <t/>
        </is>
      </c>
      <c r="BR506" s="208" t="inlineStr">
        <is>
          <t/>
        </is>
      </c>
      <c r="BS506" s="209" t="inlineStr">
        <is>
          <t>Completed</t>
        </is>
      </c>
      <c r="BT506" s="210" t="n">
        <v>42227.0</v>
      </c>
      <c r="BU506" s="211" t="n">
        <v>24.27</v>
      </c>
      <c r="BV506" s="212" t="inlineStr">
        <is>
          <t>Actual</t>
        </is>
      </c>
      <c r="BW506" s="213" t="inlineStr">
        <is>
          <t/>
        </is>
      </c>
      <c r="BX506" s="214" t="inlineStr">
        <is>
          <t/>
        </is>
      </c>
      <c r="BY506" s="215" t="inlineStr">
        <is>
          <t>Early Stage VC</t>
        </is>
      </c>
      <c r="BZ506" s="216" t="inlineStr">
        <is>
          <t>Series B</t>
        </is>
      </c>
      <c r="CA506" s="217" t="inlineStr">
        <is>
          <t/>
        </is>
      </c>
      <c r="CB506" s="218" t="inlineStr">
        <is>
          <t>Venture Capital</t>
        </is>
      </c>
      <c r="CC506" s="219" t="inlineStr">
        <is>
          <t/>
        </is>
      </c>
      <c r="CD506" s="220" t="inlineStr">
        <is>
          <t/>
        </is>
      </c>
      <c r="CE506" s="221" t="inlineStr">
        <is>
          <t/>
        </is>
      </c>
      <c r="CF506" s="222" t="inlineStr">
        <is>
          <t>Completed</t>
        </is>
      </c>
      <c r="CG506" s="223" t="inlineStr">
        <is>
          <t>0,56%</t>
        </is>
      </c>
      <c r="CH506" s="224" t="inlineStr">
        <is>
          <t>85</t>
        </is>
      </c>
      <c r="CI506" s="225" t="inlineStr">
        <is>
          <t>-0,04%</t>
        </is>
      </c>
      <c r="CJ506" s="226" t="inlineStr">
        <is>
          <t>-6,84%</t>
        </is>
      </c>
      <c r="CK506" s="227" t="inlineStr">
        <is>
          <t>1,01%</t>
        </is>
      </c>
      <c r="CL506" s="228" t="inlineStr">
        <is>
          <t>87</t>
        </is>
      </c>
      <c r="CM506" s="229" t="inlineStr">
        <is>
          <t>0,11%</t>
        </is>
      </c>
      <c r="CN506" s="230" t="inlineStr">
        <is>
          <t>62</t>
        </is>
      </c>
      <c r="CO506" s="231" t="inlineStr">
        <is>
          <t>0,35%</t>
        </is>
      </c>
      <c r="CP506" s="232" t="inlineStr">
        <is>
          <t>81</t>
        </is>
      </c>
      <c r="CQ506" s="233" t="inlineStr">
        <is>
          <t>1,67%</t>
        </is>
      </c>
      <c r="CR506" s="234" t="inlineStr">
        <is>
          <t>90</t>
        </is>
      </c>
      <c r="CS506" s="235" t="inlineStr">
        <is>
          <t>0,09%</t>
        </is>
      </c>
      <c r="CT506" s="236" t="inlineStr">
        <is>
          <t>56</t>
        </is>
      </c>
      <c r="CU506" s="237" t="inlineStr">
        <is>
          <t>0,13%</t>
        </is>
      </c>
      <c r="CV506" s="238" t="inlineStr">
        <is>
          <t>71</t>
        </is>
      </c>
      <c r="CW506" s="239" t="inlineStr">
        <is>
          <t>292,67x</t>
        </is>
      </c>
      <c r="CX506" s="240" t="inlineStr">
        <is>
          <t>99</t>
        </is>
      </c>
      <c r="CY506" s="241" t="inlineStr">
        <is>
          <t>0,52x</t>
        </is>
      </c>
      <c r="CZ506" s="242" t="inlineStr">
        <is>
          <t>0,18%</t>
        </is>
      </c>
      <c r="DA506" s="243" t="inlineStr">
        <is>
          <t>568,26x</t>
        </is>
      </c>
      <c r="DB506" s="244" t="inlineStr">
        <is>
          <t>100</t>
        </is>
      </c>
      <c r="DC506" s="245" t="inlineStr">
        <is>
          <t>17,08x</t>
        </is>
      </c>
      <c r="DD506" s="246" t="inlineStr">
        <is>
          <t>89</t>
        </is>
      </c>
      <c r="DE506" s="247" t="inlineStr">
        <is>
          <t>1.095,04x</t>
        </is>
      </c>
      <c r="DF506" s="248" t="inlineStr">
        <is>
          <t>100</t>
        </is>
      </c>
      <c r="DG506" s="249" t="inlineStr">
        <is>
          <t>41,47x</t>
        </is>
      </c>
      <c r="DH506" s="250" t="inlineStr">
        <is>
          <t>96</t>
        </is>
      </c>
      <c r="DI506" s="251" t="inlineStr">
        <is>
          <t>12,87x</t>
        </is>
      </c>
      <c r="DJ506" s="252" t="inlineStr">
        <is>
          <t>84</t>
        </is>
      </c>
      <c r="DK506" s="253" t="inlineStr">
        <is>
          <t>21,29x</t>
        </is>
      </c>
      <c r="DL506" s="254" t="inlineStr">
        <is>
          <t>92</t>
        </is>
      </c>
      <c r="DM506" s="255" t="inlineStr">
        <is>
          <t>676.443</t>
        </is>
      </c>
      <c r="DN506" s="256" t="inlineStr">
        <is>
          <t>-8.977</t>
        </is>
      </c>
      <c r="DO506" s="257" t="inlineStr">
        <is>
          <t>-1,31%</t>
        </is>
      </c>
      <c r="DP506" s="258" t="inlineStr">
        <is>
          <t>10.277</t>
        </is>
      </c>
      <c r="DQ506" s="259" t="inlineStr">
        <is>
          <t>9</t>
        </is>
      </c>
      <c r="DR506" s="260" t="inlineStr">
        <is>
          <t>0,09%</t>
        </is>
      </c>
      <c r="DS506" s="261" t="inlineStr">
        <is>
          <t>1.489</t>
        </is>
      </c>
      <c r="DT506" s="262" t="inlineStr">
        <is>
          <t>11</t>
        </is>
      </c>
      <c r="DU506" s="263" t="inlineStr">
        <is>
          <t>0,74%</t>
        </is>
      </c>
      <c r="DV506" s="264" t="inlineStr">
        <is>
          <t>7.300</t>
        </is>
      </c>
      <c r="DW506" s="265" t="inlineStr">
        <is>
          <t>0</t>
        </is>
      </c>
      <c r="DX506" s="266" t="inlineStr">
        <is>
          <t>0,00%</t>
        </is>
      </c>
      <c r="DY506" s="267" t="inlineStr">
        <is>
          <t>PitchBook Research</t>
        </is>
      </c>
      <c r="DZ506" s="786">
        <f>HYPERLINK("https://my.pitchbook.com?c=56244-97", "View company online")</f>
      </c>
    </row>
    <row r="507">
      <c r="A507" s="9" t="inlineStr">
        <is>
          <t>125698-96</t>
        </is>
      </c>
      <c r="B507" s="10" t="inlineStr">
        <is>
          <t>Wynd</t>
        </is>
      </c>
      <c r="C507" s="11" t="inlineStr">
        <is>
          <t/>
        </is>
      </c>
      <c r="D507" s="12" t="inlineStr">
        <is>
          <t/>
        </is>
      </c>
      <c r="E507" s="13" t="inlineStr">
        <is>
          <t>125698-96</t>
        </is>
      </c>
      <c r="F507" s="14" t="inlineStr">
        <is>
          <t>Provider of restaurant management software. The company provides a customer-facing platform for discovery, online ordering, payment and customer-reward systems, integrated into one platform.</t>
        </is>
      </c>
      <c r="G507" s="15" t="inlineStr">
        <is>
          <t>Information Technology</t>
        </is>
      </c>
      <c r="H507" s="16" t="inlineStr">
        <is>
          <t>Software</t>
        </is>
      </c>
      <c r="I507" s="17" t="inlineStr">
        <is>
          <t>Social/Platform Software</t>
        </is>
      </c>
      <c r="J507" s="18" t="inlineStr">
        <is>
          <t>Social/Platform Software*; Other Restaurants, Hotels and Leisure</t>
        </is>
      </c>
      <c r="K507" s="19" t="inlineStr">
        <is>
          <t/>
        </is>
      </c>
      <c r="L507" s="20" t="inlineStr">
        <is>
          <t>Venture Capital-Backed</t>
        </is>
      </c>
      <c r="M507" s="21" t="n">
        <v>38.8</v>
      </c>
      <c r="N507" s="22" t="inlineStr">
        <is>
          <t>Startup</t>
        </is>
      </c>
      <c r="O507" s="23" t="inlineStr">
        <is>
          <t>Privately Held (backing)</t>
        </is>
      </c>
      <c r="P507" s="24" t="inlineStr">
        <is>
          <t>Venture Capital</t>
        </is>
      </c>
      <c r="Q507" s="25" t="inlineStr">
        <is>
          <t>www.wynd.eu</t>
        </is>
      </c>
      <c r="R507" s="26" t="n">
        <v>70.0</v>
      </c>
      <c r="S507" s="27" t="inlineStr">
        <is>
          <t/>
        </is>
      </c>
      <c r="T507" s="28" t="inlineStr">
        <is>
          <t/>
        </is>
      </c>
      <c r="U507" s="29" t="n">
        <v>2013.0</v>
      </c>
      <c r="V507" s="30" t="inlineStr">
        <is>
          <t/>
        </is>
      </c>
      <c r="W507" s="31" t="inlineStr">
        <is>
          <t/>
        </is>
      </c>
      <c r="X507" s="32" t="inlineStr">
        <is>
          <t/>
        </is>
      </c>
      <c r="Y507" s="33" t="inlineStr">
        <is>
          <t/>
        </is>
      </c>
      <c r="Z507" s="34" t="inlineStr">
        <is>
          <t/>
        </is>
      </c>
      <c r="AA507" s="35" t="inlineStr">
        <is>
          <t/>
        </is>
      </c>
      <c r="AB507" s="36" t="inlineStr">
        <is>
          <t/>
        </is>
      </c>
      <c r="AC507" s="37" t="inlineStr">
        <is>
          <t/>
        </is>
      </c>
      <c r="AD507" s="38" t="inlineStr">
        <is>
          <t/>
        </is>
      </c>
      <c r="AE507" s="39" t="inlineStr">
        <is>
          <t>116639-65P</t>
        </is>
      </c>
      <c r="AF507" s="40" t="inlineStr">
        <is>
          <t>Paul Vedrine</t>
        </is>
      </c>
      <c r="AG507" s="41" t="inlineStr">
        <is>
          <t>Chief Financial Officer</t>
        </is>
      </c>
      <c r="AH507" s="42" t="inlineStr">
        <is>
          <t>pvedrine@wynd.eu</t>
        </is>
      </c>
      <c r="AI507" s="43" t="inlineStr">
        <is>
          <t>+33 (0)1 85 08 91 97</t>
        </is>
      </c>
      <c r="AJ507" s="44" t="inlineStr">
        <is>
          <t>Paris, France</t>
        </is>
      </c>
      <c r="AK507" s="45" t="inlineStr">
        <is>
          <t>55 rue la boetie</t>
        </is>
      </c>
      <c r="AL507" s="46" t="inlineStr">
        <is>
          <t/>
        </is>
      </c>
      <c r="AM507" s="47" t="inlineStr">
        <is>
          <t>Paris</t>
        </is>
      </c>
      <c r="AN507" s="48" t="inlineStr">
        <is>
          <t/>
        </is>
      </c>
      <c r="AO507" s="49" t="inlineStr">
        <is>
          <t>75008</t>
        </is>
      </c>
      <c r="AP507" s="50" t="inlineStr">
        <is>
          <t>France</t>
        </is>
      </c>
      <c r="AQ507" s="51" t="inlineStr">
        <is>
          <t>+33 (0)1 85 08 91 97</t>
        </is>
      </c>
      <c r="AR507" s="52" t="inlineStr">
        <is>
          <t/>
        </is>
      </c>
      <c r="AS507" s="53" t="inlineStr">
        <is>
          <t>contact@wynd.eu</t>
        </is>
      </c>
      <c r="AT507" s="54" t="inlineStr">
        <is>
          <t>Europe</t>
        </is>
      </c>
      <c r="AU507" s="55" t="inlineStr">
        <is>
          <t>Western Europe</t>
        </is>
      </c>
      <c r="AV507" s="56" t="inlineStr">
        <is>
          <t>The company raised EUR 30 million of Series B venture funding in a deal co-led by Sodexo Ventures and Orange Digital Ventures on November 23, 2016. Bpifrance also participated in the round. The company will use the funding to hire and expand internationally.</t>
        </is>
      </c>
      <c r="AW507" s="57" t="inlineStr">
        <is>
          <t>Alven Capital Partners, Bpifrance, Orange Digital Ventures, Sodexo Ventures, Techstars, Techstars METRO Accelerator</t>
        </is>
      </c>
      <c r="AX507" s="58" t="n">
        <v>6.0</v>
      </c>
      <c r="AY507" s="59" t="inlineStr">
        <is>
          <t/>
        </is>
      </c>
      <c r="AZ507" s="60" t="inlineStr">
        <is>
          <t/>
        </is>
      </c>
      <c r="BA507" s="61" t="inlineStr">
        <is>
          <t/>
        </is>
      </c>
      <c r="BB507" s="62" t="inlineStr">
        <is>
          <t>Alven Capital Partners (www.alven.co), Bpifrance (www.bpifrance.fr), Orange Digital Ventures (www.digitalventures.orange.com), Techstars (www.techstars.com), Techstars METRO Accelerator (www.metroaccelerator.com)</t>
        </is>
      </c>
      <c r="BC507" s="63" t="inlineStr">
        <is>
          <t/>
        </is>
      </c>
      <c r="BD507" s="64" t="inlineStr">
        <is>
          <t/>
        </is>
      </c>
      <c r="BE507" s="65" t="inlineStr">
        <is>
          <t>Jones Day (Legal Advisor)</t>
        </is>
      </c>
      <c r="BF507" s="66" t="inlineStr">
        <is>
          <t/>
        </is>
      </c>
      <c r="BG507" s="67" t="n">
        <v>41913.0</v>
      </c>
      <c r="BH507" s="68" t="n">
        <v>1.8</v>
      </c>
      <c r="BI507" s="69" t="inlineStr">
        <is>
          <t>Actual</t>
        </is>
      </c>
      <c r="BJ507" s="70" t="inlineStr">
        <is>
          <t/>
        </is>
      </c>
      <c r="BK507" s="71" t="inlineStr">
        <is>
          <t/>
        </is>
      </c>
      <c r="BL507" s="72" t="inlineStr">
        <is>
          <t>Seed Round</t>
        </is>
      </c>
      <c r="BM507" s="73" t="inlineStr">
        <is>
          <t>Seed</t>
        </is>
      </c>
      <c r="BN507" s="74" t="inlineStr">
        <is>
          <t/>
        </is>
      </c>
      <c r="BO507" s="75" t="inlineStr">
        <is>
          <t>Individual</t>
        </is>
      </c>
      <c r="BP507" s="76" t="inlineStr">
        <is>
          <t/>
        </is>
      </c>
      <c r="BQ507" s="77" t="inlineStr">
        <is>
          <t/>
        </is>
      </c>
      <c r="BR507" s="78" t="inlineStr">
        <is>
          <t/>
        </is>
      </c>
      <c r="BS507" s="79" t="inlineStr">
        <is>
          <t>Completed</t>
        </is>
      </c>
      <c r="BT507" s="80" t="n">
        <v>42697.0</v>
      </c>
      <c r="BU507" s="81" t="n">
        <v>30.0</v>
      </c>
      <c r="BV507" s="82" t="inlineStr">
        <is>
          <t>Actual</t>
        </is>
      </c>
      <c r="BW507" s="83" t="inlineStr">
        <is>
          <t/>
        </is>
      </c>
      <c r="BX507" s="84" t="inlineStr">
        <is>
          <t/>
        </is>
      </c>
      <c r="BY507" s="85" t="inlineStr">
        <is>
          <t>Early Stage VC</t>
        </is>
      </c>
      <c r="BZ507" s="86" t="inlineStr">
        <is>
          <t>Series B</t>
        </is>
      </c>
      <c r="CA507" s="87" t="inlineStr">
        <is>
          <t/>
        </is>
      </c>
      <c r="CB507" s="88" t="inlineStr">
        <is>
          <t>Venture Capital</t>
        </is>
      </c>
      <c r="CC507" s="89" t="inlineStr">
        <is>
          <t/>
        </is>
      </c>
      <c r="CD507" s="90" t="inlineStr">
        <is>
          <t/>
        </is>
      </c>
      <c r="CE507" s="91" t="inlineStr">
        <is>
          <t/>
        </is>
      </c>
      <c r="CF507" s="92" t="inlineStr">
        <is>
          <t>Completed</t>
        </is>
      </c>
      <c r="CG507" s="93" t="inlineStr">
        <is>
          <t>-4,36%</t>
        </is>
      </c>
      <c r="CH507" s="94" t="inlineStr">
        <is>
          <t>1</t>
        </is>
      </c>
      <c r="CI507" s="95" t="inlineStr">
        <is>
          <t>-0,51%</t>
        </is>
      </c>
      <c r="CJ507" s="96" t="inlineStr">
        <is>
          <t>-13,33%</t>
        </is>
      </c>
      <c r="CK507" s="97" t="inlineStr">
        <is>
          <t>-8,44%</t>
        </is>
      </c>
      <c r="CL507" s="98" t="inlineStr">
        <is>
          <t>1</t>
        </is>
      </c>
      <c r="CM507" s="99" t="inlineStr">
        <is>
          <t>-0,28%</t>
        </is>
      </c>
      <c r="CN507" s="100" t="inlineStr">
        <is>
          <t>1</t>
        </is>
      </c>
      <c r="CO507" s="101" t="inlineStr">
        <is>
          <t>-16,82%</t>
        </is>
      </c>
      <c r="CP507" s="102" t="inlineStr">
        <is>
          <t>1</t>
        </is>
      </c>
      <c r="CQ507" s="103" t="inlineStr">
        <is>
          <t>-0,07%</t>
        </is>
      </c>
      <c r="CR507" s="104" t="inlineStr">
        <is>
          <t>12</t>
        </is>
      </c>
      <c r="CS507" s="105" t="inlineStr">
        <is>
          <t/>
        </is>
      </c>
      <c r="CT507" s="106" t="inlineStr">
        <is>
          <t/>
        </is>
      </c>
      <c r="CU507" s="107" t="inlineStr">
        <is>
          <t>-0,28%</t>
        </is>
      </c>
      <c r="CV507" s="108" t="inlineStr">
        <is>
          <t>2</t>
        </is>
      </c>
      <c r="CW507" s="109" t="inlineStr">
        <is>
          <t>2,08x</t>
        </is>
      </c>
      <c r="CX507" s="110" t="inlineStr">
        <is>
          <t>65</t>
        </is>
      </c>
      <c r="CY507" s="111" t="inlineStr">
        <is>
          <t>0,03x</t>
        </is>
      </c>
      <c r="CZ507" s="112" t="inlineStr">
        <is>
          <t>1,31%</t>
        </is>
      </c>
      <c r="DA507" s="113" t="inlineStr">
        <is>
          <t>3,28x</t>
        </is>
      </c>
      <c r="DB507" s="114" t="inlineStr">
        <is>
          <t>74</t>
        </is>
      </c>
      <c r="DC507" s="115" t="inlineStr">
        <is>
          <t>0,88x</t>
        </is>
      </c>
      <c r="DD507" s="116" t="inlineStr">
        <is>
          <t>46</t>
        </is>
      </c>
      <c r="DE507" s="117" t="inlineStr">
        <is>
          <t>1,72x</t>
        </is>
      </c>
      <c r="DF507" s="118" t="inlineStr">
        <is>
          <t>61</t>
        </is>
      </c>
      <c r="DG507" s="119" t="inlineStr">
        <is>
          <t>4,83x</t>
        </is>
      </c>
      <c r="DH507" s="120" t="inlineStr">
        <is>
          <t>78</t>
        </is>
      </c>
      <c r="DI507" s="121" t="inlineStr">
        <is>
          <t/>
        </is>
      </c>
      <c r="DJ507" s="122" t="inlineStr">
        <is>
          <t/>
        </is>
      </c>
      <c r="DK507" s="123" t="inlineStr">
        <is>
          <t>0,88x</t>
        </is>
      </c>
      <c r="DL507" s="124" t="inlineStr">
        <is>
          <t>48</t>
        </is>
      </c>
      <c r="DM507" s="125" t="inlineStr">
        <is>
          <t>1.133</t>
        </is>
      </c>
      <c r="DN507" s="126" t="inlineStr">
        <is>
          <t>-230</t>
        </is>
      </c>
      <c r="DO507" s="127" t="inlineStr">
        <is>
          <t>-16,87%</t>
        </is>
      </c>
      <c r="DP507" s="128" t="inlineStr">
        <is>
          <t/>
        </is>
      </c>
      <c r="DQ507" s="129" t="inlineStr">
        <is>
          <t/>
        </is>
      </c>
      <c r="DR507" s="130" t="inlineStr">
        <is>
          <t/>
        </is>
      </c>
      <c r="DS507" s="131" t="inlineStr">
        <is>
          <t>175</t>
        </is>
      </c>
      <c r="DT507" s="132" t="inlineStr">
        <is>
          <t>-2</t>
        </is>
      </c>
      <c r="DU507" s="133" t="inlineStr">
        <is>
          <t>-1,13%</t>
        </is>
      </c>
      <c r="DV507" s="134" t="inlineStr">
        <is>
          <t>301</t>
        </is>
      </c>
      <c r="DW507" s="135" t="inlineStr">
        <is>
          <t>1</t>
        </is>
      </c>
      <c r="DX507" s="136" t="inlineStr">
        <is>
          <t>0,33%</t>
        </is>
      </c>
      <c r="DY507" s="137" t="inlineStr">
        <is>
          <t>PitchBook Research</t>
        </is>
      </c>
      <c r="DZ507" s="785">
        <f>HYPERLINK("https://my.pitchbook.com?c=125698-96", "View company online")</f>
      </c>
    </row>
    <row r="508">
      <c r="A508" s="139" t="inlineStr">
        <is>
          <t>61963-48</t>
        </is>
      </c>
      <c r="B508" s="140" t="inlineStr">
        <is>
          <t>Xapo</t>
        </is>
      </c>
      <c r="C508" s="141" t="inlineStr">
        <is>
          <t/>
        </is>
      </c>
      <c r="D508" s="142" t="inlineStr">
        <is>
          <t/>
        </is>
      </c>
      <c r="E508" s="143" t="inlineStr">
        <is>
          <t>61963-48</t>
        </is>
      </c>
      <c r="F508" s="144" t="inlineStr">
        <is>
          <t>Provider of bitcoin security services. The company provides a peer to peer payment system and digital currency to its clients. It also provides customers with access to a digital wallet and digital vault for their bitcoin accounts.</t>
        </is>
      </c>
      <c r="G508" s="145" t="inlineStr">
        <is>
          <t>Information Technology</t>
        </is>
      </c>
      <c r="H508" s="146" t="inlineStr">
        <is>
          <t>Software</t>
        </is>
      </c>
      <c r="I508" s="147" t="inlineStr">
        <is>
          <t>Financial Software</t>
        </is>
      </c>
      <c r="J508" s="148" t="inlineStr">
        <is>
          <t>Financial Software*; Other Financial Services; Social/Platform Software</t>
        </is>
      </c>
      <c r="K508" s="149" t="inlineStr">
        <is>
          <t>FinTech</t>
        </is>
      </c>
      <c r="L508" s="150" t="inlineStr">
        <is>
          <t>Venture Capital-Backed</t>
        </is>
      </c>
      <c r="M508" s="151" t="n">
        <v>29.2</v>
      </c>
      <c r="N508" s="152" t="inlineStr">
        <is>
          <t>Startup</t>
        </is>
      </c>
      <c r="O508" s="153" t="inlineStr">
        <is>
          <t>Privately Held (backing)</t>
        </is>
      </c>
      <c r="P508" s="154" t="inlineStr">
        <is>
          <t>Venture Capital</t>
        </is>
      </c>
      <c r="Q508" s="155" t="inlineStr">
        <is>
          <t>www.xapo.com</t>
        </is>
      </c>
      <c r="R508" s="156" t="inlineStr">
        <is>
          <t/>
        </is>
      </c>
      <c r="S508" s="157" t="inlineStr">
        <is>
          <t/>
        </is>
      </c>
      <c r="T508" s="158" t="inlineStr">
        <is>
          <t/>
        </is>
      </c>
      <c r="U508" s="159" t="n">
        <v>2013.0</v>
      </c>
      <c r="V508" s="160" t="inlineStr">
        <is>
          <t/>
        </is>
      </c>
      <c r="W508" s="161" t="inlineStr">
        <is>
          <t/>
        </is>
      </c>
      <c r="X508" s="162" t="inlineStr">
        <is>
          <t/>
        </is>
      </c>
      <c r="Y508" s="163" t="inlineStr">
        <is>
          <t/>
        </is>
      </c>
      <c r="Z508" s="164" t="inlineStr">
        <is>
          <t/>
        </is>
      </c>
      <c r="AA508" s="165" t="inlineStr">
        <is>
          <t/>
        </is>
      </c>
      <c r="AB508" s="166" t="inlineStr">
        <is>
          <t/>
        </is>
      </c>
      <c r="AC508" s="167" t="inlineStr">
        <is>
          <t/>
        </is>
      </c>
      <c r="AD508" s="168" t="inlineStr">
        <is>
          <t/>
        </is>
      </c>
      <c r="AE508" s="169" t="inlineStr">
        <is>
          <t>40098-43P</t>
        </is>
      </c>
      <c r="AF508" s="170" t="inlineStr">
        <is>
          <t>Federico Murrone</t>
        </is>
      </c>
      <c r="AG508" s="171" t="inlineStr">
        <is>
          <t>Chief Operating Officer &amp; Co-Founder</t>
        </is>
      </c>
      <c r="AH508" s="172" t="inlineStr">
        <is>
          <t>federico.murrone@xapo.com</t>
        </is>
      </c>
      <c r="AI508" s="173" t="inlineStr">
        <is>
          <t/>
        </is>
      </c>
      <c r="AJ508" s="174" t="inlineStr">
        <is>
          <t>Zurich, Switzerland</t>
        </is>
      </c>
      <c r="AK508" s="175" t="inlineStr">
        <is>
          <t/>
        </is>
      </c>
      <c r="AL508" s="176" t="inlineStr">
        <is>
          <t/>
        </is>
      </c>
      <c r="AM508" s="177" t="inlineStr">
        <is>
          <t>Zurich</t>
        </is>
      </c>
      <c r="AN508" s="178" t="inlineStr">
        <is>
          <t/>
        </is>
      </c>
      <c r="AO508" s="179" t="inlineStr">
        <is>
          <t/>
        </is>
      </c>
      <c r="AP508" s="180" t="inlineStr">
        <is>
          <t>Switzerland</t>
        </is>
      </c>
      <c r="AQ508" s="181" t="inlineStr">
        <is>
          <t/>
        </is>
      </c>
      <c r="AR508" s="182" t="inlineStr">
        <is>
          <t/>
        </is>
      </c>
      <c r="AS508" s="183" t="inlineStr">
        <is>
          <t>info@xapo.com</t>
        </is>
      </c>
      <c r="AT508" s="184" t="inlineStr">
        <is>
          <t>Europe</t>
        </is>
      </c>
      <c r="AU508" s="185" t="inlineStr">
        <is>
          <t>Western Europe</t>
        </is>
      </c>
      <c r="AV508" s="186" t="inlineStr">
        <is>
          <t>The company raised $20 million of Series A1 venture funding in a deal led by Greylock Partners and Index Ventures on June 1, 2014. Santi Subotovsky, Slow Ventures, Crypto Currency Partners, AME Cloud Ventures, Emergence Capital Partners, Dave Morin, Jerry Yang, Digital Sky Technologies, Max Levchin, Joe Greenstein, Kevin Colleran, Yuri Milner, BitFury Capital and Digital Currency Group also participated in the round. The company will use the funds to make bitcoin more accessible to the general user and to further protect BTC in "cold storage" on its servers. Previously the company raised $20 million of Series A venture funding in a deal led by Benchmark Capital on March 14, 2014. Ribbit Capital, Winklevoss Capital Management, Pantera Capital and Fortress Investment Group also participated in the round.</t>
        </is>
      </c>
      <c r="AW508" s="187" t="inlineStr">
        <is>
          <t>AME Cloud Ventures, Benchmark Capital, BitFury Capital, Blockchain Capital, Dave Morin, David Marcus, Digital Currency Group, DST Global, Emergence Capital Partners, Fortress Investment Group, Greylock Partners, Index Ventures (UK), Jerry Yang, Joe Greenstein, Kevin Colleran, Max Levchin, Pantera Capital, Ribbit Capital, Slow Ventures, Swiss Finance Startups, Winklevoss Capital Management, Yuri Milner</t>
        </is>
      </c>
      <c r="AX508" s="188" t="n">
        <v>22.0</v>
      </c>
      <c r="AY508" s="189" t="inlineStr">
        <is>
          <t/>
        </is>
      </c>
      <c r="AZ508" s="190" t="inlineStr">
        <is>
          <t/>
        </is>
      </c>
      <c r="BA508" s="191" t="inlineStr">
        <is>
          <t/>
        </is>
      </c>
      <c r="BB508" s="192" t="inlineStr">
        <is>
          <t>AME Cloud Ventures (www.amecloudventures.com), Benchmark Capital (www.benchmark.com), BitFury Capital (www.bitfurycap.com), Digital Currency Group (www.dcg.co), DST Global (www.dst-global.com), Emergence Capital Partners (www.emcap.com), Fortress Investment Group (www.fortress.com), Greylock Partners (www.greylock.com), Index Ventures (UK) (www.indexventures.com), Kevin Colleran (facebook.com/kevin), Max Levchin (www.levchin.com), Pantera Capital (www.panteracapital.com), Ribbit Capital (www.ribbitcap.com), Slow Ventures (www.slowventures.com), Swiss Finance Startups (www.swissfinancestartups.com), Winklevoss Capital Management (www.winklevosscapital.com)</t>
        </is>
      </c>
      <c r="BC508" s="193" t="inlineStr">
        <is>
          <t/>
        </is>
      </c>
      <c r="BD508" s="194" t="inlineStr">
        <is>
          <t/>
        </is>
      </c>
      <c r="BE508" s="195" t="inlineStr">
        <is>
          <t>Goodwin (Legal Advisor)</t>
        </is>
      </c>
      <c r="BF508" s="196" t="inlineStr">
        <is>
          <t>Goodwin (Legal Advisor)</t>
        </is>
      </c>
      <c r="BG508" s="197" t="inlineStr">
        <is>
          <t/>
        </is>
      </c>
      <c r="BH508" s="198" t="inlineStr">
        <is>
          <t/>
        </is>
      </c>
      <c r="BI508" s="199" t="inlineStr">
        <is>
          <t/>
        </is>
      </c>
      <c r="BJ508" s="200" t="inlineStr">
        <is>
          <t/>
        </is>
      </c>
      <c r="BK508" s="201" t="inlineStr">
        <is>
          <t/>
        </is>
      </c>
      <c r="BL508" s="202" t="inlineStr">
        <is>
          <t>Accelerator/Incubator</t>
        </is>
      </c>
      <c r="BM508" s="203" t="inlineStr">
        <is>
          <t/>
        </is>
      </c>
      <c r="BN508" s="204" t="inlineStr">
        <is>
          <t/>
        </is>
      </c>
      <c r="BO508" s="205" t="inlineStr">
        <is>
          <t>Other</t>
        </is>
      </c>
      <c r="BP508" s="206" t="inlineStr">
        <is>
          <t/>
        </is>
      </c>
      <c r="BQ508" s="207" t="inlineStr">
        <is>
          <t/>
        </is>
      </c>
      <c r="BR508" s="208" t="inlineStr">
        <is>
          <t/>
        </is>
      </c>
      <c r="BS508" s="209" t="inlineStr">
        <is>
          <t>Completed</t>
        </is>
      </c>
      <c r="BT508" s="210" t="n">
        <v>41791.0</v>
      </c>
      <c r="BU508" s="211" t="n">
        <v>14.73</v>
      </c>
      <c r="BV508" s="212" t="inlineStr">
        <is>
          <t>Actual</t>
        </is>
      </c>
      <c r="BW508" s="213" t="inlineStr">
        <is>
          <t/>
        </is>
      </c>
      <c r="BX508" s="214" t="inlineStr">
        <is>
          <t/>
        </is>
      </c>
      <c r="BY508" s="215" t="inlineStr">
        <is>
          <t>Early Stage VC</t>
        </is>
      </c>
      <c r="BZ508" s="216" t="inlineStr">
        <is>
          <t>Series A1</t>
        </is>
      </c>
      <c r="CA508" s="217" t="inlineStr">
        <is>
          <t/>
        </is>
      </c>
      <c r="CB508" s="218" t="inlineStr">
        <is>
          <t>Venture Capital</t>
        </is>
      </c>
      <c r="CC508" s="219" t="inlineStr">
        <is>
          <t/>
        </is>
      </c>
      <c r="CD508" s="220" t="inlineStr">
        <is>
          <t/>
        </is>
      </c>
      <c r="CE508" s="221" t="inlineStr">
        <is>
          <t/>
        </is>
      </c>
      <c r="CF508" s="222" t="inlineStr">
        <is>
          <t>Completed</t>
        </is>
      </c>
      <c r="CG508" s="223" t="inlineStr">
        <is>
          <t>0,77%</t>
        </is>
      </c>
      <c r="CH508" s="224" t="inlineStr">
        <is>
          <t>87</t>
        </is>
      </c>
      <c r="CI508" s="225" t="inlineStr">
        <is>
          <t>-0,07%</t>
        </is>
      </c>
      <c r="CJ508" s="226" t="inlineStr">
        <is>
          <t>-8,77%</t>
        </is>
      </c>
      <c r="CK508" s="227" t="inlineStr">
        <is>
          <t>-0,46%</t>
        </is>
      </c>
      <c r="CL508" s="228" t="inlineStr">
        <is>
          <t>12</t>
        </is>
      </c>
      <c r="CM508" s="229" t="inlineStr">
        <is>
          <t>1,18%</t>
        </is>
      </c>
      <c r="CN508" s="230" t="inlineStr">
        <is>
          <t>97</t>
        </is>
      </c>
      <c r="CO508" s="231" t="inlineStr">
        <is>
          <t>-1,87%</t>
        </is>
      </c>
      <c r="CP508" s="232" t="inlineStr">
        <is>
          <t>16</t>
        </is>
      </c>
      <c r="CQ508" s="233" t="inlineStr">
        <is>
          <t>0,95%</t>
        </is>
      </c>
      <c r="CR508" s="234" t="inlineStr">
        <is>
          <t>88</t>
        </is>
      </c>
      <c r="CS508" s="235" t="inlineStr">
        <is>
          <t>0,27%</t>
        </is>
      </c>
      <c r="CT508" s="236" t="inlineStr">
        <is>
          <t>77</t>
        </is>
      </c>
      <c r="CU508" s="237" t="inlineStr">
        <is>
          <t>2,08%</t>
        </is>
      </c>
      <c r="CV508" s="238" t="inlineStr">
        <is>
          <t>99</t>
        </is>
      </c>
      <c r="CW508" s="239" t="inlineStr">
        <is>
          <t>158,86x</t>
        </is>
      </c>
      <c r="CX508" s="240" t="inlineStr">
        <is>
          <t>98</t>
        </is>
      </c>
      <c r="CY508" s="241" t="inlineStr">
        <is>
          <t>0,65x</t>
        </is>
      </c>
      <c r="CZ508" s="242" t="inlineStr">
        <is>
          <t>0,41%</t>
        </is>
      </c>
      <c r="DA508" s="243" t="inlineStr">
        <is>
          <t>406,70x</t>
        </is>
      </c>
      <c r="DB508" s="244" t="inlineStr">
        <is>
          <t>100</t>
        </is>
      </c>
      <c r="DC508" s="245" t="inlineStr">
        <is>
          <t>65,21x</t>
        </is>
      </c>
      <c r="DD508" s="246" t="inlineStr">
        <is>
          <t>95</t>
        </is>
      </c>
      <c r="DE508" s="247" t="inlineStr">
        <is>
          <t>800,03x</t>
        </is>
      </c>
      <c r="DF508" s="248" t="inlineStr">
        <is>
          <t>99</t>
        </is>
      </c>
      <c r="DG508" s="249" t="inlineStr">
        <is>
          <t>13,36x</t>
        </is>
      </c>
      <c r="DH508" s="250" t="inlineStr">
        <is>
          <t>89</t>
        </is>
      </c>
      <c r="DI508" s="251" t="inlineStr">
        <is>
          <t>76,19x</t>
        </is>
      </c>
      <c r="DJ508" s="252" t="inlineStr">
        <is>
          <t>94</t>
        </is>
      </c>
      <c r="DK508" s="253" t="inlineStr">
        <is>
          <t>54,23x</t>
        </is>
      </c>
      <c r="DL508" s="254" t="inlineStr">
        <is>
          <t>96</t>
        </is>
      </c>
      <c r="DM508" s="255" t="inlineStr">
        <is>
          <t>491.134</t>
        </is>
      </c>
      <c r="DN508" s="256" t="inlineStr">
        <is>
          <t>2.654</t>
        </is>
      </c>
      <c r="DO508" s="257" t="inlineStr">
        <is>
          <t>0,54%</t>
        </is>
      </c>
      <c r="DP508" s="258" t="inlineStr">
        <is>
          <t>60.819</t>
        </is>
      </c>
      <c r="DQ508" s="259" t="inlineStr">
        <is>
          <t>134</t>
        </is>
      </c>
      <c r="DR508" s="260" t="inlineStr">
        <is>
          <t>0,22%</t>
        </is>
      </c>
      <c r="DS508" s="261" t="inlineStr">
        <is>
          <t>483</t>
        </is>
      </c>
      <c r="DT508" s="262" t="inlineStr">
        <is>
          <t>-5</t>
        </is>
      </c>
      <c r="DU508" s="263" t="inlineStr">
        <is>
          <t>-1,02%</t>
        </is>
      </c>
      <c r="DV508" s="264" t="inlineStr">
        <is>
          <t>18.506</t>
        </is>
      </c>
      <c r="DW508" s="265" t="inlineStr">
        <is>
          <t>310</t>
        </is>
      </c>
      <c r="DX508" s="266" t="inlineStr">
        <is>
          <t>1,70%</t>
        </is>
      </c>
      <c r="DY508" s="267" t="inlineStr">
        <is>
          <t>PitchBook Research</t>
        </is>
      </c>
      <c r="DZ508" s="786">
        <f>HYPERLINK("https://my.pitchbook.com?c=61963-48", "View company online")</f>
      </c>
    </row>
    <row r="511">
      <c r="A511" s="787" t="inlineStr">
        <is>
          <t>© PitchBook Data, Inc. 2017</t>
        </is>
      </c>
    </row>
  </sheetData>
  <mergeCells count="1">
    <mergeCell ref="B4:D6"/>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dimension ref="A1"/>
  <sheetViews>
    <sheetView workbookViewId="0" showGridLines="false" tabSelected="false">
      <selection activeCell="A100" sqref="A100"/>
    </sheetView>
  </sheetViews>
  <sheetFormatPr defaultRowHeight="15.0"/>
  <cols>
    <col min="1" max="1" width="19.140625" customWidth="true"/>
    <col min="2" max="2" width="23.140625" customWidth="true"/>
    <col min="3" max="3" width="9.140625" customWidth="true"/>
    <col min="4" max="4" width="9.140625" customWidth="true"/>
    <col min="5" max="5" width="9.140625" customWidth="true"/>
    <col min="6" max="6" width="9.140625" customWidth="true"/>
    <col min="7" max="7" width="9.140625" customWidth="true"/>
    <col min="8" max="8" width="2.85546875" customWidth="true"/>
    <col min="9" max="9" width="26.42578125" customWidth="true"/>
  </cols>
  <sheetData>
    <row r="1">
      <c r="A1" t="s" s="788">
        <v>138</v>
      </c>
    </row>
    <row r="3">
      <c r="A3" t="s" s="789">
        <v>139</v>
      </c>
    </row>
    <row r="4">
      <c r="A4" t="s" s="797">
        <f>HYPERLINK("mailto:clientservices@pitchbook.com ", "clientservices@pitchbook.com ")</f>
      </c>
    </row>
    <row r="6">
      <c r="A6" t="s" s="791">
        <v>141</v>
      </c>
      <c r="B6" t="s" s="796">
        <f>HYPERLINK("http://www.pitchbook.com/agreement", "PitchBook User Agreement")</f>
      </c>
      <c r="C6" t="s" s="793">
        <v>143</v>
      </c>
    </row>
    <row r="8">
      <c r="A8" t="s" s="794">
        <v>144</v>
      </c>
      <c r="I8" t="s" s="798">
        <f>HYPERLINK("mailto:clientservices@pitchbook.com", "clientservices@pitchbook.com.")</f>
      </c>
    </row>
    <row r="10">
      <c r="A10" t="s" s="799">
        <v>146</v>
      </c>
    </row>
    <row r="21">
      <c r="A21"/>
    </row>
  </sheetData>
  <sheetProtection password="C9C1" sheet="true" scenarios="true" objects="true"/>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2010-12-15T16:54:07Z</dcterms:created>
  <dc:creator>PitchBook</dc:creator>
  <lastModifiedBy>PitchBook</lastModifiedBy>
  <dcterms:modified xsi:type="dcterms:W3CDTF">2012-10-16T07:15:39Z</dcterms:modified>
</coreProperties>
</file>