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GENTA 2026\OFERTA RETA FINAL VENDA DIRETA\"/>
    </mc:Choice>
  </mc:AlternateContent>
  <xr:revisionPtr revIDLastSave="0" documentId="8_{52262460-EFE0-4712-B950-BEF7362ABFFA}" xr6:coauthVersionLast="47" xr6:coauthVersionMax="47" xr10:uidLastSave="{00000000-0000-0000-0000-000000000000}"/>
  <bookViews>
    <workbookView xWindow="-110" yWindow="-110" windowWidth="19420" windowHeight="10300" xr2:uid="{3A53CA07-18EB-4D5E-86F6-0B8B63611D61}"/>
  </bookViews>
  <sheets>
    <sheet name="SIMULADOR NUTRADE" sheetId="14" r:id="rId1"/>
    <sheet name="SIMULADOR ABC OFICIAL" sheetId="13" r:id="rId2"/>
    <sheet name="REGRAS GERAIS" sheetId="10" r:id="rId3"/>
    <sheet name="OFERTAS" sheetId="6" r:id="rId4"/>
    <sheet name="REGRAS BARTER" sheetId="7" r:id="rId5"/>
    <sheet name="REGRAS SYDE" sheetId="9" r:id="rId6"/>
    <sheet name="MILHO SAFRINHA" sheetId="1" state="hidden" r:id="rId7"/>
    <sheet name="ALGODÃO" sheetId="4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9" i="14" l="1"/>
  <c r="G289" i="14"/>
  <c r="F289" i="14"/>
  <c r="E289" i="14"/>
  <c r="D289" i="14"/>
  <c r="N288" i="14"/>
  <c r="E288" i="14"/>
  <c r="G288" i="14" s="1"/>
  <c r="D288" i="14"/>
  <c r="N287" i="14"/>
  <c r="F287" i="14"/>
  <c r="E287" i="14"/>
  <c r="D287" i="14"/>
  <c r="M286" i="14"/>
  <c r="O286" i="14" s="1"/>
  <c r="E286" i="14"/>
  <c r="E290" i="14" s="1"/>
  <c r="D286" i="14"/>
  <c r="M285" i="14"/>
  <c r="O285" i="14" s="1"/>
  <c r="F285" i="14"/>
  <c r="E285" i="14"/>
  <c r="D285" i="14"/>
  <c r="M284" i="14"/>
  <c r="E284" i="14"/>
  <c r="F284" i="14" s="1"/>
  <c r="D284" i="14"/>
  <c r="O279" i="14"/>
  <c r="N279" i="14"/>
  <c r="F279" i="14"/>
  <c r="E279" i="14"/>
  <c r="D279" i="14"/>
  <c r="N278" i="14"/>
  <c r="F278" i="14"/>
  <c r="E278" i="14"/>
  <c r="D278" i="14"/>
  <c r="O277" i="14"/>
  <c r="N277" i="14"/>
  <c r="F277" i="14"/>
  <c r="E277" i="14"/>
  <c r="D277" i="14"/>
  <c r="M276" i="14"/>
  <c r="O276" i="14" s="1"/>
  <c r="E276" i="14"/>
  <c r="F276" i="14" s="1"/>
  <c r="D276" i="14"/>
  <c r="M275" i="14"/>
  <c r="E275" i="14"/>
  <c r="G275" i="14" s="1"/>
  <c r="D275" i="14"/>
  <c r="N274" i="14"/>
  <c r="M274" i="14"/>
  <c r="E274" i="14"/>
  <c r="D274" i="14"/>
  <c r="N265" i="14"/>
  <c r="G265" i="14"/>
  <c r="F265" i="14"/>
  <c r="E265" i="14"/>
  <c r="D265" i="14"/>
  <c r="N264" i="14"/>
  <c r="E264" i="14"/>
  <c r="D264" i="14"/>
  <c r="N263" i="14"/>
  <c r="F263" i="14"/>
  <c r="E263" i="14"/>
  <c r="D263" i="14"/>
  <c r="M262" i="14"/>
  <c r="O262" i="14" s="1"/>
  <c r="E262" i="14"/>
  <c r="D262" i="14"/>
  <c r="M261" i="14"/>
  <c r="F261" i="14"/>
  <c r="E261" i="14"/>
  <c r="D261" i="14"/>
  <c r="M260" i="14"/>
  <c r="E260" i="14"/>
  <c r="F260" i="14" s="1"/>
  <c r="D260" i="14"/>
  <c r="E256" i="14"/>
  <c r="N255" i="14"/>
  <c r="G255" i="14"/>
  <c r="F255" i="14"/>
  <c r="E255" i="14"/>
  <c r="N254" i="14"/>
  <c r="F254" i="14"/>
  <c r="E254" i="14"/>
  <c r="N253" i="14"/>
  <c r="E253" i="14"/>
  <c r="M252" i="14"/>
  <c r="N252" i="14" s="1"/>
  <c r="E252" i="14"/>
  <c r="G252" i="14" s="1"/>
  <c r="M251" i="14"/>
  <c r="E251" i="14"/>
  <c r="M250" i="14"/>
  <c r="E250" i="14"/>
  <c r="O248" i="14"/>
  <c r="M248" i="14"/>
  <c r="G248" i="14"/>
  <c r="E248" i="14"/>
  <c r="N238" i="14"/>
  <c r="E238" i="14"/>
  <c r="F238" i="14" s="1"/>
  <c r="D238" i="14"/>
  <c r="M239" i="14" s="1"/>
  <c r="O237" i="14"/>
  <c r="N237" i="14"/>
  <c r="G237" i="14"/>
  <c r="F237" i="14"/>
  <c r="E237" i="14"/>
  <c r="D237" i="14"/>
  <c r="M236" i="14"/>
  <c r="E236" i="14"/>
  <c r="D236" i="14"/>
  <c r="E232" i="14"/>
  <c r="O231" i="14"/>
  <c r="N231" i="14"/>
  <c r="G231" i="14"/>
  <c r="F231" i="14"/>
  <c r="E231" i="14"/>
  <c r="D231" i="14"/>
  <c r="N230" i="14"/>
  <c r="E230" i="14"/>
  <c r="F230" i="14" s="1"/>
  <c r="D230" i="14"/>
  <c r="M229" i="14"/>
  <c r="N229" i="14" s="1"/>
  <c r="N232" i="14" s="1"/>
  <c r="E229" i="14"/>
  <c r="G229" i="14" s="1"/>
  <c r="D229" i="14"/>
  <c r="N220" i="14"/>
  <c r="F220" i="14"/>
  <c r="E220" i="14"/>
  <c r="G220" i="14" s="1"/>
  <c r="D220" i="14"/>
  <c r="O219" i="14"/>
  <c r="N219" i="14"/>
  <c r="N221" i="14" s="1"/>
  <c r="F219" i="14"/>
  <c r="E219" i="14"/>
  <c r="D219" i="14"/>
  <c r="N218" i="14"/>
  <c r="M218" i="14"/>
  <c r="E218" i="14"/>
  <c r="D218" i="14"/>
  <c r="M214" i="14"/>
  <c r="N213" i="14"/>
  <c r="F213" i="14"/>
  <c r="E213" i="14"/>
  <c r="N212" i="14"/>
  <c r="F212" i="14"/>
  <c r="E212" i="14"/>
  <c r="N211" i="14"/>
  <c r="N214" i="14" s="1"/>
  <c r="M211" i="14"/>
  <c r="O211" i="14" s="1"/>
  <c r="E211" i="14"/>
  <c r="O209" i="14"/>
  <c r="M209" i="14"/>
  <c r="G209" i="14"/>
  <c r="E209" i="14"/>
  <c r="F200" i="14"/>
  <c r="E200" i="14"/>
  <c r="N199" i="14"/>
  <c r="F199" i="14"/>
  <c r="D199" i="14"/>
  <c r="N198" i="14"/>
  <c r="F198" i="14"/>
  <c r="D198" i="14"/>
  <c r="O197" i="14"/>
  <c r="N197" i="14"/>
  <c r="F197" i="14"/>
  <c r="D197" i="14"/>
  <c r="M193" i="14"/>
  <c r="N192" i="14"/>
  <c r="F192" i="14"/>
  <c r="D192" i="14"/>
  <c r="N191" i="14"/>
  <c r="G191" i="14"/>
  <c r="F191" i="14"/>
  <c r="D191" i="14"/>
  <c r="N190" i="14"/>
  <c r="N193" i="14" s="1"/>
  <c r="F190" i="14"/>
  <c r="D190" i="14"/>
  <c r="E193" i="14" s="1"/>
  <c r="N181" i="14"/>
  <c r="M181" i="14"/>
  <c r="F181" i="14"/>
  <c r="E181" i="14"/>
  <c r="D181" i="14"/>
  <c r="M180" i="14"/>
  <c r="O180" i="14" s="1"/>
  <c r="G180" i="14"/>
  <c r="F180" i="14"/>
  <c r="E180" i="14"/>
  <c r="E182" i="14" s="1"/>
  <c r="D180" i="14"/>
  <c r="N179" i="14"/>
  <c r="E179" i="14"/>
  <c r="D179" i="14"/>
  <c r="M175" i="14"/>
  <c r="F175" i="14"/>
  <c r="N174" i="14"/>
  <c r="M174" i="14"/>
  <c r="E174" i="14"/>
  <c r="F174" i="14" s="1"/>
  <c r="M173" i="14"/>
  <c r="O173" i="14" s="1"/>
  <c r="F173" i="14"/>
  <c r="E173" i="14"/>
  <c r="N172" i="14"/>
  <c r="F172" i="14"/>
  <c r="E172" i="14"/>
  <c r="O170" i="14"/>
  <c r="M170" i="14"/>
  <c r="G170" i="14"/>
  <c r="E170" i="14"/>
  <c r="N160" i="14"/>
  <c r="G160" i="14"/>
  <c r="F160" i="14"/>
  <c r="E160" i="14"/>
  <c r="D160" i="14"/>
  <c r="N159" i="14"/>
  <c r="E159" i="14"/>
  <c r="D159" i="14"/>
  <c r="O154" i="14"/>
  <c r="N154" i="14"/>
  <c r="E154" i="14"/>
  <c r="F154" i="14" s="1"/>
  <c r="D154" i="14"/>
  <c r="N153" i="14"/>
  <c r="N155" i="14" s="1"/>
  <c r="E153" i="14"/>
  <c r="D153" i="14"/>
  <c r="E147" i="14"/>
  <c r="M144" i="14"/>
  <c r="E144" i="14"/>
  <c r="E148" i="14" s="1"/>
  <c r="D144" i="14"/>
  <c r="O143" i="14"/>
  <c r="N143" i="14"/>
  <c r="G143" i="14"/>
  <c r="F143" i="14"/>
  <c r="E143" i="14"/>
  <c r="D143" i="14"/>
  <c r="N139" i="14"/>
  <c r="M139" i="14"/>
  <c r="O138" i="14"/>
  <c r="N138" i="14"/>
  <c r="M138" i="14"/>
  <c r="E138" i="14"/>
  <c r="N137" i="14"/>
  <c r="E137" i="14"/>
  <c r="G137" i="14" s="1"/>
  <c r="O135" i="14"/>
  <c r="M135" i="14"/>
  <c r="G135" i="14"/>
  <c r="E135" i="14"/>
  <c r="E126" i="14"/>
  <c r="N125" i="14"/>
  <c r="E125" i="14"/>
  <c r="D125" i="14"/>
  <c r="O124" i="14"/>
  <c r="E124" i="14"/>
  <c r="G124" i="14" s="1"/>
  <c r="D124" i="14"/>
  <c r="M126" i="14" s="1"/>
  <c r="O119" i="14"/>
  <c r="F119" i="14"/>
  <c r="E119" i="14"/>
  <c r="D119" i="14"/>
  <c r="N118" i="14"/>
  <c r="E118" i="14"/>
  <c r="D118" i="14"/>
  <c r="M120" i="14" s="1"/>
  <c r="E113" i="14"/>
  <c r="E110" i="14"/>
  <c r="O109" i="14"/>
  <c r="N109" i="14"/>
  <c r="M109" i="14"/>
  <c r="E109" i="14"/>
  <c r="F109" i="14" s="1"/>
  <c r="D109" i="14"/>
  <c r="N108" i="14"/>
  <c r="M108" i="14"/>
  <c r="O108" i="14" s="1"/>
  <c r="E108" i="14"/>
  <c r="G108" i="14" s="1"/>
  <c r="D108" i="14"/>
  <c r="M103" i="14"/>
  <c r="O103" i="14" s="1"/>
  <c r="G103" i="14"/>
  <c r="F103" i="14"/>
  <c r="E103" i="14"/>
  <c r="O102" i="14"/>
  <c r="M102" i="14"/>
  <c r="N102" i="14" s="1"/>
  <c r="E102" i="14"/>
  <c r="O100" i="14"/>
  <c r="M100" i="14"/>
  <c r="G100" i="14"/>
  <c r="E100" i="14"/>
  <c r="O90" i="14"/>
  <c r="N90" i="14"/>
  <c r="F90" i="14"/>
  <c r="D90" i="14"/>
  <c r="N89" i="14"/>
  <c r="F89" i="14"/>
  <c r="D89" i="14"/>
  <c r="N88" i="14"/>
  <c r="N91" i="14" s="1"/>
  <c r="G88" i="14"/>
  <c r="F88" i="14"/>
  <c r="D88" i="14"/>
  <c r="O83" i="14"/>
  <c r="N83" i="14"/>
  <c r="G83" i="14"/>
  <c r="F83" i="14"/>
  <c r="D83" i="14"/>
  <c r="N82" i="14"/>
  <c r="F82" i="14"/>
  <c r="D82" i="14"/>
  <c r="N81" i="14"/>
  <c r="G81" i="14"/>
  <c r="F81" i="14"/>
  <c r="F84" i="14" s="1"/>
  <c r="D81" i="14"/>
  <c r="E73" i="14"/>
  <c r="M72" i="14"/>
  <c r="O72" i="14" s="1"/>
  <c r="G72" i="14"/>
  <c r="F72" i="14"/>
  <c r="E72" i="14"/>
  <c r="D72" i="14"/>
  <c r="M71" i="14"/>
  <c r="E71" i="14"/>
  <c r="D71" i="14"/>
  <c r="M70" i="14"/>
  <c r="F70" i="14"/>
  <c r="E70" i="14"/>
  <c r="D70" i="14"/>
  <c r="O65" i="14"/>
  <c r="N65" i="14"/>
  <c r="M65" i="14"/>
  <c r="G65" i="14"/>
  <c r="E65" i="14"/>
  <c r="F65" i="14" s="1"/>
  <c r="M64" i="14"/>
  <c r="O64" i="14" s="1"/>
  <c r="F64" i="14"/>
  <c r="E64" i="14"/>
  <c r="O63" i="14"/>
  <c r="O66" i="14" s="1"/>
  <c r="O67" i="14" s="1"/>
  <c r="N63" i="14"/>
  <c r="M63" i="14"/>
  <c r="E63" i="14"/>
  <c r="O61" i="14"/>
  <c r="M61" i="14"/>
  <c r="G61" i="14"/>
  <c r="E61" i="14"/>
  <c r="N51" i="14"/>
  <c r="G51" i="14"/>
  <c r="F51" i="14"/>
  <c r="D51" i="14"/>
  <c r="N50" i="14"/>
  <c r="F50" i="14"/>
  <c r="D50" i="14"/>
  <c r="O45" i="14"/>
  <c r="N45" i="14"/>
  <c r="G45" i="14"/>
  <c r="F45" i="14"/>
  <c r="D45" i="14"/>
  <c r="O44" i="14"/>
  <c r="O46" i="14" s="1"/>
  <c r="O47" i="14" s="1"/>
  <c r="N44" i="14"/>
  <c r="N46" i="14" s="1"/>
  <c r="F44" i="14"/>
  <c r="D44" i="14"/>
  <c r="M35" i="14"/>
  <c r="N35" i="14" s="1"/>
  <c r="F35" i="14"/>
  <c r="E35" i="14"/>
  <c r="D35" i="14"/>
  <c r="M34" i="14"/>
  <c r="E34" i="14"/>
  <c r="G34" i="14" s="1"/>
  <c r="D34" i="14"/>
  <c r="E30" i="14"/>
  <c r="M29" i="14"/>
  <c r="E29" i="14"/>
  <c r="F29" i="14" s="1"/>
  <c r="M28" i="14"/>
  <c r="E28" i="14"/>
  <c r="O26" i="14"/>
  <c r="M26" i="14"/>
  <c r="G26" i="14"/>
  <c r="E26" i="14"/>
  <c r="F8" i="14"/>
  <c r="E8" i="14"/>
  <c r="C8" i="14"/>
  <c r="F6" i="14"/>
  <c r="E6" i="14"/>
  <c r="D6" i="14"/>
  <c r="D8" i="14" s="1"/>
  <c r="C6" i="14"/>
  <c r="M193" i="13"/>
  <c r="M175" i="13"/>
  <c r="M155" i="13"/>
  <c r="M139" i="13"/>
  <c r="M120" i="13"/>
  <c r="M104" i="13"/>
  <c r="M84" i="13"/>
  <c r="M66" i="13"/>
  <c r="M46" i="13"/>
  <c r="M30" i="13"/>
  <c r="M214" i="13"/>
  <c r="M218" i="13"/>
  <c r="M211" i="13"/>
  <c r="M200" i="13"/>
  <c r="N289" i="13"/>
  <c r="E289" i="13"/>
  <c r="F289" i="13" s="1"/>
  <c r="D289" i="13"/>
  <c r="N288" i="13"/>
  <c r="E288" i="13"/>
  <c r="D288" i="13"/>
  <c r="N287" i="13"/>
  <c r="E287" i="13"/>
  <c r="F287" i="13" s="1"/>
  <c r="D287" i="13"/>
  <c r="M286" i="13"/>
  <c r="N286" i="13" s="1"/>
  <c r="E286" i="13"/>
  <c r="F286" i="13" s="1"/>
  <c r="D286" i="13"/>
  <c r="M285" i="13"/>
  <c r="N285" i="13" s="1"/>
  <c r="E285" i="13"/>
  <c r="F285" i="13" s="1"/>
  <c r="D285" i="13"/>
  <c r="M284" i="13"/>
  <c r="E284" i="13"/>
  <c r="F284" i="13" s="1"/>
  <c r="D284" i="13"/>
  <c r="N279" i="13"/>
  <c r="E279" i="13"/>
  <c r="D279" i="13"/>
  <c r="N278" i="13"/>
  <c r="E278" i="13"/>
  <c r="F278" i="13" s="1"/>
  <c r="D278" i="13"/>
  <c r="N277" i="13"/>
  <c r="E277" i="13"/>
  <c r="D277" i="13"/>
  <c r="M276" i="13"/>
  <c r="N276" i="13" s="1"/>
  <c r="E276" i="13"/>
  <c r="D276" i="13"/>
  <c r="M275" i="13"/>
  <c r="N275" i="13" s="1"/>
  <c r="E275" i="13"/>
  <c r="F275" i="13" s="1"/>
  <c r="D275" i="13"/>
  <c r="M274" i="13"/>
  <c r="N274" i="13" s="1"/>
  <c r="E274" i="13"/>
  <c r="D274" i="13"/>
  <c r="M280" i="13" s="1"/>
  <c r="N265" i="13"/>
  <c r="E265" i="13"/>
  <c r="D265" i="13"/>
  <c r="N264" i="13"/>
  <c r="E264" i="13"/>
  <c r="F264" i="13" s="1"/>
  <c r="D264" i="13"/>
  <c r="N263" i="13"/>
  <c r="E263" i="13"/>
  <c r="F263" i="13" s="1"/>
  <c r="D263" i="13"/>
  <c r="M262" i="13"/>
  <c r="E262" i="13"/>
  <c r="F262" i="13" s="1"/>
  <c r="D262" i="13"/>
  <c r="M261" i="13"/>
  <c r="E261" i="13"/>
  <c r="F261" i="13" s="1"/>
  <c r="D261" i="13"/>
  <c r="M260" i="13"/>
  <c r="N260" i="13" s="1"/>
  <c r="E260" i="13"/>
  <c r="F260" i="13" s="1"/>
  <c r="D260" i="13"/>
  <c r="N255" i="13"/>
  <c r="E255" i="13"/>
  <c r="N254" i="13"/>
  <c r="E254" i="13"/>
  <c r="N253" i="13"/>
  <c r="E253" i="13"/>
  <c r="F253" i="13" s="1"/>
  <c r="M252" i="13"/>
  <c r="N252" i="13" s="1"/>
  <c r="E252" i="13"/>
  <c r="M251" i="13"/>
  <c r="E251" i="13"/>
  <c r="F251" i="13" s="1"/>
  <c r="M250" i="13"/>
  <c r="M256" i="13" s="1"/>
  <c r="E250" i="13"/>
  <c r="O248" i="13"/>
  <c r="M248" i="13"/>
  <c r="G248" i="13"/>
  <c r="E248" i="13"/>
  <c r="N238" i="13"/>
  <c r="E238" i="13"/>
  <c r="F238" i="13" s="1"/>
  <c r="D238" i="13"/>
  <c r="N237" i="13"/>
  <c r="E237" i="13"/>
  <c r="F237" i="13" s="1"/>
  <c r="D237" i="13"/>
  <c r="M236" i="13"/>
  <c r="N236" i="13" s="1"/>
  <c r="E236" i="13"/>
  <c r="D236" i="13"/>
  <c r="N231" i="13"/>
  <c r="E231" i="13"/>
  <c r="F231" i="13" s="1"/>
  <c r="D231" i="13"/>
  <c r="N230" i="13"/>
  <c r="E230" i="13"/>
  <c r="F230" i="13" s="1"/>
  <c r="D230" i="13"/>
  <c r="M229" i="13"/>
  <c r="M232" i="13" s="1"/>
  <c r="E229" i="13"/>
  <c r="F229" i="13" s="1"/>
  <c r="D229" i="13"/>
  <c r="E232" i="13" s="1"/>
  <c r="N220" i="13"/>
  <c r="E220" i="13"/>
  <c r="F220" i="13" s="1"/>
  <c r="D220" i="13"/>
  <c r="N219" i="13"/>
  <c r="E219" i="13"/>
  <c r="F219" i="13" s="1"/>
  <c r="D219" i="13"/>
  <c r="N218" i="13"/>
  <c r="E218" i="13"/>
  <c r="F218" i="13" s="1"/>
  <c r="D218" i="13"/>
  <c r="N213" i="13"/>
  <c r="E213" i="13"/>
  <c r="F213" i="13" s="1"/>
  <c r="N212" i="13"/>
  <c r="E212" i="13"/>
  <c r="F212" i="13" s="1"/>
  <c r="N211" i="13"/>
  <c r="E211" i="13"/>
  <c r="F211" i="13" s="1"/>
  <c r="O209" i="13"/>
  <c r="M209" i="13"/>
  <c r="G209" i="13"/>
  <c r="E209" i="13"/>
  <c r="N199" i="13"/>
  <c r="F199" i="13"/>
  <c r="D199" i="13"/>
  <c r="N198" i="13"/>
  <c r="F198" i="13"/>
  <c r="D198" i="13"/>
  <c r="E200" i="13" s="1"/>
  <c r="N197" i="13"/>
  <c r="N200" i="13" s="1"/>
  <c r="F197" i="13"/>
  <c r="F200" i="13" s="1"/>
  <c r="D197" i="13"/>
  <c r="N192" i="13"/>
  <c r="F192" i="13"/>
  <c r="D192" i="13"/>
  <c r="N191" i="13"/>
  <c r="F191" i="13"/>
  <c r="D191" i="13"/>
  <c r="N190" i="13"/>
  <c r="F190" i="13"/>
  <c r="D190" i="13"/>
  <c r="E193" i="13" s="1"/>
  <c r="M181" i="13"/>
  <c r="N181" i="13" s="1"/>
  <c r="E181" i="13"/>
  <c r="F181" i="13" s="1"/>
  <c r="D181" i="13"/>
  <c r="M180" i="13"/>
  <c r="E180" i="13"/>
  <c r="D180" i="13"/>
  <c r="N179" i="13"/>
  <c r="E179" i="13"/>
  <c r="D179" i="13"/>
  <c r="M174" i="13"/>
  <c r="N174" i="13" s="1"/>
  <c r="E174" i="13"/>
  <c r="F174" i="13" s="1"/>
  <c r="M173" i="13"/>
  <c r="E173" i="13"/>
  <c r="E175" i="13" s="1"/>
  <c r="N172" i="13"/>
  <c r="E172" i="13"/>
  <c r="F172" i="13" s="1"/>
  <c r="O170" i="13"/>
  <c r="M170" i="13"/>
  <c r="G170" i="13"/>
  <c r="E170" i="13"/>
  <c r="N160" i="13"/>
  <c r="E160" i="13"/>
  <c r="F160" i="13" s="1"/>
  <c r="D160" i="13"/>
  <c r="N159" i="13"/>
  <c r="E159" i="13"/>
  <c r="D159" i="13"/>
  <c r="N154" i="13"/>
  <c r="E154" i="13"/>
  <c r="D154" i="13"/>
  <c r="N153" i="13"/>
  <c r="E153" i="13"/>
  <c r="F153" i="13" s="1"/>
  <c r="D153" i="13"/>
  <c r="M144" i="13"/>
  <c r="E144" i="13"/>
  <c r="F144" i="13" s="1"/>
  <c r="D144" i="13"/>
  <c r="N143" i="13"/>
  <c r="E143" i="13"/>
  <c r="E147" i="13" s="1"/>
  <c r="D143" i="13"/>
  <c r="M138" i="13"/>
  <c r="E138" i="13"/>
  <c r="F138" i="13" s="1"/>
  <c r="N137" i="13"/>
  <c r="E137" i="13"/>
  <c r="O135" i="13"/>
  <c r="M135" i="13"/>
  <c r="G135" i="13"/>
  <c r="E135" i="13"/>
  <c r="E125" i="13"/>
  <c r="D125" i="13"/>
  <c r="E124" i="13"/>
  <c r="F124" i="13" s="1"/>
  <c r="D124" i="13"/>
  <c r="M126" i="13" s="1"/>
  <c r="E119" i="13"/>
  <c r="D119" i="13"/>
  <c r="E118" i="13"/>
  <c r="F118" i="13" s="1"/>
  <c r="D118" i="13"/>
  <c r="M109" i="13"/>
  <c r="E109" i="13"/>
  <c r="E113" i="13" s="1"/>
  <c r="D109" i="13"/>
  <c r="M108" i="13"/>
  <c r="E108" i="13"/>
  <c r="E112" i="13" s="1"/>
  <c r="D108" i="13"/>
  <c r="M103" i="13"/>
  <c r="N103" i="13" s="1"/>
  <c r="E103" i="13"/>
  <c r="F103" i="13" s="1"/>
  <c r="M102" i="13"/>
  <c r="E102" i="13"/>
  <c r="F102" i="13" s="1"/>
  <c r="O100" i="13"/>
  <c r="M100" i="13"/>
  <c r="G100" i="13"/>
  <c r="E100" i="13"/>
  <c r="N90" i="13"/>
  <c r="F90" i="13"/>
  <c r="D90" i="13"/>
  <c r="N89" i="13"/>
  <c r="F89" i="13"/>
  <c r="D89" i="13"/>
  <c r="N88" i="13"/>
  <c r="F88" i="13"/>
  <c r="D88" i="13"/>
  <c r="N83" i="13"/>
  <c r="F83" i="13"/>
  <c r="D83" i="13"/>
  <c r="N82" i="13"/>
  <c r="F82" i="13"/>
  <c r="D82" i="13"/>
  <c r="N81" i="13"/>
  <c r="F81" i="13"/>
  <c r="D81" i="13"/>
  <c r="M72" i="13"/>
  <c r="N72" i="13" s="1"/>
  <c r="E72" i="13"/>
  <c r="F72" i="13" s="1"/>
  <c r="D72" i="13"/>
  <c r="M71" i="13"/>
  <c r="E71" i="13"/>
  <c r="D71" i="13"/>
  <c r="M70" i="13"/>
  <c r="E70" i="13"/>
  <c r="D70" i="13"/>
  <c r="M65" i="13"/>
  <c r="N65" i="13" s="1"/>
  <c r="E65" i="13"/>
  <c r="M64" i="13"/>
  <c r="E64" i="13"/>
  <c r="M63" i="13"/>
  <c r="N63" i="13" s="1"/>
  <c r="E63" i="13"/>
  <c r="O61" i="13"/>
  <c r="M61" i="13"/>
  <c r="G61" i="13"/>
  <c r="E61" i="13"/>
  <c r="N51" i="13"/>
  <c r="F51" i="13"/>
  <c r="D51" i="13"/>
  <c r="N50" i="13"/>
  <c r="F50" i="13"/>
  <c r="D50" i="13"/>
  <c r="N45" i="13"/>
  <c r="F45" i="13"/>
  <c r="D45" i="13"/>
  <c r="N44" i="13"/>
  <c r="F44" i="13"/>
  <c r="D44" i="13"/>
  <c r="M35" i="13"/>
  <c r="N35" i="13" s="1"/>
  <c r="E35" i="13"/>
  <c r="D35" i="13"/>
  <c r="M34" i="13"/>
  <c r="E34" i="13"/>
  <c r="D34" i="13"/>
  <c r="M29" i="13"/>
  <c r="N29" i="13" s="1"/>
  <c r="E29" i="13"/>
  <c r="F29" i="13" s="1"/>
  <c r="M28" i="13"/>
  <c r="N28" i="13" s="1"/>
  <c r="E28" i="13"/>
  <c r="O26" i="13"/>
  <c r="M26" i="13"/>
  <c r="G26" i="13"/>
  <c r="E26" i="13"/>
  <c r="F6" i="13"/>
  <c r="F8" i="13" s="1"/>
  <c r="E6" i="13"/>
  <c r="E8" i="13" s="1"/>
  <c r="O287" i="13" s="1"/>
  <c r="D6" i="13"/>
  <c r="D8" i="13" s="1"/>
  <c r="C6" i="13"/>
  <c r="C8" i="13" s="1"/>
  <c r="M30" i="14" l="1"/>
  <c r="O29" i="14"/>
  <c r="E66" i="14"/>
  <c r="F63" i="14"/>
  <c r="F66" i="14" s="1"/>
  <c r="G63" i="14"/>
  <c r="G113" i="14"/>
  <c r="M161" i="14"/>
  <c r="O164" i="14" s="1"/>
  <c r="E161" i="14"/>
  <c r="G164" i="14" s="1"/>
  <c r="N29" i="14"/>
  <c r="O251" i="14"/>
  <c r="N251" i="14"/>
  <c r="E120" i="14"/>
  <c r="T47" i="14"/>
  <c r="G129" i="14"/>
  <c r="G185" i="14"/>
  <c r="M36" i="14"/>
  <c r="O39" i="14" s="1"/>
  <c r="N34" i="14"/>
  <c r="N36" i="14" s="1"/>
  <c r="G84" i="14"/>
  <c r="G85" i="14" s="1"/>
  <c r="O34" i="14"/>
  <c r="O36" i="14" s="1"/>
  <c r="G102" i="14"/>
  <c r="G104" i="14" s="1"/>
  <c r="G105" i="14" s="1"/>
  <c r="F102" i="14"/>
  <c r="F104" i="14" s="1"/>
  <c r="E104" i="14"/>
  <c r="M52" i="14"/>
  <c r="F52" i="14"/>
  <c r="E52" i="14"/>
  <c r="G55" i="14" s="1"/>
  <c r="G76" i="14"/>
  <c r="G36" i="14"/>
  <c r="O104" i="14"/>
  <c r="O105" i="14" s="1"/>
  <c r="T105" i="14" s="1"/>
  <c r="O261" i="14"/>
  <c r="N261" i="14"/>
  <c r="E214" i="14"/>
  <c r="G211" i="14"/>
  <c r="E280" i="14"/>
  <c r="G274" i="14"/>
  <c r="F118" i="14"/>
  <c r="F120" i="14" s="1"/>
  <c r="N161" i="14"/>
  <c r="F193" i="14"/>
  <c r="F274" i="14"/>
  <c r="N72" i="14"/>
  <c r="N84" i="14"/>
  <c r="M84" i="14"/>
  <c r="G118" i="14"/>
  <c r="G120" i="14" s="1"/>
  <c r="G121" i="14" s="1"/>
  <c r="N180" i="14"/>
  <c r="N186" i="14" s="1"/>
  <c r="O252" i="14"/>
  <c r="G262" i="14"/>
  <c r="F262" i="14"/>
  <c r="F266" i="14" s="1"/>
  <c r="E84" i="14"/>
  <c r="G154" i="14"/>
  <c r="G253" i="14"/>
  <c r="F253" i="14"/>
  <c r="O110" i="14"/>
  <c r="F144" i="14"/>
  <c r="N173" i="14"/>
  <c r="N175" i="14" s="1"/>
  <c r="E221" i="14"/>
  <c r="G224" i="14" s="1"/>
  <c r="M221" i="14"/>
  <c r="O224" i="14" s="1"/>
  <c r="G212" i="14"/>
  <c r="O179" i="14"/>
  <c r="O182" i="14" s="1"/>
  <c r="G173" i="14"/>
  <c r="G70" i="14"/>
  <c r="G35" i="14"/>
  <c r="O264" i="14"/>
  <c r="O172" i="14"/>
  <c r="O213" i="14"/>
  <c r="O253" i="14"/>
  <c r="O265" i="14"/>
  <c r="O263" i="14"/>
  <c r="O255" i="14"/>
  <c r="N110" i="14"/>
  <c r="F124" i="14"/>
  <c r="F126" i="14" s="1"/>
  <c r="G144" i="14"/>
  <c r="G145" i="14" s="1"/>
  <c r="G218" i="14"/>
  <c r="O229" i="14"/>
  <c r="M232" i="14"/>
  <c r="G254" i="14"/>
  <c r="E266" i="14"/>
  <c r="G285" i="14"/>
  <c r="G279" i="14"/>
  <c r="G277" i="14"/>
  <c r="O153" i="14"/>
  <c r="O155" i="14" s="1"/>
  <c r="O156" i="14" s="1"/>
  <c r="O125" i="14"/>
  <c r="O126" i="14" s="1"/>
  <c r="N119" i="14"/>
  <c r="N120" i="14" s="1"/>
  <c r="O89" i="14"/>
  <c r="O50" i="14"/>
  <c r="O288" i="14"/>
  <c r="O198" i="14"/>
  <c r="O159" i="14"/>
  <c r="G89" i="14"/>
  <c r="G91" i="14" s="1"/>
  <c r="O82" i="14"/>
  <c r="G50" i="14"/>
  <c r="G52" i="14" s="1"/>
  <c r="G82" i="14"/>
  <c r="O278" i="14"/>
  <c r="G198" i="14"/>
  <c r="O191" i="14"/>
  <c r="O238" i="14"/>
  <c r="O230" i="14"/>
  <c r="O118" i="14"/>
  <c r="O120" i="14" s="1"/>
  <c r="O121" i="14" s="1"/>
  <c r="O88" i="14"/>
  <c r="O91" i="14" s="1"/>
  <c r="G278" i="14"/>
  <c r="O274" i="14"/>
  <c r="O289" i="14"/>
  <c r="O287" i="14"/>
  <c r="O199" i="14"/>
  <c r="O200" i="14" s="1"/>
  <c r="G197" i="14"/>
  <c r="O190" i="14"/>
  <c r="G28" i="14"/>
  <c r="G30" i="14" s="1"/>
  <c r="G31" i="14" s="1"/>
  <c r="O35" i="14"/>
  <c r="M66" i="14"/>
  <c r="G71" i="14"/>
  <c r="O81" i="14"/>
  <c r="G90" i="14"/>
  <c r="N103" i="14"/>
  <c r="N104" i="14" s="1"/>
  <c r="F137" i="14"/>
  <c r="O144" i="14"/>
  <c r="O145" i="14" s="1"/>
  <c r="N144" i="14"/>
  <c r="N145" i="14" s="1"/>
  <c r="G181" i="14"/>
  <c r="G192" i="14"/>
  <c r="O220" i="14"/>
  <c r="G238" i="14"/>
  <c r="G260" i="14"/>
  <c r="N275" i="14"/>
  <c r="N280" i="14" s="1"/>
  <c r="M280" i="14"/>
  <c r="F28" i="14"/>
  <c r="F30" i="14" s="1"/>
  <c r="E36" i="14"/>
  <c r="G39" i="14" s="1"/>
  <c r="M46" i="14"/>
  <c r="E46" i="14"/>
  <c r="O51" i="14"/>
  <c r="G64" i="14"/>
  <c r="F71" i="14"/>
  <c r="F73" i="14" s="1"/>
  <c r="G119" i="14"/>
  <c r="N124" i="14"/>
  <c r="N126" i="14" s="1"/>
  <c r="O160" i="14"/>
  <c r="G179" i="14"/>
  <c r="O212" i="14"/>
  <c r="O214" i="14" s="1"/>
  <c r="O215" i="14" s="1"/>
  <c r="E239" i="14"/>
  <c r="G242" i="14" s="1"/>
  <c r="G250" i="14"/>
  <c r="M266" i="14"/>
  <c r="O269" i="14" s="1"/>
  <c r="G263" i="14"/>
  <c r="O275" i="14"/>
  <c r="G284" i="14"/>
  <c r="G290" i="14" s="1"/>
  <c r="M73" i="14"/>
  <c r="N70" i="14"/>
  <c r="E112" i="14"/>
  <c r="G286" i="14"/>
  <c r="F286" i="14"/>
  <c r="F290" i="14" s="1"/>
  <c r="D9" i="14"/>
  <c r="O28" i="14"/>
  <c r="O30" i="14" s="1"/>
  <c r="O31" i="14" s="1"/>
  <c r="N28" i="14"/>
  <c r="N30" i="14" s="1"/>
  <c r="F46" i="14"/>
  <c r="O71" i="14"/>
  <c r="N71" i="14"/>
  <c r="G109" i="14"/>
  <c r="G110" i="14" s="1"/>
  <c r="M145" i="14"/>
  <c r="G174" i="14"/>
  <c r="N182" i="14"/>
  <c r="O192" i="14"/>
  <c r="O218" i="14"/>
  <c r="G230" i="14"/>
  <c r="G232" i="14" s="1"/>
  <c r="G233" i="14" s="1"/>
  <c r="G236" i="14"/>
  <c r="G239" i="14" s="1"/>
  <c r="F236" i="14"/>
  <c r="F239" i="14" s="1"/>
  <c r="N250" i="14"/>
  <c r="N256" i="14" s="1"/>
  <c r="M256" i="14"/>
  <c r="O254" i="14"/>
  <c r="M290" i="14"/>
  <c r="O293" i="14" s="1"/>
  <c r="G287" i="14"/>
  <c r="F9" i="14"/>
  <c r="G203" i="14" s="1"/>
  <c r="F34" i="14"/>
  <c r="F36" i="14" s="1"/>
  <c r="G44" i="14"/>
  <c r="G46" i="14" s="1"/>
  <c r="G47" i="14" s="1"/>
  <c r="N64" i="14"/>
  <c r="N66" i="14" s="1"/>
  <c r="M91" i="14"/>
  <c r="O94" i="14" s="1"/>
  <c r="E91" i="14"/>
  <c r="G94" i="14" s="1"/>
  <c r="M110" i="14"/>
  <c r="O113" i="14" s="1"/>
  <c r="O137" i="14"/>
  <c r="O139" i="14" s="1"/>
  <c r="O140" i="14" s="1"/>
  <c r="E145" i="14"/>
  <c r="G148" i="14" s="1"/>
  <c r="M155" i="14"/>
  <c r="O174" i="14"/>
  <c r="O181" i="14"/>
  <c r="O236" i="14"/>
  <c r="O239" i="14" s="1"/>
  <c r="N236" i="14"/>
  <c r="N239" i="14" s="1"/>
  <c r="O250" i="14"/>
  <c r="G261" i="14"/>
  <c r="G159" i="14"/>
  <c r="G161" i="14" s="1"/>
  <c r="F159" i="14"/>
  <c r="F161" i="14" s="1"/>
  <c r="M182" i="14"/>
  <c r="O185" i="14" s="1"/>
  <c r="N200" i="14"/>
  <c r="M200" i="14"/>
  <c r="O203" i="14" s="1"/>
  <c r="F211" i="14"/>
  <c r="F214" i="14" s="1"/>
  <c r="N285" i="14"/>
  <c r="N52" i="14"/>
  <c r="F108" i="14"/>
  <c r="F110" i="14" s="1"/>
  <c r="O70" i="14"/>
  <c r="G29" i="14"/>
  <c r="F91" i="14"/>
  <c r="G125" i="14"/>
  <c r="G126" i="14" s="1"/>
  <c r="G138" i="14"/>
  <c r="G139" i="14" s="1"/>
  <c r="G140" i="14" s="1"/>
  <c r="F138" i="14"/>
  <c r="F145" i="14"/>
  <c r="G153" i="14"/>
  <c r="G155" i="14" s="1"/>
  <c r="G156" i="14" s="1"/>
  <c r="E175" i="14"/>
  <c r="G172" i="14"/>
  <c r="G190" i="14"/>
  <c r="G199" i="14"/>
  <c r="G213" i="14"/>
  <c r="G219" i="14"/>
  <c r="G251" i="14"/>
  <c r="F251" i="14"/>
  <c r="G264" i="14"/>
  <c r="G276" i="14"/>
  <c r="F218" i="14"/>
  <c r="F221" i="14" s="1"/>
  <c r="N260" i="14"/>
  <c r="N266" i="14" s="1"/>
  <c r="F264" i="14"/>
  <c r="N276" i="14"/>
  <c r="N284" i="14"/>
  <c r="N290" i="14" s="1"/>
  <c r="F288" i="14"/>
  <c r="O260" i="14"/>
  <c r="O284" i="14"/>
  <c r="M104" i="14"/>
  <c r="F125" i="14"/>
  <c r="F153" i="14"/>
  <c r="F155" i="14" s="1"/>
  <c r="F179" i="14"/>
  <c r="F182" i="14" s="1"/>
  <c r="F229" i="14"/>
  <c r="F232" i="14" s="1"/>
  <c r="F250" i="14"/>
  <c r="F256" i="14" s="1"/>
  <c r="F252" i="14"/>
  <c r="N262" i="14"/>
  <c r="F275" i="14"/>
  <c r="N286" i="14"/>
  <c r="G230" i="13"/>
  <c r="G44" i="13"/>
  <c r="E214" i="13"/>
  <c r="O229" i="13"/>
  <c r="G274" i="13"/>
  <c r="O231" i="13"/>
  <c r="G229" i="13"/>
  <c r="G231" i="13"/>
  <c r="O230" i="13"/>
  <c r="M145" i="13"/>
  <c r="G279" i="13"/>
  <c r="N155" i="13"/>
  <c r="G173" i="13"/>
  <c r="F193" i="13"/>
  <c r="G70" i="13"/>
  <c r="M91" i="13"/>
  <c r="E148" i="13"/>
  <c r="G287" i="13"/>
  <c r="O64" i="13"/>
  <c r="E84" i="13"/>
  <c r="G180" i="13"/>
  <c r="N221" i="13"/>
  <c r="G143" i="13"/>
  <c r="O262" i="13"/>
  <c r="G263" i="13"/>
  <c r="O29" i="13"/>
  <c r="O137" i="13"/>
  <c r="O260" i="13"/>
  <c r="O254" i="13"/>
  <c r="D9" i="13"/>
  <c r="O103" i="13"/>
  <c r="O35" i="13"/>
  <c r="G181" i="13"/>
  <c r="G218" i="13"/>
  <c r="G220" i="13"/>
  <c r="O181" i="13"/>
  <c r="O219" i="13"/>
  <c r="O264" i="13"/>
  <c r="O212" i="13"/>
  <c r="O251" i="13"/>
  <c r="G179" i="13"/>
  <c r="N84" i="13"/>
  <c r="G103" i="13"/>
  <c r="N251" i="13"/>
  <c r="O28" i="13"/>
  <c r="N262" i="13"/>
  <c r="N193" i="13"/>
  <c r="G252" i="13"/>
  <c r="G265" i="13"/>
  <c r="G72" i="13"/>
  <c r="F173" i="13"/>
  <c r="F175" i="13" s="1"/>
  <c r="F104" i="13"/>
  <c r="O261" i="13"/>
  <c r="G285" i="13"/>
  <c r="E73" i="13"/>
  <c r="G76" i="13" s="1"/>
  <c r="G109" i="13"/>
  <c r="O173" i="13"/>
  <c r="N239" i="13"/>
  <c r="O109" i="13"/>
  <c r="F143" i="13"/>
  <c r="F145" i="13" s="1"/>
  <c r="G35" i="13"/>
  <c r="F84" i="13"/>
  <c r="E110" i="13"/>
  <c r="F35" i="13"/>
  <c r="O63" i="13"/>
  <c r="N52" i="13"/>
  <c r="G29" i="13"/>
  <c r="N64" i="13"/>
  <c r="N66" i="13" s="1"/>
  <c r="G137" i="13"/>
  <c r="G144" i="13"/>
  <c r="F179" i="13"/>
  <c r="F46" i="13"/>
  <c r="G254" i="13"/>
  <c r="G34" i="13"/>
  <c r="F180" i="13"/>
  <c r="O34" i="13"/>
  <c r="G255" i="13"/>
  <c r="E66" i="13"/>
  <c r="F70" i="13"/>
  <c r="F255" i="13"/>
  <c r="O275" i="13"/>
  <c r="E52" i="13"/>
  <c r="E36" i="13"/>
  <c r="E104" i="13"/>
  <c r="M161" i="13"/>
  <c r="G172" i="13"/>
  <c r="E221" i="13"/>
  <c r="O65" i="13"/>
  <c r="O138" i="13"/>
  <c r="O211" i="13"/>
  <c r="O218" i="13"/>
  <c r="G261" i="13"/>
  <c r="E182" i="13"/>
  <c r="M182" i="13"/>
  <c r="E161" i="13"/>
  <c r="N161" i="13"/>
  <c r="E145" i="13"/>
  <c r="F232" i="13"/>
  <c r="E280" i="13"/>
  <c r="F34" i="13"/>
  <c r="N91" i="13"/>
  <c r="G102" i="13"/>
  <c r="N118" i="13"/>
  <c r="N124" i="13"/>
  <c r="E256" i="13"/>
  <c r="G250" i="13"/>
  <c r="F274" i="13"/>
  <c r="N30" i="13"/>
  <c r="O51" i="13"/>
  <c r="G71" i="13"/>
  <c r="F71" i="13"/>
  <c r="O88" i="13"/>
  <c r="O118" i="13"/>
  <c r="O124" i="13"/>
  <c r="N138" i="13"/>
  <c r="G153" i="13"/>
  <c r="G155" i="13" s="1"/>
  <c r="G156" i="13" s="1"/>
  <c r="F159" i="13"/>
  <c r="F161" i="13" s="1"/>
  <c r="F250" i="13"/>
  <c r="G277" i="13"/>
  <c r="F277" i="13"/>
  <c r="G289" i="13"/>
  <c r="N261" i="13"/>
  <c r="O44" i="13"/>
  <c r="O72" i="13"/>
  <c r="O174" i="13"/>
  <c r="G81" i="13"/>
  <c r="N139" i="13"/>
  <c r="M73" i="13"/>
  <c r="G276" i="13"/>
  <c r="F276" i="13"/>
  <c r="O70" i="13"/>
  <c r="G88" i="13"/>
  <c r="G118" i="13"/>
  <c r="G124" i="13"/>
  <c r="G138" i="13"/>
  <c r="G199" i="13"/>
  <c r="G213" i="13"/>
  <c r="O252" i="13"/>
  <c r="F9" i="13"/>
  <c r="G203" i="13" s="1"/>
  <c r="M110" i="13"/>
  <c r="G159" i="13"/>
  <c r="O190" i="13"/>
  <c r="O238" i="13"/>
  <c r="O250" i="13"/>
  <c r="N250" i="13"/>
  <c r="N280" i="13"/>
  <c r="O286" i="13"/>
  <c r="F63" i="13"/>
  <c r="G63" i="13"/>
  <c r="G83" i="13"/>
  <c r="N108" i="13"/>
  <c r="G119" i="13"/>
  <c r="G125" i="13"/>
  <c r="O153" i="13"/>
  <c r="N182" i="13"/>
  <c r="F214" i="13"/>
  <c r="F221" i="13"/>
  <c r="N229" i="13"/>
  <c r="N232" i="13" s="1"/>
  <c r="G236" i="13"/>
  <c r="E239" i="13"/>
  <c r="F265" i="13"/>
  <c r="F266" i="13" s="1"/>
  <c r="O284" i="13"/>
  <c r="O289" i="13"/>
  <c r="O108" i="13"/>
  <c r="F119" i="13"/>
  <c r="F120" i="13" s="1"/>
  <c r="F125" i="13"/>
  <c r="F126" i="13" s="1"/>
  <c r="N173" i="13"/>
  <c r="N175" i="13" s="1"/>
  <c r="O90" i="13"/>
  <c r="N109" i="13"/>
  <c r="F279" i="13"/>
  <c r="O50" i="13"/>
  <c r="E91" i="13"/>
  <c r="G65" i="13"/>
  <c r="F65" i="13"/>
  <c r="N70" i="13"/>
  <c r="O279" i="13"/>
  <c r="E46" i="13"/>
  <c r="N46" i="13"/>
  <c r="O66" i="13"/>
  <c r="O67" i="13" s="1"/>
  <c r="O83" i="13"/>
  <c r="G154" i="13"/>
  <c r="N214" i="13"/>
  <c r="M221" i="13"/>
  <c r="M239" i="13"/>
  <c r="O278" i="13"/>
  <c r="O276" i="13"/>
  <c r="G238" i="13"/>
  <c r="O89" i="13"/>
  <c r="G50" i="13"/>
  <c r="O125" i="13"/>
  <c r="O198" i="13"/>
  <c r="O191" i="13"/>
  <c r="O160" i="13"/>
  <c r="O119" i="13"/>
  <c r="O82" i="13"/>
  <c r="O45" i="13"/>
  <c r="G198" i="13"/>
  <c r="G191" i="13"/>
  <c r="N119" i="13"/>
  <c r="G89" i="13"/>
  <c r="G82" i="13"/>
  <c r="G45" i="13"/>
  <c r="G46" i="13" s="1"/>
  <c r="G47" i="13" s="1"/>
  <c r="O199" i="13"/>
  <c r="G197" i="13"/>
  <c r="G200" i="13" s="1"/>
  <c r="O192" i="13"/>
  <c r="G190" i="13"/>
  <c r="O288" i="13"/>
  <c r="G275" i="13"/>
  <c r="G90" i="13"/>
  <c r="O277" i="13"/>
  <c r="O237" i="13"/>
  <c r="O197" i="13"/>
  <c r="O154" i="13"/>
  <c r="N125" i="13"/>
  <c r="O81" i="13"/>
  <c r="G51" i="13"/>
  <c r="O285" i="13"/>
  <c r="O159" i="13"/>
  <c r="G237" i="13"/>
  <c r="G192" i="13"/>
  <c r="F252" i="13"/>
  <c r="F91" i="13"/>
  <c r="M52" i="13"/>
  <c r="G64" i="13"/>
  <c r="F64" i="13"/>
  <c r="O236" i="13"/>
  <c r="M266" i="13"/>
  <c r="G262" i="13"/>
  <c r="O253" i="13"/>
  <c r="G212" i="13"/>
  <c r="G174" i="13"/>
  <c r="O265" i="13"/>
  <c r="O220" i="13"/>
  <c r="O263" i="13"/>
  <c r="O143" i="13"/>
  <c r="O255" i="13"/>
  <c r="O179" i="13"/>
  <c r="F52" i="13"/>
  <c r="O102" i="13"/>
  <c r="O144" i="13"/>
  <c r="O172" i="13"/>
  <c r="O180" i="13"/>
  <c r="O213" i="13"/>
  <c r="G288" i="13"/>
  <c r="F108" i="13"/>
  <c r="E120" i="13"/>
  <c r="N144" i="13"/>
  <c r="N145" i="13" s="1"/>
  <c r="G219" i="13"/>
  <c r="F254" i="13"/>
  <c r="G264" i="13"/>
  <c r="G28" i="13"/>
  <c r="O71" i="13"/>
  <c r="G108" i="13"/>
  <c r="G160" i="13"/>
  <c r="G211" i="13"/>
  <c r="M290" i="13"/>
  <c r="E290" i="13"/>
  <c r="G284" i="13"/>
  <c r="E30" i="13"/>
  <c r="F28" i="13"/>
  <c r="F30" i="13" s="1"/>
  <c r="N34" i="13"/>
  <c r="N36" i="13" s="1"/>
  <c r="M36" i="13"/>
  <c r="N71" i="13"/>
  <c r="N102" i="13"/>
  <c r="N104" i="13" s="1"/>
  <c r="E126" i="13"/>
  <c r="N180" i="13"/>
  <c r="N186" i="13" s="1"/>
  <c r="F236" i="13"/>
  <c r="F239" i="13" s="1"/>
  <c r="G251" i="13"/>
  <c r="G253" i="13"/>
  <c r="G260" i="13"/>
  <c r="E266" i="13"/>
  <c r="G269" i="13" s="1"/>
  <c r="O274" i="13"/>
  <c r="G278" i="13"/>
  <c r="N284" i="13"/>
  <c r="N290" i="13" s="1"/>
  <c r="G286" i="13"/>
  <c r="F288" i="13"/>
  <c r="F290" i="13" s="1"/>
  <c r="F109" i="13"/>
  <c r="F137" i="13"/>
  <c r="F139" i="13" s="1"/>
  <c r="F154" i="13"/>
  <c r="F155" i="13" s="1"/>
  <c r="G128" i="14" l="1"/>
  <c r="G130" i="14" s="1"/>
  <c r="G127" i="14"/>
  <c r="O147" i="14"/>
  <c r="O146" i="14"/>
  <c r="G146" i="14"/>
  <c r="G147" i="14"/>
  <c r="G149" i="14" s="1"/>
  <c r="O205" i="14"/>
  <c r="O201" i="14"/>
  <c r="O202" i="14"/>
  <c r="O204" i="14" s="1"/>
  <c r="G112" i="14"/>
  <c r="G114" i="14" s="1"/>
  <c r="G111" i="14"/>
  <c r="G92" i="14"/>
  <c r="G93" i="14"/>
  <c r="G95" i="14" s="1"/>
  <c r="D18" i="14" s="1"/>
  <c r="D20" i="14" s="1"/>
  <c r="G96" i="14" s="1"/>
  <c r="J96" i="14" s="1"/>
  <c r="I156" i="14"/>
  <c r="G292" i="14"/>
  <c r="G294" i="14" s="1"/>
  <c r="G291" i="14"/>
  <c r="O128" i="14"/>
  <c r="O130" i="14" s="1"/>
  <c r="O127" i="14"/>
  <c r="O184" i="14"/>
  <c r="O186" i="14" s="1"/>
  <c r="O183" i="14"/>
  <c r="G38" i="14"/>
  <c r="G40" i="14" s="1"/>
  <c r="C15" i="14" s="1"/>
  <c r="C17" i="14" s="1"/>
  <c r="O115" i="14" s="1"/>
  <c r="G37" i="14"/>
  <c r="G41" i="14"/>
  <c r="H41" i="14" s="1"/>
  <c r="T156" i="14"/>
  <c r="Q156" i="14"/>
  <c r="G280" i="14"/>
  <c r="G281" i="14" s="1"/>
  <c r="I281" i="14" s="1"/>
  <c r="G66" i="14"/>
  <c r="G67" i="14" s="1"/>
  <c r="T67" i="14" s="1"/>
  <c r="G53" i="14"/>
  <c r="G54" i="14"/>
  <c r="G56" i="14" s="1"/>
  <c r="D15" i="14" s="1"/>
  <c r="D17" i="14" s="1"/>
  <c r="O131" i="14" s="1"/>
  <c r="G214" i="14"/>
  <c r="G215" i="14" s="1"/>
  <c r="I233" i="14" s="1"/>
  <c r="G166" i="14"/>
  <c r="J166" i="14" s="1"/>
  <c r="G162" i="14"/>
  <c r="G163" i="14"/>
  <c r="G165" i="14" s="1"/>
  <c r="G244" i="14"/>
  <c r="J244" i="14" s="1"/>
  <c r="G241" i="14"/>
  <c r="G243" i="14" s="1"/>
  <c r="G240" i="14"/>
  <c r="T31" i="14"/>
  <c r="Q47" i="14"/>
  <c r="G256" i="14"/>
  <c r="G257" i="14" s="1"/>
  <c r="F139" i="14"/>
  <c r="O290" i="14"/>
  <c r="N149" i="14"/>
  <c r="O280" i="14"/>
  <c r="O281" i="14" s="1"/>
  <c r="G269" i="14"/>
  <c r="I121" i="14"/>
  <c r="O55" i="14"/>
  <c r="O266" i="14"/>
  <c r="O73" i="14"/>
  <c r="O221" i="14"/>
  <c r="T215" i="14"/>
  <c r="O161" i="14"/>
  <c r="O129" i="14"/>
  <c r="O242" i="14"/>
  <c r="O256" i="14"/>
  <c r="O257" i="14" s="1"/>
  <c r="T257" i="14" s="1"/>
  <c r="I47" i="14"/>
  <c r="G182" i="14"/>
  <c r="O84" i="14"/>
  <c r="O85" i="14" s="1"/>
  <c r="O96" i="14"/>
  <c r="O93" i="14"/>
  <c r="O95" i="14" s="1"/>
  <c r="O92" i="14"/>
  <c r="O175" i="14"/>
  <c r="O176" i="14" s="1"/>
  <c r="T176" i="14" s="1"/>
  <c r="O111" i="14"/>
  <c r="O112" i="14"/>
  <c r="O114" i="14" s="1"/>
  <c r="G293" i="14"/>
  <c r="O193" i="14"/>
  <c r="O194" i="14" s="1"/>
  <c r="G200" i="14"/>
  <c r="T140" i="14"/>
  <c r="G193" i="14"/>
  <c r="G194" i="14" s="1"/>
  <c r="T121" i="14"/>
  <c r="Q121" i="14"/>
  <c r="G175" i="14"/>
  <c r="G176" i="14" s="1"/>
  <c r="O240" i="14"/>
  <c r="O241" i="14"/>
  <c r="N73" i="14"/>
  <c r="G266" i="14"/>
  <c r="O52" i="14"/>
  <c r="O232" i="14"/>
  <c r="O233" i="14" s="1"/>
  <c r="F280" i="14"/>
  <c r="O38" i="14"/>
  <c r="O40" i="14" s="1"/>
  <c r="O37" i="14"/>
  <c r="O148" i="14"/>
  <c r="O76" i="14"/>
  <c r="G221" i="14"/>
  <c r="G73" i="14"/>
  <c r="G145" i="13"/>
  <c r="G182" i="13"/>
  <c r="O200" i="13"/>
  <c r="O148" i="13"/>
  <c r="G224" i="13"/>
  <c r="G221" i="13"/>
  <c r="N126" i="13"/>
  <c r="N256" i="13"/>
  <c r="G148" i="13"/>
  <c r="G175" i="13"/>
  <c r="G176" i="13" s="1"/>
  <c r="O113" i="13"/>
  <c r="O76" i="13"/>
  <c r="G39" i="13"/>
  <c r="G73" i="13"/>
  <c r="G74" i="13" s="1"/>
  <c r="G185" i="13"/>
  <c r="F182" i="13"/>
  <c r="G30" i="13"/>
  <c r="G31" i="13" s="1"/>
  <c r="I47" i="13" s="1"/>
  <c r="O104" i="13"/>
  <c r="O105" i="13" s="1"/>
  <c r="O269" i="13"/>
  <c r="O224" i="13"/>
  <c r="G104" i="13"/>
  <c r="G105" i="13" s="1"/>
  <c r="O39" i="13"/>
  <c r="O120" i="13"/>
  <c r="O121" i="13" s="1"/>
  <c r="O30" i="13"/>
  <c r="O31" i="13" s="1"/>
  <c r="G52" i="13"/>
  <c r="G54" i="13" s="1"/>
  <c r="G280" i="13"/>
  <c r="G281" i="13" s="1"/>
  <c r="O36" i="13"/>
  <c r="O38" i="13" s="1"/>
  <c r="O161" i="13"/>
  <c r="O163" i="13" s="1"/>
  <c r="N110" i="13"/>
  <c r="O185" i="13"/>
  <c r="G36" i="13"/>
  <c r="G37" i="13" s="1"/>
  <c r="G113" i="13"/>
  <c r="G146" i="13"/>
  <c r="G147" i="13"/>
  <c r="G149" i="13" s="1"/>
  <c r="G84" i="13"/>
  <c r="G85" i="13" s="1"/>
  <c r="O221" i="13"/>
  <c r="O223" i="13" s="1"/>
  <c r="O126" i="13"/>
  <c r="O128" i="13" s="1"/>
  <c r="G214" i="13"/>
  <c r="G215" i="13" s="1"/>
  <c r="O214" i="13"/>
  <c r="O215" i="13" s="1"/>
  <c r="T215" i="13" s="1"/>
  <c r="O155" i="13"/>
  <c r="O156" i="13" s="1"/>
  <c r="T156" i="13" s="1"/>
  <c r="G139" i="13"/>
  <c r="G140" i="13" s="1"/>
  <c r="I156" i="13" s="1"/>
  <c r="O110" i="13"/>
  <c r="O111" i="13" s="1"/>
  <c r="N266" i="13"/>
  <c r="F73" i="13"/>
  <c r="F36" i="13"/>
  <c r="G129" i="13"/>
  <c r="G110" i="13"/>
  <c r="G111" i="13" s="1"/>
  <c r="O175" i="13"/>
  <c r="O176" i="13" s="1"/>
  <c r="T176" i="13" s="1"/>
  <c r="O266" i="13"/>
  <c r="O268" i="13" s="1"/>
  <c r="N149" i="13"/>
  <c r="O52" i="13"/>
  <c r="O53" i="13" s="1"/>
  <c r="F280" i="13"/>
  <c r="O139" i="13"/>
  <c r="O140" i="13" s="1"/>
  <c r="G256" i="13"/>
  <c r="G257" i="13" s="1"/>
  <c r="I281" i="13" s="1"/>
  <c r="O267" i="13"/>
  <c r="G222" i="13"/>
  <c r="G223" i="13"/>
  <c r="G225" i="13" s="1"/>
  <c r="G112" i="13"/>
  <c r="O280" i="13"/>
  <c r="O281" i="13" s="1"/>
  <c r="O127" i="13"/>
  <c r="O193" i="13"/>
  <c r="O194" i="13" s="1"/>
  <c r="O46" i="13"/>
  <c r="O47" i="13" s="1"/>
  <c r="N120" i="13"/>
  <c r="G266" i="13"/>
  <c r="G290" i="13"/>
  <c r="O239" i="13"/>
  <c r="O84" i="13"/>
  <c r="O85" i="13" s="1"/>
  <c r="G94" i="13"/>
  <c r="G184" i="13"/>
  <c r="G183" i="13"/>
  <c r="G120" i="13"/>
  <c r="G121" i="13" s="1"/>
  <c r="O91" i="13"/>
  <c r="F256" i="13"/>
  <c r="O203" i="13"/>
  <c r="O256" i="13"/>
  <c r="O257" i="13" s="1"/>
  <c r="G164" i="13"/>
  <c r="G232" i="13"/>
  <c r="G233" i="13" s="1"/>
  <c r="O242" i="13"/>
  <c r="G126" i="13"/>
  <c r="O182" i="13"/>
  <c r="G91" i="13"/>
  <c r="G66" i="13"/>
  <c r="G67" i="13" s="1"/>
  <c r="T67" i="13" s="1"/>
  <c r="O293" i="13"/>
  <c r="O145" i="13"/>
  <c r="O55" i="13"/>
  <c r="G239" i="13"/>
  <c r="F66" i="13"/>
  <c r="O164" i="13"/>
  <c r="O129" i="13"/>
  <c r="N73" i="13"/>
  <c r="G193" i="13"/>
  <c r="G194" i="13" s="1"/>
  <c r="I194" i="13" s="1"/>
  <c r="O290" i="13"/>
  <c r="Q121" i="13"/>
  <c r="G293" i="13"/>
  <c r="G161" i="13"/>
  <c r="G242" i="13"/>
  <c r="O73" i="13"/>
  <c r="F110" i="13"/>
  <c r="O232" i="13"/>
  <c r="O233" i="13" s="1"/>
  <c r="O94" i="13"/>
  <c r="G55" i="13"/>
  <c r="G295" i="14" l="1"/>
  <c r="J295" i="14" s="1"/>
  <c r="O244" i="14"/>
  <c r="O41" i="14"/>
  <c r="G150" i="14"/>
  <c r="H150" i="14" s="1"/>
  <c r="P115" i="14"/>
  <c r="O132" i="14"/>
  <c r="T131" i="14"/>
  <c r="R131" i="14"/>
  <c r="O245" i="14"/>
  <c r="T244" i="14"/>
  <c r="R244" i="14"/>
  <c r="O223" i="14"/>
  <c r="O225" i="14" s="1"/>
  <c r="O222" i="14"/>
  <c r="O226" i="14"/>
  <c r="O78" i="14"/>
  <c r="O75" i="14"/>
  <c r="O77" i="14" s="1"/>
  <c r="O74" i="14"/>
  <c r="R205" i="14"/>
  <c r="O206" i="14"/>
  <c r="O267" i="14"/>
  <c r="O271" i="14"/>
  <c r="O268" i="14"/>
  <c r="O270" i="14" s="1"/>
  <c r="I194" i="14"/>
  <c r="T96" i="14"/>
  <c r="O97" i="14"/>
  <c r="R96" i="14"/>
  <c r="T233" i="14"/>
  <c r="Q233" i="14"/>
  <c r="G183" i="14"/>
  <c r="G184" i="14"/>
  <c r="G186" i="14" s="1"/>
  <c r="G187" i="14"/>
  <c r="H187" i="14" s="1"/>
  <c r="O57" i="14"/>
  <c r="O54" i="14"/>
  <c r="O56" i="14" s="1"/>
  <c r="O53" i="14"/>
  <c r="T194" i="14"/>
  <c r="Q194" i="14"/>
  <c r="Q281" i="14"/>
  <c r="T281" i="14"/>
  <c r="O187" i="14"/>
  <c r="O150" i="14"/>
  <c r="G271" i="14"/>
  <c r="H271" i="14" s="1"/>
  <c r="G268" i="14"/>
  <c r="G270" i="14" s="1"/>
  <c r="G267" i="14"/>
  <c r="I85" i="14"/>
  <c r="O149" i="14"/>
  <c r="G202" i="14"/>
  <c r="G204" i="14" s="1"/>
  <c r="G201" i="14"/>
  <c r="G205" i="14"/>
  <c r="J205" i="14" s="1"/>
  <c r="O291" i="14"/>
  <c r="O295" i="14"/>
  <c r="O292" i="14"/>
  <c r="O294" i="14" s="1"/>
  <c r="G131" i="14"/>
  <c r="J131" i="14" s="1"/>
  <c r="G74" i="14"/>
  <c r="G75" i="14"/>
  <c r="G77" i="14" s="1"/>
  <c r="C18" i="14" s="1"/>
  <c r="C20" i="14" s="1"/>
  <c r="G78" i="14"/>
  <c r="H78" i="14" s="1"/>
  <c r="O243" i="14"/>
  <c r="G57" i="14"/>
  <c r="J57" i="14" s="1"/>
  <c r="G115" i="14"/>
  <c r="H115" i="14" s="1"/>
  <c r="T41" i="14"/>
  <c r="P41" i="14"/>
  <c r="T85" i="14"/>
  <c r="Q85" i="14"/>
  <c r="G223" i="14"/>
  <c r="G225" i="14" s="1"/>
  <c r="G222" i="14"/>
  <c r="G226" i="14"/>
  <c r="H226" i="14" s="1"/>
  <c r="O162" i="14"/>
  <c r="O166" i="14"/>
  <c r="O163" i="14"/>
  <c r="O165" i="14" s="1"/>
  <c r="O40" i="13"/>
  <c r="T105" i="13"/>
  <c r="I121" i="13"/>
  <c r="O222" i="13"/>
  <c r="T31" i="13"/>
  <c r="G186" i="13"/>
  <c r="O225" i="13"/>
  <c r="O270" i="13"/>
  <c r="G75" i="13"/>
  <c r="G77" i="13" s="1"/>
  <c r="C18" i="13" s="1"/>
  <c r="C20" i="13" s="1"/>
  <c r="O37" i="13"/>
  <c r="I233" i="13"/>
  <c r="O130" i="13"/>
  <c r="G38" i="13"/>
  <c r="G40" i="13" s="1"/>
  <c r="C15" i="13" s="1"/>
  <c r="C17" i="13" s="1"/>
  <c r="O226" i="13" s="1"/>
  <c r="G114" i="13"/>
  <c r="O162" i="13"/>
  <c r="G53" i="13"/>
  <c r="I85" i="13"/>
  <c r="Q156" i="13"/>
  <c r="O112" i="13"/>
  <c r="O114" i="13" s="1"/>
  <c r="G56" i="13"/>
  <c r="D15" i="13" s="1"/>
  <c r="D17" i="13" s="1"/>
  <c r="G295" i="13" s="1"/>
  <c r="J295" i="13" s="1"/>
  <c r="T140" i="13"/>
  <c r="O115" i="13"/>
  <c r="O271" i="13"/>
  <c r="T257" i="13"/>
  <c r="T121" i="13"/>
  <c r="O54" i="13"/>
  <c r="O56" i="13" s="1"/>
  <c r="O184" i="13"/>
  <c r="O186" i="13" s="1"/>
  <c r="O183" i="13"/>
  <c r="O93" i="13"/>
  <c r="O95" i="13" s="1"/>
  <c r="O92" i="13"/>
  <c r="G127" i="13"/>
  <c r="G128" i="13"/>
  <c r="G130" i="13" s="1"/>
  <c r="G131" i="13"/>
  <c r="J131" i="13" s="1"/>
  <c r="G241" i="13"/>
  <c r="G243" i="13" s="1"/>
  <c r="G240" i="13"/>
  <c r="O165" i="13"/>
  <c r="O201" i="13"/>
  <c r="O202" i="13"/>
  <c r="O204" i="13" s="1"/>
  <c r="O146" i="13"/>
  <c r="O147" i="13"/>
  <c r="O149" i="13" s="1"/>
  <c r="T281" i="13"/>
  <c r="Q281" i="13"/>
  <c r="Q194" i="13"/>
  <c r="T194" i="13"/>
  <c r="O78" i="13"/>
  <c r="O74" i="13"/>
  <c r="O75" i="13"/>
  <c r="O77" i="13" s="1"/>
  <c r="G163" i="13"/>
  <c r="G165" i="13" s="1"/>
  <c r="G162" i="13"/>
  <c r="Q85" i="13"/>
  <c r="T85" i="13"/>
  <c r="O241" i="13"/>
  <c r="O243" i="13" s="1"/>
  <c r="O240" i="13"/>
  <c r="G92" i="13"/>
  <c r="G93" i="13"/>
  <c r="G95" i="13" s="1"/>
  <c r="D18" i="13" s="1"/>
  <c r="D20" i="13" s="1"/>
  <c r="O96" i="13" s="1"/>
  <c r="R96" i="13" s="1"/>
  <c r="G292" i="13"/>
  <c r="G294" i="13" s="1"/>
  <c r="G291" i="13"/>
  <c r="T47" i="13"/>
  <c r="Q47" i="13"/>
  <c r="G267" i="13"/>
  <c r="G268" i="13"/>
  <c r="G270" i="13" s="1"/>
  <c r="G201" i="13"/>
  <c r="G202" i="13"/>
  <c r="G204" i="13" s="1"/>
  <c r="T233" i="13"/>
  <c r="Q233" i="13"/>
  <c r="O292" i="13"/>
  <c r="O294" i="13" s="1"/>
  <c r="O291" i="13"/>
  <c r="T78" i="14" l="1"/>
  <c r="P78" i="14"/>
  <c r="T226" i="14"/>
  <c r="P226" i="14"/>
  <c r="T57" i="14"/>
  <c r="O58" i="14"/>
  <c r="R57" i="14"/>
  <c r="P271" i="14"/>
  <c r="T271" i="14"/>
  <c r="O296" i="14"/>
  <c r="T295" i="14"/>
  <c r="R295" i="14"/>
  <c r="T150" i="14"/>
  <c r="P150" i="14"/>
  <c r="O167" i="14"/>
  <c r="R166" i="14"/>
  <c r="T166" i="14"/>
  <c r="T205" i="14"/>
  <c r="T115" i="14"/>
  <c r="T187" i="14"/>
  <c r="P187" i="14"/>
  <c r="P271" i="13"/>
  <c r="T271" i="13"/>
  <c r="O244" i="13"/>
  <c r="T244" i="13" s="1"/>
  <c r="G205" i="13"/>
  <c r="J205" i="13" s="1"/>
  <c r="P226" i="13"/>
  <c r="O97" i="13"/>
  <c r="T96" i="13"/>
  <c r="P78" i="13"/>
  <c r="P115" i="13"/>
  <c r="T115" i="13"/>
  <c r="G271" i="13"/>
  <c r="H271" i="13" s="1"/>
  <c r="G78" i="13"/>
  <c r="H78" i="13" s="1"/>
  <c r="G226" i="13"/>
  <c r="H226" i="13" s="1"/>
  <c r="O150" i="13"/>
  <c r="P150" i="13" s="1"/>
  <c r="G187" i="13"/>
  <c r="H187" i="13" s="1"/>
  <c r="O187" i="13"/>
  <c r="O295" i="13"/>
  <c r="T295" i="13" s="1"/>
  <c r="G166" i="13"/>
  <c r="J166" i="13" s="1"/>
  <c r="G41" i="13"/>
  <c r="H41" i="13" s="1"/>
  <c r="G150" i="13"/>
  <c r="H150" i="13" s="1"/>
  <c r="G115" i="13"/>
  <c r="H115" i="13" s="1"/>
  <c r="O41" i="13"/>
  <c r="G57" i="13"/>
  <c r="J57" i="13" s="1"/>
  <c r="O131" i="13"/>
  <c r="T131" i="13" s="1"/>
  <c r="O166" i="13"/>
  <c r="T166" i="13" s="1"/>
  <c r="O57" i="13"/>
  <c r="O205" i="13"/>
  <c r="O206" i="13" s="1"/>
  <c r="G244" i="13"/>
  <c r="J244" i="13" s="1"/>
  <c r="G96" i="13"/>
  <c r="J96" i="13" s="1"/>
  <c r="O296" i="13"/>
  <c r="R295" i="13"/>
  <c r="O245" i="13" l="1"/>
  <c r="R244" i="13"/>
  <c r="P187" i="13"/>
  <c r="T187" i="13"/>
  <c r="T226" i="13"/>
  <c r="T205" i="13"/>
  <c r="T78" i="13"/>
  <c r="P41" i="13"/>
  <c r="T41" i="13"/>
  <c r="R205" i="13"/>
  <c r="T150" i="13"/>
  <c r="R57" i="13"/>
  <c r="O58" i="13"/>
  <c r="T57" i="13"/>
  <c r="O167" i="13"/>
  <c r="R166" i="13"/>
  <c r="R131" i="13"/>
  <c r="O132" i="13"/>
  <c r="N162" i="1" l="1"/>
  <c r="N127" i="1"/>
  <c r="N94" i="1"/>
  <c r="N61" i="1"/>
  <c r="N30" i="1"/>
  <c r="G12" i="4" l="1"/>
  <c r="F12" i="4"/>
  <c r="N180" i="4"/>
  <c r="F180" i="4"/>
  <c r="D180" i="4"/>
  <c r="N179" i="4"/>
  <c r="F179" i="4"/>
  <c r="D179" i="4"/>
  <c r="N178" i="4"/>
  <c r="F178" i="4"/>
  <c r="D178" i="4"/>
  <c r="N177" i="4"/>
  <c r="E177" i="4"/>
  <c r="D177" i="4"/>
  <c r="N172" i="4"/>
  <c r="F172" i="4"/>
  <c r="D172" i="4"/>
  <c r="N171" i="4"/>
  <c r="F171" i="4"/>
  <c r="D171" i="4"/>
  <c r="N170" i="4"/>
  <c r="F170" i="4"/>
  <c r="D170" i="4"/>
  <c r="N169" i="4"/>
  <c r="E169" i="4"/>
  <c r="D169" i="4"/>
  <c r="N162" i="4"/>
  <c r="F162" i="4"/>
  <c r="D162" i="4"/>
  <c r="N161" i="4"/>
  <c r="F161" i="4"/>
  <c r="D161" i="4"/>
  <c r="N160" i="4"/>
  <c r="F160" i="4"/>
  <c r="D160" i="4"/>
  <c r="N159" i="4"/>
  <c r="F159" i="4"/>
  <c r="D159" i="4"/>
  <c r="N154" i="4"/>
  <c r="F154" i="4"/>
  <c r="N153" i="4"/>
  <c r="F153" i="4"/>
  <c r="N152" i="4"/>
  <c r="F152" i="4"/>
  <c r="N151" i="4"/>
  <c r="F151" i="4"/>
  <c r="O149" i="4"/>
  <c r="M149" i="4"/>
  <c r="G149" i="4"/>
  <c r="E149" i="4"/>
  <c r="N143" i="4"/>
  <c r="F143" i="4"/>
  <c r="D143" i="4"/>
  <c r="N142" i="4"/>
  <c r="F142" i="4"/>
  <c r="D142" i="4"/>
  <c r="N141" i="4"/>
  <c r="E141" i="4"/>
  <c r="D141" i="4"/>
  <c r="N136" i="4"/>
  <c r="F136" i="4"/>
  <c r="D136" i="4"/>
  <c r="N135" i="4"/>
  <c r="F135" i="4"/>
  <c r="D135" i="4"/>
  <c r="N134" i="4"/>
  <c r="E134" i="4"/>
  <c r="D134" i="4"/>
  <c r="N127" i="4"/>
  <c r="F127" i="4"/>
  <c r="D127" i="4"/>
  <c r="N126" i="4"/>
  <c r="F126" i="4"/>
  <c r="D126" i="4"/>
  <c r="N125" i="4"/>
  <c r="F125" i="4"/>
  <c r="D125" i="4"/>
  <c r="N120" i="4"/>
  <c r="F120" i="4"/>
  <c r="N119" i="4"/>
  <c r="F119" i="4"/>
  <c r="N118" i="4"/>
  <c r="F118" i="4"/>
  <c r="O116" i="4"/>
  <c r="M116" i="4"/>
  <c r="G116" i="4"/>
  <c r="E116" i="4"/>
  <c r="N110" i="4"/>
  <c r="F110" i="4"/>
  <c r="D110" i="4"/>
  <c r="N109" i="4"/>
  <c r="F109" i="4"/>
  <c r="D109" i="4"/>
  <c r="N108" i="4"/>
  <c r="E108" i="4"/>
  <c r="D108" i="4"/>
  <c r="N103" i="4"/>
  <c r="F103" i="4"/>
  <c r="D103" i="4"/>
  <c r="N102" i="4"/>
  <c r="F102" i="4"/>
  <c r="D102" i="4"/>
  <c r="N101" i="4"/>
  <c r="E101" i="4"/>
  <c r="F101" i="4" s="1"/>
  <c r="D101" i="4"/>
  <c r="N94" i="4"/>
  <c r="F94" i="4"/>
  <c r="D94" i="4"/>
  <c r="N93" i="4"/>
  <c r="F93" i="4"/>
  <c r="D93" i="4"/>
  <c r="N92" i="4"/>
  <c r="F92" i="4"/>
  <c r="D92" i="4"/>
  <c r="N87" i="4"/>
  <c r="F87" i="4"/>
  <c r="N86" i="4"/>
  <c r="F86" i="4"/>
  <c r="N85" i="4"/>
  <c r="F85" i="4"/>
  <c r="O83" i="4"/>
  <c r="M83" i="4"/>
  <c r="G83" i="4"/>
  <c r="E83" i="4"/>
  <c r="N77" i="4"/>
  <c r="F77" i="4"/>
  <c r="D77" i="4"/>
  <c r="N76" i="4"/>
  <c r="F76" i="4"/>
  <c r="D76" i="4"/>
  <c r="N75" i="4"/>
  <c r="E75" i="4"/>
  <c r="F75" i="4" s="1"/>
  <c r="D75" i="4"/>
  <c r="N70" i="4"/>
  <c r="F70" i="4"/>
  <c r="D70" i="4"/>
  <c r="N69" i="4"/>
  <c r="F69" i="4"/>
  <c r="D69" i="4"/>
  <c r="N68" i="4"/>
  <c r="E68" i="4"/>
  <c r="D68" i="4"/>
  <c r="N61" i="4"/>
  <c r="F61" i="4"/>
  <c r="D61" i="4"/>
  <c r="N60" i="4"/>
  <c r="F60" i="4"/>
  <c r="D60" i="4"/>
  <c r="N59" i="4"/>
  <c r="F59" i="4"/>
  <c r="D59" i="4"/>
  <c r="N54" i="4"/>
  <c r="F54" i="4"/>
  <c r="N53" i="4"/>
  <c r="F53" i="4"/>
  <c r="N52" i="4"/>
  <c r="N55" i="4" s="1"/>
  <c r="F52" i="4"/>
  <c r="O50" i="4"/>
  <c r="M50" i="4"/>
  <c r="G50" i="4"/>
  <c r="E50" i="4"/>
  <c r="N44" i="4"/>
  <c r="F44" i="4"/>
  <c r="D44" i="4"/>
  <c r="N43" i="4"/>
  <c r="E43" i="4"/>
  <c r="D43" i="4"/>
  <c r="N38" i="4"/>
  <c r="F38" i="4"/>
  <c r="D38" i="4"/>
  <c r="N37" i="4"/>
  <c r="E37" i="4"/>
  <c r="F37" i="4" s="1"/>
  <c r="D37" i="4"/>
  <c r="N30" i="4"/>
  <c r="F30" i="4"/>
  <c r="D30" i="4"/>
  <c r="N29" i="4"/>
  <c r="F29" i="4"/>
  <c r="D29" i="4"/>
  <c r="N24" i="4"/>
  <c r="F24" i="4"/>
  <c r="N23" i="4"/>
  <c r="F23" i="4"/>
  <c r="O21" i="4"/>
  <c r="M21" i="4"/>
  <c r="G21" i="4"/>
  <c r="E21" i="4"/>
  <c r="G5" i="4"/>
  <c r="G7" i="4" s="1"/>
  <c r="F5" i="4"/>
  <c r="F7" i="4" s="1"/>
  <c r="O70" i="4" s="1"/>
  <c r="C5" i="4"/>
  <c r="C7" i="4" s="1"/>
  <c r="G60" i="4" s="1"/>
  <c r="B5" i="4"/>
  <c r="B7" i="4" s="1"/>
  <c r="N101" i="1"/>
  <c r="N100" i="1"/>
  <c r="N99" i="1"/>
  <c r="F101" i="1"/>
  <c r="F100" i="1"/>
  <c r="N42" i="1"/>
  <c r="F36" i="1"/>
  <c r="N178" i="1"/>
  <c r="N177" i="1"/>
  <c r="N176" i="1"/>
  <c r="N175" i="1"/>
  <c r="F178" i="1"/>
  <c r="F177" i="1"/>
  <c r="F176" i="1"/>
  <c r="N170" i="1"/>
  <c r="N169" i="1"/>
  <c r="N168" i="1"/>
  <c r="N167" i="1"/>
  <c r="F170" i="1"/>
  <c r="F169" i="1"/>
  <c r="F168" i="1"/>
  <c r="N141" i="1"/>
  <c r="N140" i="1"/>
  <c r="N139" i="1"/>
  <c r="F141" i="1"/>
  <c r="F140" i="1"/>
  <c r="N134" i="1"/>
  <c r="N133" i="1"/>
  <c r="N132" i="1"/>
  <c r="F134" i="1"/>
  <c r="F133" i="1"/>
  <c r="F108" i="1"/>
  <c r="F107" i="1"/>
  <c r="N108" i="1"/>
  <c r="N107" i="1"/>
  <c r="N106" i="1"/>
  <c r="N75" i="1"/>
  <c r="N74" i="1"/>
  <c r="N73" i="1"/>
  <c r="F75" i="1"/>
  <c r="F74" i="1"/>
  <c r="N68" i="1"/>
  <c r="N67" i="1"/>
  <c r="N66" i="1"/>
  <c r="F68" i="1"/>
  <c r="F67" i="1"/>
  <c r="N41" i="1"/>
  <c r="N36" i="1"/>
  <c r="N35" i="1"/>
  <c r="F42" i="1"/>
  <c r="D42" i="1"/>
  <c r="D41" i="1"/>
  <c r="D36" i="1"/>
  <c r="D35" i="1"/>
  <c r="D28" i="1"/>
  <c r="D27" i="1"/>
  <c r="D74" i="1"/>
  <c r="D75" i="1"/>
  <c r="D73" i="1"/>
  <c r="D67" i="1"/>
  <c r="D68" i="1"/>
  <c r="D66" i="1"/>
  <c r="D58" i="1"/>
  <c r="D59" i="1"/>
  <c r="D57" i="1"/>
  <c r="D176" i="1"/>
  <c r="D177" i="1"/>
  <c r="D178" i="1"/>
  <c r="D175" i="1"/>
  <c r="D168" i="1"/>
  <c r="D169" i="1"/>
  <c r="D170" i="1"/>
  <c r="D167" i="1"/>
  <c r="D158" i="1"/>
  <c r="D159" i="1"/>
  <c r="D160" i="1"/>
  <c r="D157" i="1"/>
  <c r="D140" i="1"/>
  <c r="D141" i="1"/>
  <c r="D139" i="1"/>
  <c r="D134" i="1"/>
  <c r="D133" i="1"/>
  <c r="D132" i="1"/>
  <c r="D125" i="1"/>
  <c r="D124" i="1"/>
  <c r="D123" i="1"/>
  <c r="D106" i="1"/>
  <c r="D99" i="1"/>
  <c r="D90" i="1"/>
  <c r="D108" i="1"/>
  <c r="D107" i="1"/>
  <c r="N45" i="4" l="1"/>
  <c r="F55" i="4"/>
  <c r="F155" i="4"/>
  <c r="N128" i="4"/>
  <c r="N71" i="4"/>
  <c r="F39" i="4"/>
  <c r="N173" i="4"/>
  <c r="O169" i="4"/>
  <c r="F78" i="4"/>
  <c r="N25" i="4"/>
  <c r="F62" i="4"/>
  <c r="F121" i="4"/>
  <c r="F163" i="4"/>
  <c r="N155" i="4"/>
  <c r="F104" i="4"/>
  <c r="N104" i="4"/>
  <c r="F25" i="4"/>
  <c r="N163" i="4"/>
  <c r="F95" i="4"/>
  <c r="F128" i="4"/>
  <c r="F31" i="4"/>
  <c r="O125" i="4"/>
  <c r="N78" i="4"/>
  <c r="F88" i="4"/>
  <c r="N62" i="4"/>
  <c r="G134" i="4"/>
  <c r="N31" i="4"/>
  <c r="G68" i="4"/>
  <c r="N88" i="4"/>
  <c r="O102" i="4"/>
  <c r="G101" i="4"/>
  <c r="O135" i="4"/>
  <c r="O171" i="4"/>
  <c r="O38" i="4"/>
  <c r="G70" i="4"/>
  <c r="G136" i="4"/>
  <c r="O101" i="4"/>
  <c r="G172" i="4"/>
  <c r="G38" i="4"/>
  <c r="G108" i="4"/>
  <c r="O118" i="4"/>
  <c r="G53" i="4"/>
  <c r="G154" i="4"/>
  <c r="G151" i="4"/>
  <c r="O85" i="4"/>
  <c r="D7" i="4"/>
  <c r="G118" i="4"/>
  <c r="O52" i="4"/>
  <c r="O119" i="4"/>
  <c r="G85" i="4"/>
  <c r="G23" i="4"/>
  <c r="G153" i="4"/>
  <c r="G54" i="4"/>
  <c r="G119" i="4"/>
  <c r="O152" i="4"/>
  <c r="O87" i="4"/>
  <c r="O53" i="4"/>
  <c r="G152" i="4"/>
  <c r="G87" i="4"/>
  <c r="O24" i="4"/>
  <c r="O151" i="4"/>
  <c r="O86" i="4"/>
  <c r="G52" i="4"/>
  <c r="O154" i="4"/>
  <c r="O120" i="4"/>
  <c r="G24" i="4"/>
  <c r="G86" i="4"/>
  <c r="C16" i="4"/>
  <c r="C17" i="4" s="1"/>
  <c r="G120" i="4"/>
  <c r="O23" i="4"/>
  <c r="O54" i="4"/>
  <c r="O153" i="4"/>
  <c r="N181" i="4"/>
  <c r="O93" i="4"/>
  <c r="O161" i="4"/>
  <c r="G159" i="4"/>
  <c r="G126" i="4"/>
  <c r="O60" i="4"/>
  <c r="G30" i="4"/>
  <c r="G93" i="4"/>
  <c r="G94" i="4"/>
  <c r="O159" i="4"/>
  <c r="G161" i="4"/>
  <c r="G125" i="4"/>
  <c r="O127" i="4"/>
  <c r="O59" i="4"/>
  <c r="O160" i="4"/>
  <c r="G127" i="4"/>
  <c r="G59" i="4"/>
  <c r="O61" i="4"/>
  <c r="O30" i="4"/>
  <c r="G160" i="4"/>
  <c r="O92" i="4"/>
  <c r="O162" i="4"/>
  <c r="O126" i="4"/>
  <c r="G61" i="4"/>
  <c r="G92" i="4"/>
  <c r="G162" i="4"/>
  <c r="O29" i="4"/>
  <c r="O94" i="4"/>
  <c r="N95" i="4"/>
  <c r="G109" i="4"/>
  <c r="O43" i="4"/>
  <c r="O179" i="4"/>
  <c r="G76" i="4"/>
  <c r="O141" i="4"/>
  <c r="G179" i="4"/>
  <c r="O77" i="4"/>
  <c r="H7" i="4"/>
  <c r="O44" i="4"/>
  <c r="O177" i="4"/>
  <c r="G16" i="4"/>
  <c r="G17" i="4" s="1"/>
  <c r="O75" i="4"/>
  <c r="O142" i="4"/>
  <c r="O108" i="4"/>
  <c r="G77" i="4"/>
  <c r="O178" i="4"/>
  <c r="G142" i="4"/>
  <c r="O110" i="4"/>
  <c r="G178" i="4"/>
  <c r="O76" i="4"/>
  <c r="O180" i="4"/>
  <c r="G110" i="4"/>
  <c r="G180" i="4"/>
  <c r="O143" i="4"/>
  <c r="O109" i="4"/>
  <c r="G44" i="4"/>
  <c r="G143" i="4"/>
  <c r="G75" i="4"/>
  <c r="G78" i="4" s="1"/>
  <c r="G79" i="4" s="1"/>
  <c r="G29" i="4"/>
  <c r="G169" i="4"/>
  <c r="F169" i="4"/>
  <c r="F173" i="4" s="1"/>
  <c r="G141" i="4"/>
  <c r="F68" i="4"/>
  <c r="F71" i="4" s="1"/>
  <c r="F141" i="4"/>
  <c r="F144" i="4" s="1"/>
  <c r="N144" i="4"/>
  <c r="O170" i="4"/>
  <c r="G135" i="4"/>
  <c r="O69" i="4"/>
  <c r="G102" i="4"/>
  <c r="O172" i="4"/>
  <c r="G170" i="4"/>
  <c r="G69" i="4"/>
  <c r="G37" i="4"/>
  <c r="O68" i="4"/>
  <c r="F134" i="4"/>
  <c r="F137" i="4" s="1"/>
  <c r="O136" i="4"/>
  <c r="N39" i="4"/>
  <c r="F108" i="4"/>
  <c r="F111" i="4" s="1"/>
  <c r="N121" i="4"/>
  <c r="O37" i="4"/>
  <c r="G103" i="4"/>
  <c r="N137" i="4"/>
  <c r="G43" i="4"/>
  <c r="N111" i="4"/>
  <c r="O134" i="4"/>
  <c r="F43" i="4"/>
  <c r="F45" i="4" s="1"/>
  <c r="O103" i="4"/>
  <c r="G171" i="4"/>
  <c r="G177" i="4"/>
  <c r="F177" i="4"/>
  <c r="F181" i="4" s="1"/>
  <c r="D91" i="1"/>
  <c r="D92" i="1"/>
  <c r="D100" i="1"/>
  <c r="D101" i="1"/>
  <c r="G39" i="4" l="1"/>
  <c r="G137" i="4"/>
  <c r="O173" i="4"/>
  <c r="G144" i="4"/>
  <c r="G145" i="4" s="1"/>
  <c r="O39" i="4"/>
  <c r="O104" i="4"/>
  <c r="O71" i="4"/>
  <c r="O137" i="4"/>
  <c r="O55" i="4"/>
  <c r="O181" i="4"/>
  <c r="O182" i="4" s="1"/>
  <c r="G71" i="4"/>
  <c r="G95" i="4"/>
  <c r="G96" i="4" s="1"/>
  <c r="G45" i="4"/>
  <c r="G46" i="4" s="1"/>
  <c r="O144" i="4"/>
  <c r="O145" i="4" s="1"/>
  <c r="O128" i="4"/>
  <c r="O129" i="4" s="1"/>
  <c r="G62" i="4"/>
  <c r="G63" i="4" s="1"/>
  <c r="G173" i="4"/>
  <c r="O31" i="4"/>
  <c r="O32" i="4" s="1"/>
  <c r="G55" i="4"/>
  <c r="G25" i="4"/>
  <c r="G31" i="4"/>
  <c r="O62" i="4"/>
  <c r="O63" i="4" s="1"/>
  <c r="G88" i="4"/>
  <c r="G104" i="4"/>
  <c r="O155" i="4"/>
  <c r="G128" i="4"/>
  <c r="G129" i="4" s="1"/>
  <c r="G121" i="4"/>
  <c r="G181" i="4"/>
  <c r="G182" i="4" s="1"/>
  <c r="O111" i="4"/>
  <c r="O112" i="4" s="1"/>
  <c r="O45" i="4"/>
  <c r="O46" i="4" s="1"/>
  <c r="O163" i="4"/>
  <c r="O164" i="4" s="1"/>
  <c r="O25" i="4"/>
  <c r="O95" i="4"/>
  <c r="O96" i="4" s="1"/>
  <c r="O88" i="4"/>
  <c r="O78" i="4"/>
  <c r="O79" i="4" s="1"/>
  <c r="G155" i="4"/>
  <c r="O121" i="4"/>
  <c r="G163" i="4"/>
  <c r="G164" i="4" s="1"/>
  <c r="G111" i="4"/>
  <c r="G112" i="4" s="1"/>
  <c r="G147" i="1"/>
  <c r="E147" i="1"/>
  <c r="G114" i="1"/>
  <c r="E114" i="1"/>
  <c r="G81" i="1"/>
  <c r="E81" i="1"/>
  <c r="O147" i="1"/>
  <c r="M147" i="1"/>
  <c r="O114" i="1"/>
  <c r="M114" i="1"/>
  <c r="O81" i="1"/>
  <c r="M81" i="1"/>
  <c r="O48" i="1"/>
  <c r="G48" i="1"/>
  <c r="G19" i="1"/>
  <c r="O19" i="1"/>
  <c r="N160" i="1"/>
  <c r="N159" i="1"/>
  <c r="N158" i="1"/>
  <c r="N157" i="1"/>
  <c r="N152" i="1"/>
  <c r="N151" i="1"/>
  <c r="N150" i="1"/>
  <c r="N149" i="1"/>
  <c r="N125" i="1"/>
  <c r="N124" i="1"/>
  <c r="N123" i="1"/>
  <c r="N118" i="1"/>
  <c r="N117" i="1"/>
  <c r="N116" i="1"/>
  <c r="N92" i="1"/>
  <c r="N91" i="1"/>
  <c r="N90" i="1"/>
  <c r="N85" i="1"/>
  <c r="N84" i="1"/>
  <c r="N83" i="1"/>
  <c r="N59" i="1"/>
  <c r="N58" i="1"/>
  <c r="N57" i="1"/>
  <c r="N52" i="1"/>
  <c r="N51" i="1"/>
  <c r="N50" i="1"/>
  <c r="M48" i="1"/>
  <c r="N28" i="1"/>
  <c r="N27" i="1"/>
  <c r="N22" i="1"/>
  <c r="N21" i="1"/>
  <c r="M19" i="1"/>
  <c r="F158" i="1"/>
  <c r="F150" i="1"/>
  <c r="E175" i="1"/>
  <c r="F175" i="1" s="1"/>
  <c r="E167" i="1"/>
  <c r="F167" i="1" s="1"/>
  <c r="F160" i="1"/>
  <c r="F159" i="1"/>
  <c r="F157" i="1"/>
  <c r="F152" i="1"/>
  <c r="F151" i="1"/>
  <c r="F149" i="1"/>
  <c r="E139" i="1"/>
  <c r="F139" i="1" s="1"/>
  <c r="E132" i="1"/>
  <c r="F132" i="1" s="1"/>
  <c r="F125" i="1"/>
  <c r="F124" i="1"/>
  <c r="F123" i="1"/>
  <c r="F118" i="1"/>
  <c r="F117" i="1"/>
  <c r="F116" i="1"/>
  <c r="F91" i="1"/>
  <c r="F84" i="1"/>
  <c r="E106" i="1"/>
  <c r="F106" i="1" s="1"/>
  <c r="E99" i="1"/>
  <c r="F99" i="1" s="1"/>
  <c r="F92" i="1"/>
  <c r="F90" i="1"/>
  <c r="F85" i="1"/>
  <c r="F83" i="1"/>
  <c r="F59" i="1"/>
  <c r="F52" i="1"/>
  <c r="E73" i="1"/>
  <c r="F73" i="1" s="1"/>
  <c r="E66" i="1"/>
  <c r="F66" i="1" s="1"/>
  <c r="F58" i="1"/>
  <c r="F57" i="1"/>
  <c r="F51" i="1"/>
  <c r="F50" i="1"/>
  <c r="E48" i="1"/>
  <c r="F22" i="1"/>
  <c r="E19" i="1"/>
  <c r="E41" i="1"/>
  <c r="F41" i="1" s="1"/>
  <c r="E35" i="1"/>
  <c r="F35" i="1" s="1"/>
  <c r="G89" i="4" l="1"/>
  <c r="G98" i="4" s="1"/>
  <c r="G97" i="4"/>
  <c r="G72" i="4"/>
  <c r="G80" i="4"/>
  <c r="O56" i="4"/>
  <c r="P63" i="4" s="1"/>
  <c r="O64" i="4"/>
  <c r="O26" i="4"/>
  <c r="O34" i="4" s="1"/>
  <c r="O33" i="4"/>
  <c r="G26" i="4"/>
  <c r="G33" i="4"/>
  <c r="O138" i="4"/>
  <c r="O147" i="4" s="1"/>
  <c r="O146" i="4"/>
  <c r="G105" i="4"/>
  <c r="G114" i="4" s="1"/>
  <c r="G113" i="4"/>
  <c r="O89" i="4"/>
  <c r="O98" i="4" s="1"/>
  <c r="O97" i="4"/>
  <c r="O72" i="4"/>
  <c r="O81" i="4" s="1"/>
  <c r="O80" i="4"/>
  <c r="O105" i="4"/>
  <c r="O114" i="4" s="1"/>
  <c r="O113" i="4"/>
  <c r="G174" i="4"/>
  <c r="G184" i="4" s="1"/>
  <c r="G183" i="4"/>
  <c r="G122" i="4"/>
  <c r="G131" i="4" s="1"/>
  <c r="G130" i="4"/>
  <c r="O174" i="4"/>
  <c r="O184" i="4" s="1"/>
  <c r="O183" i="4"/>
  <c r="G156" i="4"/>
  <c r="G166" i="4" s="1"/>
  <c r="G165" i="4"/>
  <c r="G56" i="4"/>
  <c r="H63" i="4" s="1"/>
  <c r="G64" i="4"/>
  <c r="O40" i="4"/>
  <c r="O48" i="4" s="1"/>
  <c r="O47" i="4"/>
  <c r="G138" i="4"/>
  <c r="G147" i="4" s="1"/>
  <c r="G146" i="4"/>
  <c r="O122" i="4"/>
  <c r="O131" i="4" s="1"/>
  <c r="O130" i="4"/>
  <c r="O156" i="4"/>
  <c r="O166" i="4" s="1"/>
  <c r="O165" i="4"/>
  <c r="G40" i="4"/>
  <c r="G48" i="4" s="1"/>
  <c r="G47" i="4"/>
  <c r="G32" i="4"/>
  <c r="T129" i="4"/>
  <c r="T182" i="4"/>
  <c r="T145" i="4"/>
  <c r="T79" i="4"/>
  <c r="T96" i="4"/>
  <c r="P96" i="4"/>
  <c r="T164" i="4"/>
  <c r="T46" i="4"/>
  <c r="T112" i="4"/>
  <c r="T63" i="4"/>
  <c r="F126" i="1"/>
  <c r="N53" i="1"/>
  <c r="N76" i="1"/>
  <c r="N60" i="1"/>
  <c r="N37" i="1"/>
  <c r="N102" i="1"/>
  <c r="F53" i="1"/>
  <c r="N179" i="1"/>
  <c r="N119" i="1"/>
  <c r="N142" i="1"/>
  <c r="N23" i="1"/>
  <c r="N43" i="1"/>
  <c r="N161" i="1"/>
  <c r="N93" i="1"/>
  <c r="N29" i="1"/>
  <c r="N126" i="1"/>
  <c r="N171" i="1"/>
  <c r="N153" i="1"/>
  <c r="N86" i="1"/>
  <c r="N109" i="1"/>
  <c r="N69" i="1"/>
  <c r="F93" i="1"/>
  <c r="F161" i="1"/>
  <c r="F60" i="1"/>
  <c r="F119" i="1"/>
  <c r="F153" i="1"/>
  <c r="F86" i="1"/>
  <c r="F142" i="1"/>
  <c r="F135" i="1"/>
  <c r="F109" i="1"/>
  <c r="F102" i="1"/>
  <c r="F43" i="1"/>
  <c r="F76" i="1"/>
  <c r="F69" i="1"/>
  <c r="F37" i="1"/>
  <c r="I72" i="4" l="1"/>
  <c r="R79" i="4"/>
  <c r="T174" i="4"/>
  <c r="R112" i="4"/>
  <c r="T40" i="4"/>
  <c r="N182" i="4"/>
  <c r="N164" i="4"/>
  <c r="I105" i="4"/>
  <c r="N112" i="4"/>
  <c r="H129" i="4"/>
  <c r="T89" i="4"/>
  <c r="G34" i="4"/>
  <c r="J112" i="4"/>
  <c r="N63" i="4"/>
  <c r="P164" i="4"/>
  <c r="H96" i="4"/>
  <c r="R145" i="4"/>
  <c r="I138" i="4"/>
  <c r="N96" i="4"/>
  <c r="P129" i="4"/>
  <c r="J145" i="4"/>
  <c r="N145" i="4"/>
  <c r="N129" i="4"/>
  <c r="N46" i="4"/>
  <c r="Q105" i="4"/>
  <c r="R182" i="4"/>
  <c r="T26" i="4"/>
  <c r="J46" i="4"/>
  <c r="H32" i="4"/>
  <c r="T72" i="4"/>
  <c r="G81" i="4"/>
  <c r="I174" i="4"/>
  <c r="T156" i="4"/>
  <c r="N32" i="4"/>
  <c r="J182" i="4"/>
  <c r="T105" i="4"/>
  <c r="Q40" i="4"/>
  <c r="T56" i="4"/>
  <c r="O65" i="4"/>
  <c r="Q174" i="4"/>
  <c r="Q72" i="4"/>
  <c r="H164" i="4"/>
  <c r="T138" i="4"/>
  <c r="R46" i="4"/>
  <c r="T122" i="4"/>
  <c r="Q138" i="4"/>
  <c r="P32" i="4"/>
  <c r="I40" i="4"/>
  <c r="J79" i="4"/>
  <c r="G65" i="4"/>
  <c r="N79" i="4"/>
  <c r="T32" i="4"/>
  <c r="N135" i="1"/>
  <c r="F179" i="1"/>
  <c r="F171" i="1"/>
  <c r="F28" i="1" l="1"/>
  <c r="F27" i="1"/>
  <c r="F21" i="1"/>
  <c r="F23" i="1" s="1"/>
  <c r="G5" i="1"/>
  <c r="G7" i="1" s="1"/>
  <c r="O73" i="1" s="1"/>
  <c r="C5" i="1"/>
  <c r="C7" i="1" s="1"/>
  <c r="F5" i="1"/>
  <c r="F7" i="1" s="1"/>
  <c r="B5" i="1"/>
  <c r="B7" i="1" s="1"/>
  <c r="H7" i="1" l="1"/>
  <c r="D7" i="1"/>
  <c r="O169" i="1"/>
  <c r="O133" i="1"/>
  <c r="O100" i="1"/>
  <c r="O68" i="1"/>
  <c r="O132" i="1"/>
  <c r="O99" i="1"/>
  <c r="O67" i="1"/>
  <c r="G168" i="1"/>
  <c r="O170" i="1"/>
  <c r="O101" i="1"/>
  <c r="O134" i="1"/>
  <c r="O168" i="1"/>
  <c r="O36" i="1"/>
  <c r="O35" i="1"/>
  <c r="O66" i="1"/>
  <c r="O167" i="1"/>
  <c r="O141" i="1"/>
  <c r="O75" i="1"/>
  <c r="O107" i="1"/>
  <c r="O42" i="1"/>
  <c r="O140" i="1"/>
  <c r="O74" i="1"/>
  <c r="O106" i="1"/>
  <c r="O41" i="1"/>
  <c r="O177" i="1"/>
  <c r="G176" i="1"/>
  <c r="O175" i="1"/>
  <c r="O139" i="1"/>
  <c r="O178" i="1"/>
  <c r="O176" i="1"/>
  <c r="O108" i="1"/>
  <c r="G150" i="1"/>
  <c r="O22" i="1"/>
  <c r="O152" i="1"/>
  <c r="O118" i="1"/>
  <c r="O21" i="1"/>
  <c r="O116" i="1"/>
  <c r="O51" i="1"/>
  <c r="O83" i="1"/>
  <c r="O151" i="1"/>
  <c r="O85" i="1"/>
  <c r="O117" i="1"/>
  <c r="O52" i="1"/>
  <c r="O150" i="1"/>
  <c r="O84" i="1"/>
  <c r="O149" i="1"/>
  <c r="O50" i="1"/>
  <c r="G158" i="1"/>
  <c r="O157" i="1"/>
  <c r="O91" i="1"/>
  <c r="O123" i="1"/>
  <c r="O58" i="1"/>
  <c r="O90" i="1"/>
  <c r="O57" i="1"/>
  <c r="O160" i="1"/>
  <c r="O159" i="1"/>
  <c r="O92" i="1"/>
  <c r="O124" i="1"/>
  <c r="O27" i="1"/>
  <c r="O125" i="1"/>
  <c r="O28" i="1"/>
  <c r="O59" i="1"/>
  <c r="O158" i="1"/>
  <c r="G152" i="1"/>
  <c r="G84" i="1"/>
  <c r="G118" i="1"/>
  <c r="G149" i="1"/>
  <c r="G117" i="1"/>
  <c r="G85" i="1"/>
  <c r="G116" i="1"/>
  <c r="G52" i="1"/>
  <c r="G151" i="1"/>
  <c r="G83" i="1"/>
  <c r="G100" i="1"/>
  <c r="G170" i="1"/>
  <c r="G134" i="1"/>
  <c r="G133" i="1"/>
  <c r="G169" i="1"/>
  <c r="G68" i="1"/>
  <c r="G101" i="1"/>
  <c r="G167" i="1"/>
  <c r="G99" i="1"/>
  <c r="G132" i="1"/>
  <c r="G159" i="1"/>
  <c r="G125" i="1"/>
  <c r="G157" i="1"/>
  <c r="G124" i="1"/>
  <c r="G90" i="1"/>
  <c r="G59" i="1"/>
  <c r="G91" i="1"/>
  <c r="G123" i="1"/>
  <c r="G92" i="1"/>
  <c r="G160" i="1"/>
  <c r="G178" i="1"/>
  <c r="G141" i="1"/>
  <c r="G177" i="1"/>
  <c r="G140" i="1"/>
  <c r="G75" i="1"/>
  <c r="G108" i="1"/>
  <c r="G107" i="1"/>
  <c r="G106" i="1"/>
  <c r="G139" i="1"/>
  <c r="G175" i="1"/>
  <c r="F29" i="1"/>
  <c r="G50" i="1"/>
  <c r="G51" i="1"/>
  <c r="G21" i="1"/>
  <c r="G67" i="1"/>
  <c r="G66" i="1"/>
  <c r="G27" i="1"/>
  <c r="G58" i="1"/>
  <c r="G57" i="1"/>
  <c r="G74" i="1"/>
  <c r="G73" i="1"/>
  <c r="G35" i="1"/>
  <c r="G36" i="1"/>
  <c r="G22" i="1"/>
  <c r="G28" i="1"/>
  <c r="C14" i="1"/>
  <c r="C15" i="1" s="1"/>
  <c r="G14" i="1"/>
  <c r="G15" i="1" s="1"/>
  <c r="G42" i="1"/>
  <c r="G41" i="1"/>
  <c r="G23" i="1" l="1"/>
  <c r="G24" i="1" s="1"/>
  <c r="O109" i="1"/>
  <c r="O110" i="1" s="1"/>
  <c r="N110" i="1" s="1"/>
  <c r="O43" i="1"/>
  <c r="O44" i="1" s="1"/>
  <c r="N44" i="1" s="1"/>
  <c r="G43" i="1"/>
  <c r="G44" i="1" s="1"/>
  <c r="O29" i="1"/>
  <c r="O53" i="1"/>
  <c r="O153" i="1"/>
  <c r="O60" i="1"/>
  <c r="O61" i="1" s="1"/>
  <c r="O23" i="1"/>
  <c r="O102" i="1"/>
  <c r="O171" i="1"/>
  <c r="O126" i="1"/>
  <c r="O127" i="1" s="1"/>
  <c r="O93" i="1"/>
  <c r="O94" i="1" s="1"/>
  <c r="O76" i="1"/>
  <c r="O77" i="1" s="1"/>
  <c r="N77" i="1" s="1"/>
  <c r="O135" i="1"/>
  <c r="O86" i="1"/>
  <c r="O142" i="1"/>
  <c r="O143" i="1" s="1"/>
  <c r="N143" i="1" s="1"/>
  <c r="O179" i="1"/>
  <c r="O180" i="1" s="1"/>
  <c r="N180" i="1" s="1"/>
  <c r="O69" i="1"/>
  <c r="G69" i="1"/>
  <c r="O161" i="1"/>
  <c r="O162" i="1" s="1"/>
  <c r="O119" i="1"/>
  <c r="O37" i="1"/>
  <c r="G135" i="1"/>
  <c r="G102" i="1"/>
  <c r="G53" i="1"/>
  <c r="G171" i="1"/>
  <c r="G93" i="1"/>
  <c r="G94" i="1" s="1"/>
  <c r="G119" i="1"/>
  <c r="G179" i="1"/>
  <c r="G180" i="1" s="1"/>
  <c r="G126" i="1"/>
  <c r="G127" i="1" s="1"/>
  <c r="G153" i="1"/>
  <c r="G60" i="1"/>
  <c r="G61" i="1" s="1"/>
  <c r="G161" i="1"/>
  <c r="G76" i="1"/>
  <c r="G77" i="1" s="1"/>
  <c r="G142" i="1"/>
  <c r="G143" i="1" s="1"/>
  <c r="G109" i="1"/>
  <c r="G110" i="1" s="1"/>
  <c r="G86" i="1"/>
  <c r="G29" i="1"/>
  <c r="G37" i="1"/>
  <c r="G45" i="1" s="1"/>
  <c r="O172" i="1" l="1"/>
  <c r="O182" i="1" s="1"/>
  <c r="O181" i="1"/>
  <c r="G172" i="1"/>
  <c r="G182" i="1" s="1"/>
  <c r="G181" i="1"/>
  <c r="T110" i="1"/>
  <c r="G31" i="1"/>
  <c r="G154" i="1"/>
  <c r="G163" i="1"/>
  <c r="O154" i="1"/>
  <c r="O164" i="1" s="1"/>
  <c r="O163" i="1"/>
  <c r="G136" i="1"/>
  <c r="G145" i="1" s="1"/>
  <c r="G144" i="1"/>
  <c r="O136" i="1"/>
  <c r="O145" i="1" s="1"/>
  <c r="O144" i="1"/>
  <c r="O120" i="1"/>
  <c r="O129" i="1" s="1"/>
  <c r="O128" i="1"/>
  <c r="G120" i="1"/>
  <c r="G129" i="1" s="1"/>
  <c r="G128" i="1"/>
  <c r="O103" i="1"/>
  <c r="O112" i="1" s="1"/>
  <c r="O111" i="1"/>
  <c r="O87" i="1"/>
  <c r="O96" i="1" s="1"/>
  <c r="O95" i="1"/>
  <c r="G103" i="1"/>
  <c r="G112" i="1" s="1"/>
  <c r="G111" i="1"/>
  <c r="G87" i="1"/>
  <c r="G96" i="1" s="1"/>
  <c r="G95" i="1"/>
  <c r="O70" i="1"/>
  <c r="O79" i="1" s="1"/>
  <c r="O78" i="1"/>
  <c r="O54" i="1"/>
  <c r="O63" i="1" s="1"/>
  <c r="O62" i="1"/>
  <c r="G70" i="1"/>
  <c r="G79" i="1" s="1"/>
  <c r="G78" i="1"/>
  <c r="G54" i="1"/>
  <c r="G63" i="1" s="1"/>
  <c r="G62" i="1"/>
  <c r="O38" i="1"/>
  <c r="O46" i="1" s="1"/>
  <c r="O45" i="1"/>
  <c r="O24" i="1"/>
  <c r="R44" i="1" s="1"/>
  <c r="O31" i="1"/>
  <c r="T44" i="1"/>
  <c r="T127" i="1"/>
  <c r="T94" i="1"/>
  <c r="T77" i="1"/>
  <c r="T180" i="1"/>
  <c r="T143" i="1"/>
  <c r="G162" i="1"/>
  <c r="H162" i="1" s="1"/>
  <c r="T61" i="1"/>
  <c r="T136" i="1"/>
  <c r="G30" i="1"/>
  <c r="H30" i="1" s="1"/>
  <c r="O30" i="1"/>
  <c r="J44" i="1"/>
  <c r="G38" i="1"/>
  <c r="R180" i="1" l="1"/>
  <c r="Q172" i="1"/>
  <c r="P162" i="1"/>
  <c r="T154" i="1"/>
  <c r="I172" i="1"/>
  <c r="G164" i="1"/>
  <c r="J180" i="1"/>
  <c r="T172" i="1"/>
  <c r="J143" i="1"/>
  <c r="I136" i="1"/>
  <c r="H127" i="1"/>
  <c r="T120" i="1"/>
  <c r="J77" i="1"/>
  <c r="J110" i="1"/>
  <c r="R110" i="1"/>
  <c r="T87" i="1"/>
  <c r="H94" i="1"/>
  <c r="T54" i="1"/>
  <c r="Q70" i="1"/>
  <c r="T103" i="1"/>
  <c r="P61" i="1"/>
  <c r="R77" i="1"/>
  <c r="I103" i="1"/>
  <c r="T70" i="1"/>
  <c r="G32" i="1"/>
  <c r="I38" i="1"/>
  <c r="G46" i="1"/>
  <c r="I70" i="1"/>
  <c r="H61" i="1"/>
  <c r="Q38" i="1"/>
  <c r="T24" i="1"/>
  <c r="O32" i="1"/>
  <c r="T162" i="1"/>
  <c r="T38" i="1"/>
  <c r="Q136" i="1"/>
  <c r="R143" i="1"/>
  <c r="P30" i="1"/>
  <c r="T30" i="1"/>
  <c r="P94" i="1"/>
  <c r="Q103" i="1"/>
  <c r="P1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Bellodi Adriano BRGO</author>
  </authors>
  <commentList>
    <comment ref="C13" authorId="0" shapeId="0" xr:uid="{6B006B18-EE9C-4FF7-BCC5-794F695386CC}">
      <text>
        <r>
          <rPr>
            <sz val="7"/>
            <color indexed="81"/>
            <rFont val="Segoe UI"/>
            <family val="2"/>
          </rPr>
          <t xml:space="preserve">Utilizar Preço Livre :
Pegar preço com time de Barter </t>
        </r>
      </text>
    </comment>
    <comment ref="D14" authorId="0" shapeId="0" xr:uid="{60BDDE6A-2200-4FAE-BF54-5632DE009BE4}">
      <text>
        <r>
          <rPr>
            <sz val="7"/>
            <color indexed="81"/>
            <rFont val="Segoe UI"/>
            <family val="2"/>
          </rPr>
          <t xml:space="preserve">Utilizar Preço Livre :
Pegar preço com time de Barter </t>
        </r>
      </text>
    </comment>
    <comment ref="C15" authorId="0" shapeId="0" xr:uid="{AFAB52BD-C7FD-47FB-9C72-6BDA698A84E6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SEM VERDAVIS , SEM INVENCIS + FUNGICIDAS</t>
        </r>
      </text>
    </comment>
    <comment ref="D15" authorId="0" shapeId="0" xr:uid="{A7C597D4-400C-4411-A6AA-AA8BEC321756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SEM VERDAVIS , SEM INVENCIS + FUNGICIDAS</t>
        </r>
      </text>
    </comment>
    <comment ref="C18" authorId="0" shapeId="0" xr:uid="{FF498F3E-0AFC-4796-B758-FFC16E3278B7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(C/ Verdavis ou Invncis + Fungicidas)</t>
        </r>
      </text>
    </comment>
    <comment ref="D18" authorId="0" shapeId="0" xr:uid="{4A467BB2-D3EC-4189-8A1F-BB3DCE828E1B}">
      <text>
        <r>
          <rPr>
            <b/>
            <sz val="7"/>
            <color indexed="81"/>
            <rFont val="Segoe UI"/>
            <family val="2"/>
          </rPr>
          <t>Bonus Barter Dólar</t>
        </r>
        <r>
          <rPr>
            <sz val="7"/>
            <color indexed="81"/>
            <rFont val="Segoe UI"/>
            <family val="2"/>
          </rPr>
          <t xml:space="preserve"> Nutrade (C/ Verdavis ou Invncis + Fungicidas)</t>
        </r>
      </text>
    </comment>
    <comment ref="O58" authorId="0" shapeId="0" xr:uid="{8A861D80-2167-4B90-9E66-2BE3D80E9AE6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O97" authorId="0" shapeId="0" xr:uid="{23835678-FA11-45F2-B12D-E52A0279FC4D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O132" authorId="0" shapeId="0" xr:uid="{C4C72E98-13B1-4CE8-9B2E-5374A663C753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136" authorId="0" shapeId="0" xr:uid="{4D601D12-4EB5-4B9D-AA0F-79BF459D6E0E}">
      <text>
        <r>
          <rPr>
            <sz val="7"/>
            <color indexed="81"/>
            <rFont val="Segoe UI"/>
            <family val="2"/>
          </rPr>
          <t>Proporção:
Verdavis 2 L:
Bonifica :
Engeo Pleno : 1 L</t>
        </r>
      </text>
    </comment>
    <comment ref="O167" authorId="0" shapeId="0" xr:uid="{F377636D-B27C-4B0F-9370-8C61ED7BDE70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171" authorId="0" shapeId="0" xr:uid="{331D31E1-C2F0-49B0-A2AA-4E8D1A566269}">
      <text>
        <r>
          <rPr>
            <sz val="7"/>
            <color indexed="81"/>
            <rFont val="Segoe UI"/>
            <family val="2"/>
          </rPr>
          <t>Proporção:
Verdavis : 2 L
Invencis : 1 L
Bonifica:
Engeo Pleno 1,5 L</t>
        </r>
      </text>
    </comment>
    <comment ref="O206" authorId="0" shapeId="0" xr:uid="{518FE35A-AEDB-4E1B-ABD6-7CFED909C7DC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210" authorId="0" shapeId="0" xr:uid="{9818028B-9301-441B-B090-1CCD441FF628}">
      <text>
        <r>
          <rPr>
            <sz val="7"/>
            <color indexed="81"/>
            <rFont val="Segoe UI"/>
            <family val="2"/>
          </rPr>
          <t>Proporção KIT 1 :
Victrato : 20 L:
Bonifica :
Maxim XL : 36 L
Spectro : 12 L</t>
        </r>
      </text>
    </comment>
    <comment ref="O245" authorId="0" shapeId="0" xr:uid="{DD29353A-5F67-4802-9C2B-ED044202D8EB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249" authorId="0" shapeId="0" xr:uid="{495B67A8-AA23-46F8-BCFF-D162597AB422}">
      <text>
        <r>
          <rPr>
            <sz val="7"/>
            <color indexed="81"/>
            <rFont val="Segoe UI"/>
            <family val="2"/>
          </rPr>
          <t>Proporção :
Victrato : 20 L
Fortenza : 20 L
Cruiser : 20 L
Bonifica:
Maxim XL : 36 L
Spectro : 12 L
Cruiser : 48 L</t>
        </r>
      </text>
    </comment>
    <comment ref="O296" authorId="0" shapeId="0" xr:uid="{E79E1FB4-0EE8-4910-93C5-11DB17E88E85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Bellodi Adriano BRGO</author>
  </authors>
  <commentList>
    <comment ref="C13" authorId="0" shapeId="0" xr:uid="{0526937D-BF8C-4966-BD08-2FAE2B977EA4}">
      <text>
        <r>
          <rPr>
            <sz val="7"/>
            <color indexed="81"/>
            <rFont val="Segoe UI"/>
            <family val="2"/>
          </rPr>
          <t xml:space="preserve">Utilizar Preço Livre :
Pegar preço com time de Barter </t>
        </r>
      </text>
    </comment>
    <comment ref="D14" authorId="0" shapeId="0" xr:uid="{4365E223-072F-49EE-A431-48D04324E787}">
      <text>
        <r>
          <rPr>
            <sz val="7"/>
            <color indexed="81"/>
            <rFont val="Segoe UI"/>
            <family val="2"/>
          </rPr>
          <t xml:space="preserve">Utilizar Preço Livre :
Pegar preço com time de Barter </t>
        </r>
      </text>
    </comment>
    <comment ref="C15" authorId="0" shapeId="0" xr:uid="{A46C9FC8-8D89-476A-9430-AC98A2218183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SEM VERDAVIS , SEM INVENCIS + FUNGICIDAS</t>
        </r>
      </text>
    </comment>
    <comment ref="D15" authorId="0" shapeId="0" xr:uid="{37EAB7B0-9446-447F-8689-16D620BCEC17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SEM VERDAVIS , SEM INVENCIS + FUNGICIDAS</t>
        </r>
      </text>
    </comment>
    <comment ref="C18" authorId="0" shapeId="0" xr:uid="{4429FB5E-B6B3-4DD0-AF1C-5754E7CC52A9}">
      <text>
        <r>
          <rPr>
            <b/>
            <sz val="7"/>
            <color indexed="81"/>
            <rFont val="Segoe UI"/>
            <family val="2"/>
          </rPr>
          <t>Bonus Barter Reais Nutrade</t>
        </r>
        <r>
          <rPr>
            <sz val="7"/>
            <color indexed="81"/>
            <rFont val="Segoe UI"/>
            <family val="2"/>
          </rPr>
          <t xml:space="preserve"> (C/ Verdavis ou Invncis + Fungicidas)</t>
        </r>
      </text>
    </comment>
    <comment ref="D18" authorId="0" shapeId="0" xr:uid="{310AD05B-2C87-4C51-A9D7-DE8EA4FCFA4C}">
      <text>
        <r>
          <rPr>
            <b/>
            <sz val="7"/>
            <color indexed="81"/>
            <rFont val="Segoe UI"/>
            <family val="2"/>
          </rPr>
          <t>Bonus Barter Dólar</t>
        </r>
        <r>
          <rPr>
            <sz val="7"/>
            <color indexed="81"/>
            <rFont val="Segoe UI"/>
            <family val="2"/>
          </rPr>
          <t xml:space="preserve"> Nutrade (C/ Verdavis ou Invncis + Fungicidas)</t>
        </r>
      </text>
    </comment>
    <comment ref="O58" authorId="0" shapeId="0" xr:uid="{FD524765-86D3-4506-95C8-68527511201C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O97" authorId="0" shapeId="0" xr:uid="{E9DCCAAC-11AA-4281-831C-B9D1617432B6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O132" authorId="0" shapeId="0" xr:uid="{88E75800-1EA4-41D7-8F19-D6C22C1EDDBB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136" authorId="0" shapeId="0" xr:uid="{94453C39-2DA6-463F-9D40-5B171ACCA608}">
      <text>
        <r>
          <rPr>
            <sz val="7"/>
            <color indexed="81"/>
            <rFont val="Segoe UI"/>
            <family val="2"/>
          </rPr>
          <t>Proporção:
Verdavis 2 L:
Bonifica :
Engeo Pleno : 1 L</t>
        </r>
      </text>
    </comment>
    <comment ref="O167" authorId="0" shapeId="0" xr:uid="{0CC935B8-3BD1-4651-A4A1-E60FD456B053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171" authorId="0" shapeId="0" xr:uid="{6071910C-11FC-4181-A1D3-9AE50BBF3589}">
      <text>
        <r>
          <rPr>
            <sz val="7"/>
            <color indexed="81"/>
            <rFont val="Segoe UI"/>
            <family val="2"/>
          </rPr>
          <t>Proporção:
Verdavis : 2 L
Invencis : 1 L
Bonifica:
Engeo Pleno 1,5 L</t>
        </r>
      </text>
    </comment>
    <comment ref="O206" authorId="0" shapeId="0" xr:uid="{7F21D032-3E3F-49E4-8932-7F240F22BF74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210" authorId="0" shapeId="0" xr:uid="{D55A4E53-610E-447F-B291-74700F752ACD}">
      <text>
        <r>
          <rPr>
            <sz val="7"/>
            <color indexed="81"/>
            <rFont val="Segoe UI"/>
            <family val="2"/>
          </rPr>
          <t>Proporção KIT 1 :
Victrato : 20 L:
Bonifica :
Maxim XL : 36 L
Spectro : 12 L</t>
        </r>
      </text>
    </comment>
    <comment ref="O245" authorId="0" shapeId="0" xr:uid="{B2A02306-F2C0-416C-97E3-FCF4EEEF9E76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  <comment ref="D249" authorId="0" shapeId="0" xr:uid="{234C85BC-E6DB-4A90-B033-FFFDFA875D03}">
      <text>
        <r>
          <rPr>
            <sz val="7"/>
            <color indexed="81"/>
            <rFont val="Segoe UI"/>
            <family val="2"/>
          </rPr>
          <t>Proporção :
Victrato : 20 L
Fortenza : 20 L
Cruiser : 20 L
Bonifica:
Maxim XL : 36 L
Spectro : 12 L
Cruiser : 48 L</t>
        </r>
      </text>
    </comment>
    <comment ref="O296" authorId="0" shapeId="0" xr:uid="{C3C6FA6D-8F3E-4421-B72C-8807053E4D6F}">
      <text>
        <r>
          <rPr>
            <sz val="7"/>
            <color indexed="81"/>
            <rFont val="Segoe UI"/>
            <family val="2"/>
          </rPr>
          <t>Atratividade da modalidade convencional reais (preço lista) versus Barter Dólar (campanha)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Bellodi Adriano BRGO</author>
  </authors>
  <commentList>
    <comment ref="B10" authorId="0" shapeId="0" xr:uid="{C970B1D9-62A7-458B-8EFB-1453383679B9}">
      <text>
        <r>
          <rPr>
            <sz val="8"/>
            <color indexed="81"/>
            <rFont val="Segoe UI"/>
            <family val="2"/>
          </rPr>
          <t>Digitar Ptax do dia para produto dolarizado</t>
        </r>
      </text>
    </comment>
    <comment ref="C10" authorId="0" shapeId="0" xr:uid="{2AAF107F-4AD3-4EE0-A0DD-5EB0FF4DFE83}">
      <text>
        <r>
          <rPr>
            <sz val="8"/>
            <color indexed="81"/>
            <rFont val="Segoe UI"/>
            <family val="2"/>
          </rPr>
          <t>Digitar Ptax do dia para produto dolarizado</t>
        </r>
      </text>
    </comment>
    <comment ref="B11" authorId="0" shapeId="0" xr:uid="{F307A4F6-A19C-4938-9CB4-4F5330470072}">
      <text>
        <r>
          <rPr>
            <b/>
            <sz val="9"/>
            <color indexed="81"/>
            <rFont val="Segoe UI"/>
            <family val="2"/>
          </rPr>
          <t>Digitar preço livre de Funrural , etc..</t>
        </r>
      </text>
    </comment>
    <comment ref="C11" authorId="0" shapeId="0" xr:uid="{637EF088-FB31-4DD1-BC11-D849ADC21F2B}">
      <text>
        <r>
          <rPr>
            <b/>
            <sz val="9"/>
            <color indexed="81"/>
            <rFont val="Segoe UI"/>
            <family val="2"/>
          </rPr>
          <t>Digitar preço livre de Funrural , etc..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Bellodi Adriano BRGO</author>
  </authors>
  <commentList>
    <comment ref="B10" authorId="0" shapeId="0" xr:uid="{D0C72E87-3591-4B5D-BCFC-AE20B9AA5207}">
      <text>
        <r>
          <rPr>
            <sz val="8"/>
            <color indexed="81"/>
            <rFont val="Segoe UI"/>
            <family val="2"/>
          </rPr>
          <t>Digitar Ptax do dia para produto dolarizado</t>
        </r>
      </text>
    </comment>
    <comment ref="C10" authorId="0" shapeId="0" xr:uid="{0B5DA147-DC24-4C1D-99FA-669819D00EF4}">
      <text>
        <r>
          <rPr>
            <sz val="8"/>
            <color indexed="81"/>
            <rFont val="Segoe UI"/>
            <family val="2"/>
          </rPr>
          <t>Digitar Ptax do dia para produto dolarizado</t>
        </r>
      </text>
    </comment>
    <comment ref="B11" authorId="0" shapeId="0" xr:uid="{C377CF1F-7D68-4D72-B89C-83E58B8DDB42}">
      <text>
        <r>
          <rPr>
            <b/>
            <sz val="9"/>
            <color indexed="81"/>
            <rFont val="Segoe UI"/>
            <family val="2"/>
          </rPr>
          <t>Digitar preço livre de Funrural , etc..</t>
        </r>
      </text>
    </comment>
    <comment ref="C11" authorId="0" shapeId="0" xr:uid="{36665423-64D2-4B1F-9B99-FE20B86B3F56}">
      <text>
        <r>
          <rPr>
            <b/>
            <sz val="9"/>
            <color indexed="81"/>
            <rFont val="Segoe UI"/>
            <family val="2"/>
          </rPr>
          <t>Digitar preço livre de Funrural , etc..</t>
        </r>
      </text>
    </comment>
  </commentList>
</comments>
</file>

<file path=xl/sharedStrings.xml><?xml version="1.0" encoding="utf-8"?>
<sst xmlns="http://schemas.openxmlformats.org/spreadsheetml/2006/main" count="2518" uniqueCount="122">
  <si>
    <t xml:space="preserve">CARÊNCIA </t>
  </si>
  <si>
    <t xml:space="preserve">VENCIMENTO </t>
  </si>
  <si>
    <t>DIAS PERÍODO</t>
  </si>
  <si>
    <t>JUROS MÊS</t>
  </si>
  <si>
    <t>JUROS PERÍODO</t>
  </si>
  <si>
    <t>ICMS</t>
  </si>
  <si>
    <t>PTAX LISTA</t>
  </si>
  <si>
    <t>PTAX DOLARIZADO</t>
  </si>
  <si>
    <t>MODALIDADE</t>
  </si>
  <si>
    <t>CONV. REAIS</t>
  </si>
  <si>
    <t xml:space="preserve">CULTURA </t>
  </si>
  <si>
    <t>CONV. DÓLAR</t>
  </si>
  <si>
    <t>BARTER REAIS</t>
  </si>
  <si>
    <t>INCENTIVO BARTER</t>
  </si>
  <si>
    <t>VERDAVIS</t>
  </si>
  <si>
    <t>CURYOM</t>
  </si>
  <si>
    <t>VOLUME</t>
  </si>
  <si>
    <t>PRODUTO</t>
  </si>
  <si>
    <t>TP</t>
  </si>
  <si>
    <t>FGP</t>
  </si>
  <si>
    <t xml:space="preserve">VPAN </t>
  </si>
  <si>
    <t>VPAN</t>
  </si>
  <si>
    <t>CONV REAIS</t>
  </si>
  <si>
    <t>BARTER DÓLAR</t>
  </si>
  <si>
    <t>DÓLAR</t>
  </si>
  <si>
    <t>MIRAVIS DUO</t>
  </si>
  <si>
    <t>COMBO 3</t>
  </si>
  <si>
    <t>ENGEO PLENO</t>
  </si>
  <si>
    <t>COMBO 4</t>
  </si>
  <si>
    <t>COMBO 5</t>
  </si>
  <si>
    <t>COMBO 1 (PRODUTOS ISOLADOS)</t>
  </si>
  <si>
    <t>COMBO 2 (PRODUTOS ISOLADOS)</t>
  </si>
  <si>
    <t>COMBO 3 (PRODUTOS ISOLADOS)</t>
  </si>
  <si>
    <t>COMBO 4 (PRODUTOS ISOLADOS)</t>
  </si>
  <si>
    <t>COMBO 5 (PRODUTOS ISOLADOS)</t>
  </si>
  <si>
    <t xml:space="preserve">COMBO 1 </t>
  </si>
  <si>
    <t xml:space="preserve">COMBO 2 </t>
  </si>
  <si>
    <t>DIFERENÇA</t>
  </si>
  <si>
    <t>ISOLADO X CAMP</t>
  </si>
  <si>
    <t>MILHO SAFRINHA (REAIS)</t>
  </si>
  <si>
    <t>MILHO SAFRINHA (DÓLAR)</t>
  </si>
  <si>
    <t>ALGODÃO (REAIS)</t>
  </si>
  <si>
    <t>ALGODÃO (DÓLAR)</t>
  </si>
  <si>
    <t>PROPORÇÃO</t>
  </si>
  <si>
    <t>DIG.VOLUME</t>
  </si>
  <si>
    <t>PREÇO SACA (REAIS) LÍQUIDO</t>
  </si>
  <si>
    <t>PREÇO SACA (DÓLAR) LÍQUIDO</t>
  </si>
  <si>
    <t xml:space="preserve">CASH BACK </t>
  </si>
  <si>
    <t xml:space="preserve">CAMPANHA </t>
  </si>
  <si>
    <t>PRODUTO ISOLADO (FORA DA CAMPANHA)</t>
  </si>
  <si>
    <t>TP CAMP.</t>
  </si>
  <si>
    <t>TOTAL (SCS):</t>
  </si>
  <si>
    <t>TOTAL (R$):</t>
  </si>
  <si>
    <t>TOTAL (U$):</t>
  </si>
  <si>
    <t>BONUS BARTER (C.BACK+INCENT)</t>
  </si>
  <si>
    <t>INC.BARTER</t>
  </si>
  <si>
    <t>PREÇO @ (REAIS)</t>
  </si>
  <si>
    <t>PREÇO @ (DÓLAR)</t>
  </si>
  <si>
    <t>PREÇO LIBRA PESO</t>
  </si>
  <si>
    <t>TIPO ALGODÃO</t>
  </si>
  <si>
    <t>TOTAL (@):</t>
  </si>
  <si>
    <t>NOTA CRÉDITO:</t>
  </si>
  <si>
    <t>DIFERENÇA SACAS:</t>
  </si>
  <si>
    <t xml:space="preserve">Pegar com o time de Barter o preço da commoditie livre de taxas e impostos, ou seja, preço líquido  </t>
  </si>
  <si>
    <t>SOJA (REAIS)</t>
  </si>
  <si>
    <t>SOJA (DÓLAR)</t>
  </si>
  <si>
    <t>ALADE</t>
  </si>
  <si>
    <t>MITRION</t>
  </si>
  <si>
    <t>PIS + COFINS</t>
  </si>
  <si>
    <t>TP (REAIS)</t>
  </si>
  <si>
    <t>SOJA C/ BONUS BARTER</t>
  </si>
  <si>
    <t>MEGAFOL</t>
  </si>
  <si>
    <t>INVENCIS</t>
  </si>
  <si>
    <t>VICTRATO</t>
  </si>
  <si>
    <t>MAXIM XL</t>
  </si>
  <si>
    <t>SPECTRO</t>
  </si>
  <si>
    <t>FORTENZA</t>
  </si>
  <si>
    <t>CRUISER</t>
  </si>
  <si>
    <t>CASH BACK</t>
  </si>
  <si>
    <t>NUTRADE</t>
  </si>
  <si>
    <t>TRADE ABC</t>
  </si>
  <si>
    <t>BARTER R$  LISTA X BARTER R$ CAMPANHA</t>
  </si>
  <si>
    <t>DÓLAR CONV. LISTA X DÓLAR CONV. CAMPANHA</t>
  </si>
  <si>
    <t>REAIS CONV. LISTA X REAIS CONV. CAMPANHA</t>
  </si>
  <si>
    <t>BARTER $  LISTA X BARTER $ CAMPANHA</t>
  </si>
  <si>
    <t>SOJA C/ BONUS BARTER (VERD OU INV+FUNG)</t>
  </si>
  <si>
    <t>REAIS</t>
  </si>
  <si>
    <t>CASH BACK 4% :</t>
  </si>
  <si>
    <t>INCENTIVO BARTER :</t>
  </si>
  <si>
    <t>VOLUME SACAS A SER ENTREGUE PELO CLIENTE :</t>
  </si>
  <si>
    <t>BONUS BARTER GERADO NA NEGOCIAÇÃO:</t>
  </si>
  <si>
    <t>CASH BACK 5% :</t>
  </si>
  <si>
    <t>DÓLAR CONV.</t>
  </si>
  <si>
    <t>EQUIVALENCIA EM SCS DO PEDIDO EM REAIS</t>
  </si>
  <si>
    <t>TOTAL A PAGAR (R$):</t>
  </si>
  <si>
    <t>TOTAL A PAGAR (U$):</t>
  </si>
  <si>
    <t>EQUIVALENCIA EM SCS DO PEDIDO EM DÓLAR</t>
  </si>
  <si>
    <t>TOTAL EM SCS A SER ENTREGUE PELO CLIENTE :</t>
  </si>
  <si>
    <t>REFERENCIA EM SCS DESCONTADO BONUS BARTER REAIS</t>
  </si>
  <si>
    <t>REFERENCIA EM SCS DESCONTADO BONUS BARTER DÓLAR</t>
  </si>
  <si>
    <t>REAIS CONV.</t>
  </si>
  <si>
    <t xml:space="preserve"> </t>
  </si>
  <si>
    <t>SIMULADOR TRADE ABC</t>
  </si>
  <si>
    <t>PREÇO LISTA</t>
  </si>
  <si>
    <t>OFERTA</t>
  </si>
  <si>
    <t>OFERTA VERDAVIS + ENGEO PLENO</t>
  </si>
  <si>
    <t>OFERTA VERDAVIS + INVENCIS + ENGEO PLENO</t>
  </si>
  <si>
    <t>DIG. VOL.</t>
  </si>
  <si>
    <t>OFERTA ALADE / MITRION</t>
  </si>
  <si>
    <t>OFERTA ALADE / MITRION / VERDAVIS</t>
  </si>
  <si>
    <t>OFERTA MITRION + MEGAFO0L</t>
  </si>
  <si>
    <t>TP. OFERTA</t>
  </si>
  <si>
    <t>OFERTA VICTRATO / MAXIM XL / SPECTRO</t>
  </si>
  <si>
    <t>BARTER $ LISTA X BARTER $ CAMPANHA</t>
  </si>
  <si>
    <t/>
  </si>
  <si>
    <t>BARTER R$ LISTA X BARTER R$  CAMPANHA</t>
  </si>
  <si>
    <t>( Para todos os pedidos , inclusive os pedidos de barter  com 4% de cash back)</t>
  </si>
  <si>
    <t>•Campanha  ID: 854089 Reta Final VD</t>
  </si>
  <si>
    <t>( Somente para Barter com Vendavis /Invencis + Fungicida Premium , que adiciona +1%~Barter = Total 5%)</t>
  </si>
  <si>
    <t>•Campanha ID : 854096 Final VD –Barter 5%</t>
  </si>
  <si>
    <t>OFERTA VICTRATO/FORTENZA/CRUISER/MAXIM XL/SPECTRO/CRUISER</t>
  </si>
  <si>
    <t>SIMULADOR NUTRADE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</si>
</sst>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_-[$$-409]* #,##0.00_ ;_-[$$-409]* \-#,##0.00\ ;_-[$$-409]* &quot;-&quot;??_ ;_-@_ "/>
    <numFmt numFmtId="166" formatCode="0.0%"/>
    <numFmt numFmtId="167" formatCode="_-&quot;R$&quot;\ * #,##0.00_-;\-&quot;R$&quot;\ * #,##0.00_-;_-&quot;R$&quot;\ * &quot;-&quot;????_-;_-@_-"/>
    <numFmt numFmtId="168" formatCode="#,##0.00_ ;\-#,##0.00\ "/>
    <numFmt numFmtId="169" formatCode="_-[$R$-416]\ * #,##0.00_-;\-[$R$-416]\ * #,##0.00_-;_-[$R$-416]\ * &quot;-&quot;??_-;_-@_-"/>
    <numFmt numFmtId="170" formatCode="_-&quot;R$&quot;\ * #,##0_-;\-&quot;R$&quot;\ * #,##0_-;_-&quot;R$&quot;\ * &quot;-&quot;??_-;_-@_-"/>
    <numFmt numFmtId="171" formatCode="_-[$$-409]* #,##0_ ;_-[$$-409]* \-#,##0\ ;_-[$$-409]* &quot;-&quot;??_ ;_-@_ "/>
    <numFmt numFmtId="172" formatCode="#,##0.0"/>
    <numFmt numFmtId="173" formatCode="_-[$$-409]* #,##0.0_ ;_-[$$-409]* \-#,##0.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sz val="8"/>
      <color indexed="81"/>
      <name val="Segoe UI"/>
      <family val="2"/>
    </font>
    <font>
      <b/>
      <sz val="8"/>
      <name val="Calibri"/>
      <family val="2"/>
    </font>
    <font>
      <b/>
      <sz val="8"/>
      <color rgb="FFFFFF00"/>
      <name val="Calibri"/>
      <family val="2"/>
    </font>
    <font>
      <sz val="8"/>
      <color rgb="FFFFFF00"/>
      <name val="Calibri"/>
      <family val="2"/>
    </font>
    <font>
      <sz val="8"/>
      <color theme="1"/>
      <name val="Aptos Narrow"/>
      <family val="2"/>
      <scheme val="minor"/>
    </font>
    <font>
      <b/>
      <sz val="7"/>
      <color indexed="81"/>
      <name val="Segoe UI"/>
      <family val="2"/>
    </font>
    <font>
      <sz val="7"/>
      <color indexed="81"/>
      <name val="Segoe UI"/>
      <family val="2"/>
    </font>
    <font>
      <b/>
      <sz val="14"/>
      <color theme="0"/>
      <name val="Calibri"/>
      <family val="2"/>
    </font>
    <font>
      <b/>
      <sz val="9"/>
      <color theme="0"/>
      <name val="Calibri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</font>
    <font>
      <b/>
      <sz val="9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5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thin">
        <color theme="0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thin">
        <color theme="0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thin">
        <color theme="0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thin">
        <color theme="0"/>
      </bottom>
      <diagonal/>
    </border>
    <border>
      <left style="dotted">
        <color theme="1"/>
      </left>
      <right style="dotted">
        <color theme="1"/>
      </right>
      <top style="thin">
        <color theme="0"/>
      </top>
      <bottom style="thin">
        <color theme="0"/>
      </bottom>
      <diagonal/>
    </border>
    <border>
      <left style="dotted">
        <color theme="1"/>
      </left>
      <right style="dotted">
        <color theme="1"/>
      </right>
      <top style="thin">
        <color theme="0"/>
      </top>
      <bottom style="dotted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2">
    <xf numFmtId="0" fontId="0" fillId="0" borderId="0" xfId="0"/>
    <xf numFmtId="0" fontId="6" fillId="6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166" fontId="3" fillId="3" borderId="0" xfId="2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166" fontId="3" fillId="3" borderId="2" xfId="2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6" fontId="3" fillId="3" borderId="0" xfId="2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6" fontId="3" fillId="3" borderId="2" xfId="2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44" fontId="3" fillId="0" borderId="2" xfId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7" fontId="3" fillId="0" borderId="2" xfId="1" applyNumberFormat="1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4" fontId="3" fillId="0" borderId="9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10" fontId="3" fillId="0" borderId="2" xfId="2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3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3" borderId="4" xfId="2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9" fontId="6" fillId="0" borderId="19" xfId="2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166" fontId="3" fillId="3" borderId="3" xfId="2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6" fontId="3" fillId="3" borderId="3" xfId="2" applyNumberFormat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0" borderId="9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9" fontId="6" fillId="6" borderId="4" xfId="0" applyNumberFormat="1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4" fontId="6" fillId="6" borderId="5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44" fontId="3" fillId="2" borderId="22" xfId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166" fontId="3" fillId="0" borderId="6" xfId="2" applyNumberFormat="1" applyFont="1" applyBorder="1" applyAlignment="1">
      <alignment horizontal="center" vertical="center"/>
    </xf>
    <xf numFmtId="44" fontId="3" fillId="0" borderId="12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44" fontId="3" fillId="0" borderId="6" xfId="2" applyNumberFormat="1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9" fontId="3" fillId="3" borderId="6" xfId="2" applyFont="1" applyFill="1" applyBorder="1" applyAlignment="1">
      <alignment horizontal="center" vertical="center"/>
    </xf>
    <xf numFmtId="166" fontId="3" fillId="0" borderId="2" xfId="2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9" fontId="3" fillId="0" borderId="1" xfId="2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3" fontId="6" fillId="0" borderId="26" xfId="0" applyNumberFormat="1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44" fontId="3" fillId="3" borderId="6" xfId="2" applyNumberFormat="1" applyFont="1" applyFill="1" applyBorder="1" applyAlignment="1">
      <alignment horizontal="center" vertical="center"/>
    </xf>
    <xf numFmtId="168" fontId="3" fillId="3" borderId="6" xfId="3" applyNumberFormat="1" applyFont="1" applyFill="1" applyBorder="1" applyAlignment="1">
      <alignment horizontal="center" vertical="center"/>
    </xf>
    <xf numFmtId="166" fontId="10" fillId="14" borderId="20" xfId="2" applyNumberFormat="1" applyFont="1" applyFill="1" applyBorder="1" applyAlignment="1">
      <alignment horizontal="center" vertical="center"/>
    </xf>
    <xf numFmtId="166" fontId="10" fillId="14" borderId="1" xfId="2" applyNumberFormat="1" applyFont="1" applyFill="1" applyBorder="1" applyAlignment="1">
      <alignment horizontal="center" vertical="center"/>
    </xf>
    <xf numFmtId="166" fontId="11" fillId="14" borderId="1" xfId="2" applyNumberFormat="1" applyFont="1" applyFill="1" applyBorder="1" applyAlignment="1">
      <alignment horizontal="center" vertical="center"/>
    </xf>
    <xf numFmtId="165" fontId="3" fillId="3" borderId="6" xfId="2" applyNumberFormat="1" applyFont="1" applyFill="1" applyBorder="1" applyAlignment="1">
      <alignment horizontal="center" vertical="center"/>
    </xf>
    <xf numFmtId="169" fontId="3" fillId="3" borderId="6" xfId="2" applyNumberFormat="1" applyFont="1" applyFill="1" applyBorder="1" applyAlignment="1">
      <alignment horizontal="center" vertical="center"/>
    </xf>
    <xf numFmtId="170" fontId="3" fillId="3" borderId="6" xfId="2" applyNumberFormat="1" applyFont="1" applyFill="1" applyBorder="1" applyAlignment="1">
      <alignment horizontal="center" vertical="center"/>
    </xf>
    <xf numFmtId="171" fontId="3" fillId="0" borderId="2" xfId="1" applyNumberFormat="1" applyFont="1" applyBorder="1" applyAlignment="1">
      <alignment horizontal="center" vertical="center"/>
    </xf>
    <xf numFmtId="171" fontId="3" fillId="0" borderId="5" xfId="1" applyNumberFormat="1" applyFont="1" applyBorder="1" applyAlignment="1">
      <alignment horizontal="center" vertical="center"/>
    </xf>
    <xf numFmtId="171" fontId="3" fillId="0" borderId="9" xfId="1" applyNumberFormat="1" applyFont="1" applyBorder="1" applyAlignment="1">
      <alignment horizontal="center" vertical="center"/>
    </xf>
    <xf numFmtId="171" fontId="3" fillId="0" borderId="4" xfId="1" applyNumberFormat="1" applyFont="1" applyBorder="1" applyAlignment="1">
      <alignment horizontal="center" vertical="center"/>
    </xf>
    <xf numFmtId="171" fontId="3" fillId="0" borderId="10" xfId="1" applyNumberFormat="1" applyFont="1" applyBorder="1" applyAlignment="1">
      <alignment horizontal="center" vertical="center"/>
    </xf>
    <xf numFmtId="0" fontId="6" fillId="6" borderId="10" xfId="0" applyFont="1" applyFill="1" applyBorder="1" applyAlignment="1">
      <alignment vertical="center"/>
    </xf>
    <xf numFmtId="44" fontId="3" fillId="2" borderId="14" xfId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44" fontId="3" fillId="0" borderId="6" xfId="0" applyNumberFormat="1" applyFont="1" applyBorder="1" applyAlignment="1">
      <alignment horizontal="center" vertical="center"/>
    </xf>
    <xf numFmtId="0" fontId="6" fillId="6" borderId="27" xfId="0" applyFont="1" applyFill="1" applyBorder="1" applyAlignment="1">
      <alignment vertical="center"/>
    </xf>
    <xf numFmtId="44" fontId="3" fillId="2" borderId="28" xfId="1" applyFont="1" applyFill="1" applyBorder="1" applyAlignment="1">
      <alignment horizontal="center" vertical="center"/>
    </xf>
    <xf numFmtId="44" fontId="3" fillId="2" borderId="29" xfId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vertical="center"/>
    </xf>
    <xf numFmtId="0" fontId="6" fillId="6" borderId="33" xfId="0" applyFont="1" applyFill="1" applyBorder="1" applyAlignment="1">
      <alignment vertical="center"/>
    </xf>
    <xf numFmtId="0" fontId="6" fillId="6" borderId="34" xfId="0" applyFont="1" applyFill="1" applyBorder="1" applyAlignment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165" fontId="3" fillId="2" borderId="35" xfId="0" applyNumberFormat="1" applyFont="1" applyFill="1" applyBorder="1" applyAlignment="1">
      <alignment horizontal="center" vertical="center"/>
    </xf>
    <xf numFmtId="169" fontId="3" fillId="0" borderId="2" xfId="1" applyNumberFormat="1" applyFont="1" applyBorder="1" applyAlignment="1">
      <alignment horizontal="center" vertical="center"/>
    </xf>
    <xf numFmtId="169" fontId="3" fillId="0" borderId="5" xfId="1" applyNumberFormat="1" applyFont="1" applyBorder="1" applyAlignment="1">
      <alignment horizontal="center" vertical="center"/>
    </xf>
    <xf numFmtId="169" fontId="3" fillId="0" borderId="9" xfId="1" applyNumberFormat="1" applyFont="1" applyBorder="1" applyAlignment="1">
      <alignment horizontal="center" vertical="center"/>
    </xf>
    <xf numFmtId="169" fontId="3" fillId="0" borderId="4" xfId="1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9" fontId="3" fillId="3" borderId="2" xfId="2" applyFont="1" applyFill="1" applyBorder="1" applyAlignment="1">
      <alignment horizontal="center" vertical="center"/>
    </xf>
    <xf numFmtId="169" fontId="3" fillId="0" borderId="10" xfId="1" applyNumberFormat="1" applyFont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2" fillId="0" borderId="2" xfId="0" applyFont="1" applyBorder="1"/>
    <xf numFmtId="9" fontId="3" fillId="0" borderId="10" xfId="2" applyFont="1" applyBorder="1" applyAlignment="1">
      <alignment horizontal="center" vertical="center"/>
    </xf>
    <xf numFmtId="44" fontId="3" fillId="0" borderId="46" xfId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10" fontId="3" fillId="0" borderId="3" xfId="2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65" fontId="3" fillId="2" borderId="48" xfId="0" applyNumberFormat="1" applyFont="1" applyFill="1" applyBorder="1" applyAlignment="1">
      <alignment horizontal="center" vertical="center"/>
    </xf>
    <xf numFmtId="165" fontId="3" fillId="0" borderId="46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44" fontId="3" fillId="3" borderId="2" xfId="1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49" xfId="0" applyFont="1" applyFill="1" applyBorder="1" applyAlignment="1">
      <alignment vertical="center"/>
    </xf>
    <xf numFmtId="0" fontId="6" fillId="6" borderId="44" xfId="0" applyFont="1" applyFill="1" applyBorder="1" applyAlignment="1">
      <alignment vertical="center"/>
    </xf>
    <xf numFmtId="0" fontId="6" fillId="6" borderId="32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38" xfId="0" applyFont="1" applyFill="1" applyBorder="1" applyAlignment="1">
      <alignment vertical="center"/>
    </xf>
    <xf numFmtId="0" fontId="6" fillId="6" borderId="47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6" fillId="3" borderId="4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/>
    </xf>
    <xf numFmtId="168" fontId="3" fillId="3" borderId="13" xfId="3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textRotation="90"/>
    </xf>
    <xf numFmtId="14" fontId="6" fillId="6" borderId="13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14" fontId="6" fillId="6" borderId="6" xfId="0" applyNumberFormat="1" applyFont="1" applyFill="1" applyBorder="1" applyAlignment="1">
      <alignment horizontal="center" vertical="center"/>
    </xf>
    <xf numFmtId="3" fontId="6" fillId="18" borderId="1" xfId="0" applyNumberFormat="1" applyFont="1" applyFill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166" fontId="10" fillId="14" borderId="14" xfId="2" applyNumberFormat="1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6" fontId="10" fillId="3" borderId="2" xfId="2" applyNumberFormat="1" applyFont="1" applyFill="1" applyBorder="1" applyAlignment="1">
      <alignment horizontal="center" vertical="center"/>
    </xf>
    <xf numFmtId="9" fontId="6" fillId="3" borderId="2" xfId="2" applyFont="1" applyFill="1" applyBorder="1" applyAlignment="1">
      <alignment horizontal="center" vertical="center"/>
    </xf>
    <xf numFmtId="9" fontId="6" fillId="18" borderId="1" xfId="2" applyFont="1" applyFill="1" applyBorder="1" applyAlignment="1">
      <alignment horizontal="center" vertical="center"/>
    </xf>
    <xf numFmtId="3" fontId="6" fillId="3" borderId="6" xfId="0" applyNumberFormat="1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vertical="center" textRotation="90" wrapText="1"/>
    </xf>
    <xf numFmtId="3" fontId="3" fillId="3" borderId="0" xfId="0" applyNumberFormat="1" applyFont="1" applyFill="1" applyAlignment="1">
      <alignment horizontal="center" vertical="center"/>
    </xf>
    <xf numFmtId="169" fontId="3" fillId="0" borderId="3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0" fontId="3" fillId="3" borderId="45" xfId="2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6" fontId="10" fillId="14" borderId="51" xfId="2" applyNumberFormat="1" applyFont="1" applyFill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/>
    </xf>
    <xf numFmtId="169" fontId="3" fillId="0" borderId="6" xfId="1" applyNumberFormat="1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169" fontId="3" fillId="0" borderId="11" xfId="1" applyNumberFormat="1" applyFont="1" applyBorder="1" applyAlignment="1">
      <alignment horizontal="center" vertical="center"/>
    </xf>
    <xf numFmtId="10" fontId="3" fillId="0" borderId="10" xfId="2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6" fontId="10" fillId="3" borderId="0" xfId="2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6" fontId="3" fillId="3" borderId="8" xfId="2" applyNumberFormat="1" applyFont="1" applyFill="1" applyBorder="1" applyAlignment="1">
      <alignment horizontal="center" vertical="center"/>
    </xf>
    <xf numFmtId="166" fontId="3" fillId="3" borderId="5" xfId="2" applyNumberFormat="1" applyFont="1" applyFill="1" applyBorder="1" applyAlignment="1">
      <alignment horizontal="center" vertical="center"/>
    </xf>
    <xf numFmtId="166" fontId="10" fillId="14" borderId="5" xfId="2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9" fontId="6" fillId="18" borderId="52" xfId="2" applyFont="1" applyFill="1" applyBorder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10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6" fillId="6" borderId="8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172" fontId="3" fillId="2" borderId="1" xfId="0" applyNumberFormat="1" applyFont="1" applyFill="1" applyBorder="1" applyAlignment="1">
      <alignment horizontal="center" vertical="center"/>
    </xf>
    <xf numFmtId="172" fontId="3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12" borderId="2" xfId="0" applyFont="1" applyFill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textRotation="90" wrapText="1"/>
    </xf>
    <xf numFmtId="0" fontId="16" fillId="3" borderId="16" xfId="0" applyFont="1" applyFill="1" applyBorder="1" applyAlignment="1">
      <alignment horizontal="center" vertical="center" wrapText="1"/>
    </xf>
    <xf numFmtId="2" fontId="3" fillId="3" borderId="8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9" fontId="6" fillId="3" borderId="0" xfId="2" applyFont="1" applyFill="1" applyBorder="1" applyAlignment="1">
      <alignment horizontal="center" vertical="center"/>
    </xf>
    <xf numFmtId="9" fontId="6" fillId="3" borderId="5" xfId="2" applyFont="1" applyFill="1" applyBorder="1" applyAlignment="1">
      <alignment horizontal="center" vertical="center"/>
    </xf>
    <xf numFmtId="9" fontId="6" fillId="3" borderId="6" xfId="2" applyFont="1" applyFill="1" applyBorder="1" applyAlignment="1">
      <alignment horizontal="center" vertical="center"/>
    </xf>
    <xf numFmtId="171" fontId="3" fillId="0" borderId="6" xfId="1" applyNumberFormat="1" applyFont="1" applyBorder="1" applyAlignment="1">
      <alignment horizontal="center" vertical="center"/>
    </xf>
    <xf numFmtId="173" fontId="3" fillId="0" borderId="2" xfId="1" applyNumberFormat="1" applyFont="1" applyBorder="1" applyAlignment="1">
      <alignment horizontal="center" vertical="center"/>
    </xf>
    <xf numFmtId="173" fontId="3" fillId="0" borderId="9" xfId="1" applyNumberFormat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9" fontId="6" fillId="0" borderId="55" xfId="2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5" fillId="17" borderId="5" xfId="0" applyFont="1" applyFill="1" applyBorder="1" applyAlignment="1">
      <alignment horizontal="center" vertical="center" textRotation="90"/>
    </xf>
    <xf numFmtId="0" fontId="15" fillId="17" borderId="13" xfId="0" applyFont="1" applyFill="1" applyBorder="1" applyAlignment="1">
      <alignment horizontal="center" vertical="center" textRotation="90"/>
    </xf>
    <xf numFmtId="2" fontId="16" fillId="7" borderId="8" xfId="0" applyNumberFormat="1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16" fillId="19" borderId="4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textRotation="90"/>
    </xf>
    <xf numFmtId="0" fontId="17" fillId="16" borderId="13" xfId="0" applyFont="1" applyFill="1" applyBorder="1" applyAlignment="1">
      <alignment horizontal="center" vertical="center" textRotation="90"/>
    </xf>
    <xf numFmtId="0" fontId="17" fillId="11" borderId="5" xfId="0" applyFont="1" applyFill="1" applyBorder="1" applyAlignment="1">
      <alignment horizontal="center" vertical="center" textRotation="90"/>
    </xf>
    <xf numFmtId="0" fontId="17" fillId="11" borderId="13" xfId="0" applyFont="1" applyFill="1" applyBorder="1" applyAlignment="1">
      <alignment horizontal="center" vertical="center" textRotation="90"/>
    </xf>
    <xf numFmtId="0" fontId="17" fillId="10" borderId="5" xfId="0" applyFont="1" applyFill="1" applyBorder="1" applyAlignment="1">
      <alignment horizontal="center" vertical="center" textRotation="90"/>
    </xf>
    <xf numFmtId="0" fontId="17" fillId="10" borderId="13" xfId="0" applyFont="1" applyFill="1" applyBorder="1" applyAlignment="1">
      <alignment horizontal="center" vertical="center" textRotation="90"/>
    </xf>
    <xf numFmtId="0" fontId="16" fillId="19" borderId="5" xfId="0" applyFont="1" applyFill="1" applyBorder="1" applyAlignment="1">
      <alignment horizontal="center" vertical="center" wrapText="1"/>
    </xf>
    <xf numFmtId="0" fontId="16" fillId="19" borderId="13" xfId="0" applyFont="1" applyFill="1" applyBorder="1" applyAlignment="1">
      <alignment horizontal="center" vertical="center" wrapText="1"/>
    </xf>
    <xf numFmtId="0" fontId="16" fillId="19" borderId="6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textRotation="90"/>
    </xf>
    <xf numFmtId="0" fontId="17" fillId="9" borderId="13" xfId="0" applyFont="1" applyFill="1" applyBorder="1" applyAlignment="1">
      <alignment horizontal="center" vertical="center" textRotation="90"/>
    </xf>
    <xf numFmtId="0" fontId="17" fillId="9" borderId="6" xfId="0" applyFont="1" applyFill="1" applyBorder="1" applyAlignment="1">
      <alignment horizontal="center" vertical="center" textRotation="90"/>
    </xf>
    <xf numFmtId="0" fontId="17" fillId="5" borderId="5" xfId="0" applyFont="1" applyFill="1" applyBorder="1" applyAlignment="1">
      <alignment horizontal="center" vertical="center" textRotation="90" wrapText="1"/>
    </xf>
    <xf numFmtId="0" fontId="17" fillId="5" borderId="13" xfId="0" applyFont="1" applyFill="1" applyBorder="1" applyAlignment="1">
      <alignment horizontal="center" vertical="center" textRotation="90" wrapText="1"/>
    </xf>
    <xf numFmtId="0" fontId="17" fillId="4" borderId="5" xfId="0" applyFont="1" applyFill="1" applyBorder="1" applyAlignment="1">
      <alignment horizontal="center" vertical="center" textRotation="90" wrapText="1"/>
    </xf>
    <xf numFmtId="0" fontId="17" fillId="4" borderId="13" xfId="0" applyFont="1" applyFill="1" applyBorder="1" applyAlignment="1">
      <alignment horizontal="center" vertical="center" textRotation="90" wrapText="1"/>
    </xf>
    <xf numFmtId="0" fontId="17" fillId="4" borderId="6" xfId="0" applyFont="1" applyFill="1" applyBorder="1" applyAlignment="1">
      <alignment horizontal="center" vertical="center" textRotation="90" wrapText="1"/>
    </xf>
    <xf numFmtId="2" fontId="16" fillId="7" borderId="4" xfId="0" applyNumberFormat="1" applyFont="1" applyFill="1" applyBorder="1" applyAlignment="1">
      <alignment horizontal="center" vertical="center" wrapText="1"/>
    </xf>
    <xf numFmtId="0" fontId="15" fillId="20" borderId="3" xfId="0" applyFont="1" applyFill="1" applyBorder="1" applyAlignment="1">
      <alignment horizontal="center" vertical="center"/>
    </xf>
    <xf numFmtId="0" fontId="15" fillId="20" borderId="8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 textRotation="90"/>
    </xf>
    <xf numFmtId="0" fontId="4" fillId="4" borderId="5" xfId="0" applyFont="1" applyFill="1" applyBorder="1" applyAlignment="1">
      <alignment horizontal="center" vertical="center" textRotation="90"/>
    </xf>
    <xf numFmtId="0" fontId="4" fillId="4" borderId="13" xfId="0" applyFont="1" applyFill="1" applyBorder="1" applyAlignment="1">
      <alignment horizontal="center" vertical="center" textRotation="90"/>
    </xf>
    <xf numFmtId="0" fontId="4" fillId="4" borderId="6" xfId="0" applyFont="1" applyFill="1" applyBorder="1" applyAlignment="1">
      <alignment horizontal="center" vertical="center" textRotation="90"/>
    </xf>
    <xf numFmtId="0" fontId="10" fillId="14" borderId="11" xfId="0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textRotation="90"/>
    </xf>
    <xf numFmtId="0" fontId="4" fillId="9" borderId="13" xfId="0" applyFont="1" applyFill="1" applyBorder="1" applyAlignment="1">
      <alignment horizontal="center" vertical="center" textRotation="90"/>
    </xf>
    <xf numFmtId="0" fontId="4" fillId="9" borderId="6" xfId="0" applyFont="1" applyFill="1" applyBorder="1" applyAlignment="1">
      <alignment horizontal="center" vertical="center" textRotation="90"/>
    </xf>
    <xf numFmtId="0" fontId="4" fillId="5" borderId="5" xfId="0" applyFont="1" applyFill="1" applyBorder="1" applyAlignment="1">
      <alignment horizontal="center" vertical="center" textRotation="90"/>
    </xf>
    <xf numFmtId="0" fontId="4" fillId="5" borderId="13" xfId="0" applyFont="1" applyFill="1" applyBorder="1" applyAlignment="1">
      <alignment horizontal="center" vertical="center" textRotation="90"/>
    </xf>
    <xf numFmtId="0" fontId="4" fillId="5" borderId="6" xfId="0" applyFont="1" applyFill="1" applyBorder="1" applyAlignment="1">
      <alignment horizontal="center" vertical="center" textRotation="90"/>
    </xf>
    <xf numFmtId="0" fontId="4" fillId="9" borderId="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textRotation="90"/>
    </xf>
    <xf numFmtId="0" fontId="4" fillId="10" borderId="13" xfId="0" applyFont="1" applyFill="1" applyBorder="1" applyAlignment="1">
      <alignment horizontal="center" vertical="center" textRotation="90"/>
    </xf>
    <xf numFmtId="0" fontId="4" fillId="10" borderId="6" xfId="0" applyFont="1" applyFill="1" applyBorder="1" applyAlignment="1">
      <alignment horizontal="center" vertical="center" textRotation="90"/>
    </xf>
    <xf numFmtId="0" fontId="4" fillId="10" borderId="2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textRotation="90"/>
    </xf>
    <xf numFmtId="0" fontId="4" fillId="11" borderId="13" xfId="0" applyFont="1" applyFill="1" applyBorder="1" applyAlignment="1">
      <alignment horizontal="center" vertical="center" textRotation="90"/>
    </xf>
    <xf numFmtId="0" fontId="4" fillId="11" borderId="6" xfId="0" applyFont="1" applyFill="1" applyBorder="1" applyAlignment="1">
      <alignment horizontal="center" vertical="center" textRotation="90"/>
    </xf>
    <xf numFmtId="0" fontId="4" fillId="11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 wrapText="1"/>
    </xf>
    <xf numFmtId="2" fontId="5" fillId="7" borderId="2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10" fontId="3" fillId="0" borderId="4" xfId="2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textRotation="90"/>
    </xf>
    <xf numFmtId="0" fontId="4" fillId="5" borderId="24" xfId="0" applyFont="1" applyFill="1" applyBorder="1" applyAlignment="1">
      <alignment horizontal="center" vertical="center" textRotation="90"/>
    </xf>
    <xf numFmtId="0" fontId="4" fillId="5" borderId="25" xfId="0" applyFont="1" applyFill="1" applyBorder="1" applyAlignment="1">
      <alignment horizontal="center" vertical="center" textRotation="90"/>
    </xf>
    <xf numFmtId="0" fontId="3" fillId="2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/>
    </xf>
    <xf numFmtId="0" fontId="15" fillId="19" borderId="8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 textRotation="90"/>
    </xf>
    <xf numFmtId="0" fontId="4" fillId="19" borderId="3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17116</xdr:colOff>
      <xdr:row>30</xdr:row>
      <xdr:rowOff>63500</xdr:rowOff>
    </xdr:from>
    <xdr:to>
      <xdr:col>9</xdr:col>
      <xdr:colOff>171449</xdr:colOff>
      <xdr:row>56</xdr:row>
      <xdr:rowOff>9550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E7C56A3-AECD-46CD-9DAF-7112CC9CB563}"/>
            </a:ext>
          </a:extLst>
        </xdr:cNvPr>
        <xdr:cNvGrpSpPr/>
      </xdr:nvGrpSpPr>
      <xdr:grpSpPr>
        <a:xfrm>
          <a:off x="6202016" y="4184650"/>
          <a:ext cx="802033" cy="3413150"/>
          <a:chOff x="5871817" y="3130550"/>
          <a:chExt cx="720000" cy="2346350"/>
        </a:xfrm>
      </xdr:grpSpPr>
      <xdr:cxnSp macro="">
        <xdr:nvCxnSpPr>
          <xdr:cNvPr id="3" name="Conector reto 2">
            <a:extLst>
              <a:ext uri="{FF2B5EF4-FFF2-40B4-BE49-F238E27FC236}">
                <a16:creationId xmlns:a16="http://schemas.microsoft.com/office/drawing/2014/main" id="{AAE6015A-8B8D-CA1D-2DA4-061C8F609243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69DBA760-4C3F-B6C2-189E-A91FA2791F7F}"/>
              </a:ext>
            </a:extLst>
          </xdr:cNvPr>
          <xdr:cNvCxnSpPr/>
        </xdr:nvCxnSpPr>
        <xdr:spPr>
          <a:xfrm>
            <a:off x="5991222" y="3136899"/>
            <a:ext cx="0" cy="86618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12C65B46-E172-6E67-C755-75D5CFE70E41}"/>
              </a:ext>
            </a:extLst>
          </xdr:cNvPr>
          <xdr:cNvCxnSpPr/>
        </xdr:nvCxnSpPr>
        <xdr:spPr>
          <a:xfrm>
            <a:off x="6277047" y="3136899"/>
            <a:ext cx="0" cy="1410635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C412863-CB32-5BEA-2167-8456A0AD0589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880716</xdr:colOff>
      <xdr:row>66</xdr:row>
      <xdr:rowOff>63500</xdr:rowOff>
    </xdr:from>
    <xdr:to>
      <xdr:col>9</xdr:col>
      <xdr:colOff>171449</xdr:colOff>
      <xdr:row>94</xdr:row>
      <xdr:rowOff>117284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5A0EA81-DFE2-4C4C-B822-F84E6544A2E0}"/>
            </a:ext>
          </a:extLst>
        </xdr:cNvPr>
        <xdr:cNvGrpSpPr/>
      </xdr:nvGrpSpPr>
      <xdr:grpSpPr>
        <a:xfrm>
          <a:off x="6182966" y="8985250"/>
          <a:ext cx="821083" cy="3787584"/>
          <a:chOff x="5871817" y="3130550"/>
          <a:chExt cx="720000" cy="3170840"/>
        </a:xfrm>
      </xdr:grpSpPr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FFC89F94-11AB-3EE4-5F1F-EF5A7CB9248E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318DC8D5-F9DD-D579-CA51-B16E3C792CFF}"/>
              </a:ext>
            </a:extLst>
          </xdr:cNvPr>
          <xdr:cNvCxnSpPr/>
        </xdr:nvCxnSpPr>
        <xdr:spPr>
          <a:xfrm>
            <a:off x="6019724" y="3136897"/>
            <a:ext cx="0" cy="1175383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2485550B-7038-AEFD-627A-BE23CF70346F}"/>
              </a:ext>
            </a:extLst>
          </xdr:cNvPr>
          <xdr:cNvCxnSpPr/>
        </xdr:nvCxnSpPr>
        <xdr:spPr>
          <a:xfrm>
            <a:off x="6305550" y="3136899"/>
            <a:ext cx="0" cy="195897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FD29B5D9-F6B8-3DBF-DE8C-72EF99A56F35}"/>
              </a:ext>
            </a:extLst>
          </xdr:cNvPr>
          <xdr:cNvCxnSpPr/>
        </xdr:nvCxnSpPr>
        <xdr:spPr>
          <a:xfrm>
            <a:off x="6591300" y="3136899"/>
            <a:ext cx="0" cy="316449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104</xdr:row>
      <xdr:rowOff>50800</xdr:rowOff>
    </xdr:from>
    <xdr:to>
      <xdr:col>9</xdr:col>
      <xdr:colOff>158750</xdr:colOff>
      <xdr:row>130</xdr:row>
      <xdr:rowOff>10327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68F81BB-B1CC-46E2-9B0C-0223C7569FE1}"/>
            </a:ext>
          </a:extLst>
        </xdr:cNvPr>
        <xdr:cNvGrpSpPr/>
      </xdr:nvGrpSpPr>
      <xdr:grpSpPr>
        <a:xfrm>
          <a:off x="6184900" y="14039850"/>
          <a:ext cx="806450" cy="3426627"/>
          <a:chOff x="5871817" y="3130550"/>
          <a:chExt cx="720000" cy="3282226"/>
        </a:xfrm>
      </xdr:grpSpPr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6C761F1D-EFDD-8BA5-8901-FF85AB545CCF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9EAE3D1C-DA81-791F-4711-9C09F0BCDAA8}"/>
              </a:ext>
            </a:extLst>
          </xdr:cNvPr>
          <xdr:cNvCxnSpPr/>
        </xdr:nvCxnSpPr>
        <xdr:spPr>
          <a:xfrm>
            <a:off x="6019724" y="3136899"/>
            <a:ext cx="0" cy="1241385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05E54038-49FD-01A0-4897-5F34CB0EBEC5}"/>
              </a:ext>
            </a:extLst>
          </xdr:cNvPr>
          <xdr:cNvCxnSpPr/>
        </xdr:nvCxnSpPr>
        <xdr:spPr>
          <a:xfrm>
            <a:off x="6305550" y="3136898"/>
            <a:ext cx="0" cy="2000009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C09304D8-22F9-D1D6-D191-ED60DDEF6AC8}"/>
              </a:ext>
            </a:extLst>
          </xdr:cNvPr>
          <xdr:cNvCxnSpPr/>
        </xdr:nvCxnSpPr>
        <xdr:spPr>
          <a:xfrm>
            <a:off x="6591300" y="3136898"/>
            <a:ext cx="0" cy="3275878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139</xdr:row>
      <xdr:rowOff>57147</xdr:rowOff>
    </xdr:from>
    <xdr:to>
      <xdr:col>9</xdr:col>
      <xdr:colOff>135800</xdr:colOff>
      <xdr:row>165</xdr:row>
      <xdr:rowOff>18252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EE2B402-2483-415B-B5B4-45C15917E5F6}"/>
            </a:ext>
          </a:extLst>
        </xdr:cNvPr>
        <xdr:cNvGrpSpPr/>
      </xdr:nvGrpSpPr>
      <xdr:grpSpPr>
        <a:xfrm>
          <a:off x="6184900" y="18713447"/>
          <a:ext cx="783500" cy="3428205"/>
          <a:chOff x="5871817" y="3130550"/>
          <a:chExt cx="720000" cy="2653273"/>
        </a:xfrm>
      </xdr:grpSpPr>
      <xdr:cxnSp macro="">
        <xdr:nvCxnSpPr>
          <xdr:cNvPr id="18" name="Conector reto 17">
            <a:extLst>
              <a:ext uri="{FF2B5EF4-FFF2-40B4-BE49-F238E27FC236}">
                <a16:creationId xmlns:a16="http://schemas.microsoft.com/office/drawing/2014/main" id="{15D5C3C0-5BB7-D973-ADD4-AF5E01AA75A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840E1F54-709F-0704-6FC1-9D4D89FCA781}"/>
              </a:ext>
            </a:extLst>
          </xdr:cNvPr>
          <xdr:cNvCxnSpPr/>
        </xdr:nvCxnSpPr>
        <xdr:spPr>
          <a:xfrm>
            <a:off x="6019724" y="3136900"/>
            <a:ext cx="0" cy="975182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980C08E2-A1A7-4FE2-6301-039E6EA8172F}"/>
              </a:ext>
            </a:extLst>
          </xdr:cNvPr>
          <xdr:cNvCxnSpPr/>
        </xdr:nvCxnSpPr>
        <xdr:spPr>
          <a:xfrm>
            <a:off x="6305550" y="3136899"/>
            <a:ext cx="0" cy="1616015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7BB9056F-2B2B-49E2-379C-A71B5B2791C8}"/>
              </a:ext>
            </a:extLst>
          </xdr:cNvPr>
          <xdr:cNvCxnSpPr/>
        </xdr:nvCxnSpPr>
        <xdr:spPr>
          <a:xfrm>
            <a:off x="6591300" y="3136900"/>
            <a:ext cx="0" cy="2646923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175</xdr:row>
      <xdr:rowOff>38100</xdr:rowOff>
    </xdr:from>
    <xdr:to>
      <xdr:col>9</xdr:col>
      <xdr:colOff>135800</xdr:colOff>
      <xdr:row>203</xdr:row>
      <xdr:rowOff>128226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D956C2C-DD96-4196-ACE9-76306015DA8F}"/>
            </a:ext>
          </a:extLst>
        </xdr:cNvPr>
        <xdr:cNvGrpSpPr/>
      </xdr:nvGrpSpPr>
      <xdr:grpSpPr>
        <a:xfrm>
          <a:off x="6184900" y="23495000"/>
          <a:ext cx="783500" cy="3823926"/>
          <a:chOff x="5871817" y="3130550"/>
          <a:chExt cx="720000" cy="3063417"/>
        </a:xfrm>
      </xdr:grpSpPr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B8C366C5-CB16-D7A3-AD62-2C73C12ABF6D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to 23">
            <a:extLst>
              <a:ext uri="{FF2B5EF4-FFF2-40B4-BE49-F238E27FC236}">
                <a16:creationId xmlns:a16="http://schemas.microsoft.com/office/drawing/2014/main" id="{E309D543-2CEA-7055-F0A8-1AEAC85AE4E9}"/>
              </a:ext>
            </a:extLst>
          </xdr:cNvPr>
          <xdr:cNvCxnSpPr/>
        </xdr:nvCxnSpPr>
        <xdr:spPr>
          <a:xfrm>
            <a:off x="6019724" y="3136898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AC28EB9B-4FA2-6802-217F-6B0ED5E24A20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02144641-F41C-AB31-E488-9AC8FFECF0F5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880717</xdr:colOff>
      <xdr:row>46</xdr:row>
      <xdr:rowOff>63500</xdr:rowOff>
    </xdr:from>
    <xdr:to>
      <xdr:col>7</xdr:col>
      <xdr:colOff>322067</xdr:colOff>
      <xdr:row>46</xdr:row>
      <xdr:rowOff>63500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9A5A04D8-DB83-47BD-AEC9-21F737D46BB1}"/>
            </a:ext>
          </a:extLst>
        </xdr:cNvPr>
        <xdr:cNvCxnSpPr/>
      </xdr:nvCxnSpPr>
      <xdr:spPr>
        <a:xfrm flipV="1">
          <a:off x="6182967" y="6318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56</xdr:row>
      <xdr:rowOff>69850</xdr:rowOff>
    </xdr:from>
    <xdr:to>
      <xdr:col>8</xdr:col>
      <xdr:colOff>322217</xdr:colOff>
      <xdr:row>56</xdr:row>
      <xdr:rowOff>69850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9083F332-E1EC-43C8-B997-6F00DA2B5142}"/>
            </a:ext>
          </a:extLst>
        </xdr:cNvPr>
        <xdr:cNvCxnSpPr/>
      </xdr:nvCxnSpPr>
      <xdr:spPr>
        <a:xfrm flipV="1">
          <a:off x="6182967" y="7658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84</xdr:row>
      <xdr:rowOff>69850</xdr:rowOff>
    </xdr:from>
    <xdr:to>
      <xdr:col>8</xdr:col>
      <xdr:colOff>150</xdr:colOff>
      <xdr:row>84</xdr:row>
      <xdr:rowOff>69850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B11207EF-1A27-492D-98FF-7669EFD62626}"/>
            </a:ext>
          </a:extLst>
        </xdr:cNvPr>
        <xdr:cNvCxnSpPr/>
      </xdr:nvCxnSpPr>
      <xdr:spPr>
        <a:xfrm flipV="1">
          <a:off x="6184900" y="1139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120</xdr:row>
      <xdr:rowOff>69850</xdr:rowOff>
    </xdr:from>
    <xdr:to>
      <xdr:col>8</xdr:col>
      <xdr:colOff>150</xdr:colOff>
      <xdr:row>120</xdr:row>
      <xdr:rowOff>69850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788B9416-9A5D-4002-9BC4-317AF0BD399C}"/>
            </a:ext>
          </a:extLst>
        </xdr:cNvPr>
        <xdr:cNvCxnSpPr/>
      </xdr:nvCxnSpPr>
      <xdr:spPr>
        <a:xfrm flipV="1">
          <a:off x="6184900" y="16192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155</xdr:row>
      <xdr:rowOff>69850</xdr:rowOff>
    </xdr:from>
    <xdr:to>
      <xdr:col>8</xdr:col>
      <xdr:colOff>150</xdr:colOff>
      <xdr:row>155</xdr:row>
      <xdr:rowOff>69850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5D7299EF-373A-4E2A-8A32-93752AAF3EC0}"/>
            </a:ext>
          </a:extLst>
        </xdr:cNvPr>
        <xdr:cNvCxnSpPr/>
      </xdr:nvCxnSpPr>
      <xdr:spPr>
        <a:xfrm flipV="1">
          <a:off x="6184900" y="20859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193</xdr:row>
      <xdr:rowOff>69850</xdr:rowOff>
    </xdr:from>
    <xdr:to>
      <xdr:col>8</xdr:col>
      <xdr:colOff>150</xdr:colOff>
      <xdr:row>193</xdr:row>
      <xdr:rowOff>69850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EBB35814-9AE7-4515-95B2-A46486DE5F3E}"/>
            </a:ext>
          </a:extLst>
        </xdr:cNvPr>
        <xdr:cNvCxnSpPr/>
      </xdr:nvCxnSpPr>
      <xdr:spPr>
        <a:xfrm flipV="1">
          <a:off x="6184900" y="259270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17117</xdr:colOff>
      <xdr:row>30</xdr:row>
      <xdr:rowOff>63500</xdr:rowOff>
    </xdr:from>
    <xdr:to>
      <xdr:col>17</xdr:col>
      <xdr:colOff>152917</xdr:colOff>
      <xdr:row>56</xdr:row>
      <xdr:rowOff>9550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6B882C3C-0A87-4824-B6EB-02622AF65297}"/>
            </a:ext>
          </a:extLst>
        </xdr:cNvPr>
        <xdr:cNvGrpSpPr/>
      </xdr:nvGrpSpPr>
      <xdr:grpSpPr>
        <a:xfrm>
          <a:off x="10894667" y="4184650"/>
          <a:ext cx="783500" cy="3413150"/>
          <a:chOff x="5871817" y="3130550"/>
          <a:chExt cx="720000" cy="2346350"/>
        </a:xfrm>
      </xdr:grpSpPr>
      <xdr:cxnSp macro="">
        <xdr:nvCxnSpPr>
          <xdr:cNvPr id="34" name="Conector reto 33">
            <a:extLst>
              <a:ext uri="{FF2B5EF4-FFF2-40B4-BE49-F238E27FC236}">
                <a16:creationId xmlns:a16="http://schemas.microsoft.com/office/drawing/2014/main" id="{33A8B3B2-884B-4AB8-6F27-3DD0270FBA0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ector reto 34">
            <a:extLst>
              <a:ext uri="{FF2B5EF4-FFF2-40B4-BE49-F238E27FC236}">
                <a16:creationId xmlns:a16="http://schemas.microsoft.com/office/drawing/2014/main" id="{A6F54909-8526-3D85-72C1-D06307EF4A30}"/>
              </a:ext>
            </a:extLst>
          </xdr:cNvPr>
          <xdr:cNvCxnSpPr/>
        </xdr:nvCxnSpPr>
        <xdr:spPr>
          <a:xfrm>
            <a:off x="5996383" y="3136899"/>
            <a:ext cx="0" cy="86618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reto 35">
            <a:extLst>
              <a:ext uri="{FF2B5EF4-FFF2-40B4-BE49-F238E27FC236}">
                <a16:creationId xmlns:a16="http://schemas.microsoft.com/office/drawing/2014/main" id="{B76C77AA-8E6D-7C6E-AFBE-24423301EE6E}"/>
              </a:ext>
            </a:extLst>
          </xdr:cNvPr>
          <xdr:cNvCxnSpPr/>
        </xdr:nvCxnSpPr>
        <xdr:spPr>
          <a:xfrm>
            <a:off x="6288044" y="3136899"/>
            <a:ext cx="0" cy="1410635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to 36">
            <a:extLst>
              <a:ext uri="{FF2B5EF4-FFF2-40B4-BE49-F238E27FC236}">
                <a16:creationId xmlns:a16="http://schemas.microsoft.com/office/drawing/2014/main" id="{603F06B6-26BD-C405-8ACD-AA46507BE1E4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874367</xdr:colOff>
      <xdr:row>66</xdr:row>
      <xdr:rowOff>63500</xdr:rowOff>
    </xdr:from>
    <xdr:to>
      <xdr:col>17</xdr:col>
      <xdr:colOff>133867</xdr:colOff>
      <xdr:row>95</xdr:row>
      <xdr:rowOff>19934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16F43909-9385-42D0-870B-2E4EC3DC6721}"/>
            </a:ext>
          </a:extLst>
        </xdr:cNvPr>
        <xdr:cNvGrpSpPr/>
      </xdr:nvGrpSpPr>
      <xdr:grpSpPr>
        <a:xfrm>
          <a:off x="10875617" y="8985250"/>
          <a:ext cx="783500" cy="3823584"/>
          <a:chOff x="5871817" y="3130550"/>
          <a:chExt cx="720000" cy="3200978"/>
        </a:xfrm>
      </xdr:grpSpPr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D11F2E5E-45B3-08BE-55B0-9790600503EF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to 39">
            <a:extLst>
              <a:ext uri="{FF2B5EF4-FFF2-40B4-BE49-F238E27FC236}">
                <a16:creationId xmlns:a16="http://schemas.microsoft.com/office/drawing/2014/main" id="{47169CEB-605D-80EB-DCEE-CBC195A07A45}"/>
              </a:ext>
            </a:extLst>
          </xdr:cNvPr>
          <xdr:cNvCxnSpPr/>
        </xdr:nvCxnSpPr>
        <xdr:spPr>
          <a:xfrm>
            <a:off x="6019724" y="3136897"/>
            <a:ext cx="0" cy="1175383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ctor reto 40">
            <a:extLst>
              <a:ext uri="{FF2B5EF4-FFF2-40B4-BE49-F238E27FC236}">
                <a16:creationId xmlns:a16="http://schemas.microsoft.com/office/drawing/2014/main" id="{E3A18AFF-348C-C93A-05AB-8754D4D56817}"/>
              </a:ext>
            </a:extLst>
          </xdr:cNvPr>
          <xdr:cNvCxnSpPr/>
        </xdr:nvCxnSpPr>
        <xdr:spPr>
          <a:xfrm>
            <a:off x="6305550" y="3136899"/>
            <a:ext cx="0" cy="195897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EB9E447D-2BFB-4B0E-9534-32DD052FDE09}"/>
              </a:ext>
            </a:extLst>
          </xdr:cNvPr>
          <xdr:cNvCxnSpPr/>
        </xdr:nvCxnSpPr>
        <xdr:spPr>
          <a:xfrm>
            <a:off x="6591300" y="3136899"/>
            <a:ext cx="0" cy="3194629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104</xdr:row>
      <xdr:rowOff>50800</xdr:rowOff>
    </xdr:from>
    <xdr:to>
      <xdr:col>17</xdr:col>
      <xdr:colOff>135800</xdr:colOff>
      <xdr:row>130</xdr:row>
      <xdr:rowOff>10327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29A191E7-38A7-4B64-91DA-15E698B45C90}"/>
            </a:ext>
          </a:extLst>
        </xdr:cNvPr>
        <xdr:cNvGrpSpPr/>
      </xdr:nvGrpSpPr>
      <xdr:grpSpPr>
        <a:xfrm>
          <a:off x="10877550" y="14039850"/>
          <a:ext cx="783500" cy="3426627"/>
          <a:chOff x="5871817" y="3130550"/>
          <a:chExt cx="720000" cy="3282226"/>
        </a:xfrm>
      </xdr:grpSpPr>
      <xdr:cxnSp macro="">
        <xdr:nvCxnSpPr>
          <xdr:cNvPr id="44" name="Conector reto 43">
            <a:extLst>
              <a:ext uri="{FF2B5EF4-FFF2-40B4-BE49-F238E27FC236}">
                <a16:creationId xmlns:a16="http://schemas.microsoft.com/office/drawing/2014/main" id="{25C00314-89CE-E1D0-BD0A-733443D1460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8AEB2F36-1867-6AAB-8F30-FE53439D6CD8}"/>
              </a:ext>
            </a:extLst>
          </xdr:cNvPr>
          <xdr:cNvCxnSpPr/>
        </xdr:nvCxnSpPr>
        <xdr:spPr>
          <a:xfrm>
            <a:off x="6019724" y="3136898"/>
            <a:ext cx="0" cy="1241385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to 45">
            <a:extLst>
              <a:ext uri="{FF2B5EF4-FFF2-40B4-BE49-F238E27FC236}">
                <a16:creationId xmlns:a16="http://schemas.microsoft.com/office/drawing/2014/main" id="{267B1549-4E9D-12D0-7C3C-94D3BA16B434}"/>
              </a:ext>
            </a:extLst>
          </xdr:cNvPr>
          <xdr:cNvCxnSpPr/>
        </xdr:nvCxnSpPr>
        <xdr:spPr>
          <a:xfrm>
            <a:off x="6305550" y="3136899"/>
            <a:ext cx="0" cy="2000010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to 46">
            <a:extLst>
              <a:ext uri="{FF2B5EF4-FFF2-40B4-BE49-F238E27FC236}">
                <a16:creationId xmlns:a16="http://schemas.microsoft.com/office/drawing/2014/main" id="{22CFBFF4-1D6A-AE3F-F6D9-14A32C63B0AB}"/>
              </a:ext>
            </a:extLst>
          </xdr:cNvPr>
          <xdr:cNvCxnSpPr/>
        </xdr:nvCxnSpPr>
        <xdr:spPr>
          <a:xfrm>
            <a:off x="6591300" y="3136898"/>
            <a:ext cx="0" cy="3275878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139</xdr:row>
      <xdr:rowOff>57147</xdr:rowOff>
    </xdr:from>
    <xdr:to>
      <xdr:col>17</xdr:col>
      <xdr:colOff>135800</xdr:colOff>
      <xdr:row>165</xdr:row>
      <xdr:rowOff>18252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9BB25B48-30FD-4CC4-BF86-1E5D0ABAFB4B}"/>
            </a:ext>
          </a:extLst>
        </xdr:cNvPr>
        <xdr:cNvGrpSpPr/>
      </xdr:nvGrpSpPr>
      <xdr:grpSpPr>
        <a:xfrm>
          <a:off x="10877550" y="18713447"/>
          <a:ext cx="783500" cy="3428205"/>
          <a:chOff x="5871817" y="3130550"/>
          <a:chExt cx="720000" cy="2653273"/>
        </a:xfrm>
      </xdr:grpSpPr>
      <xdr:cxnSp macro="">
        <xdr:nvCxnSpPr>
          <xdr:cNvPr id="49" name="Conector reto 48">
            <a:extLst>
              <a:ext uri="{FF2B5EF4-FFF2-40B4-BE49-F238E27FC236}">
                <a16:creationId xmlns:a16="http://schemas.microsoft.com/office/drawing/2014/main" id="{8E59706E-022B-EF9F-9F7A-E1E809659F4B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to 49">
            <a:extLst>
              <a:ext uri="{FF2B5EF4-FFF2-40B4-BE49-F238E27FC236}">
                <a16:creationId xmlns:a16="http://schemas.microsoft.com/office/drawing/2014/main" id="{0A236393-F7BB-89ED-27C9-A9341DA9D1A1}"/>
              </a:ext>
            </a:extLst>
          </xdr:cNvPr>
          <xdr:cNvCxnSpPr/>
        </xdr:nvCxnSpPr>
        <xdr:spPr>
          <a:xfrm>
            <a:off x="6019724" y="3136900"/>
            <a:ext cx="0" cy="1003044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Conector reto 50">
            <a:extLst>
              <a:ext uri="{FF2B5EF4-FFF2-40B4-BE49-F238E27FC236}">
                <a16:creationId xmlns:a16="http://schemas.microsoft.com/office/drawing/2014/main" id="{07A2C52B-1771-FA64-2839-3033A5B17F1D}"/>
              </a:ext>
            </a:extLst>
          </xdr:cNvPr>
          <xdr:cNvCxnSpPr/>
        </xdr:nvCxnSpPr>
        <xdr:spPr>
          <a:xfrm>
            <a:off x="6305550" y="3136899"/>
            <a:ext cx="0" cy="161601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ector reto 51">
            <a:extLst>
              <a:ext uri="{FF2B5EF4-FFF2-40B4-BE49-F238E27FC236}">
                <a16:creationId xmlns:a16="http://schemas.microsoft.com/office/drawing/2014/main" id="{4276EE06-66FE-C7FD-DC08-284B9FAE60E2}"/>
              </a:ext>
            </a:extLst>
          </xdr:cNvPr>
          <xdr:cNvCxnSpPr/>
        </xdr:nvCxnSpPr>
        <xdr:spPr>
          <a:xfrm>
            <a:off x="6591300" y="3136900"/>
            <a:ext cx="0" cy="2646923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175</xdr:row>
      <xdr:rowOff>38100</xdr:rowOff>
    </xdr:from>
    <xdr:to>
      <xdr:col>17</xdr:col>
      <xdr:colOff>135800</xdr:colOff>
      <xdr:row>203</xdr:row>
      <xdr:rowOff>128226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F3FA6625-089D-42EB-9161-0545500FF536}"/>
            </a:ext>
          </a:extLst>
        </xdr:cNvPr>
        <xdr:cNvGrpSpPr/>
      </xdr:nvGrpSpPr>
      <xdr:grpSpPr>
        <a:xfrm>
          <a:off x="10877550" y="23495000"/>
          <a:ext cx="783500" cy="3823926"/>
          <a:chOff x="5871817" y="3130550"/>
          <a:chExt cx="720000" cy="3063417"/>
        </a:xfrm>
      </xdr:grpSpPr>
      <xdr:cxnSp macro="">
        <xdr:nvCxnSpPr>
          <xdr:cNvPr id="54" name="Conector reto 53">
            <a:extLst>
              <a:ext uri="{FF2B5EF4-FFF2-40B4-BE49-F238E27FC236}">
                <a16:creationId xmlns:a16="http://schemas.microsoft.com/office/drawing/2014/main" id="{392A4BF2-E079-6722-20A3-08033C440DB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to 54">
            <a:extLst>
              <a:ext uri="{FF2B5EF4-FFF2-40B4-BE49-F238E27FC236}">
                <a16:creationId xmlns:a16="http://schemas.microsoft.com/office/drawing/2014/main" id="{E118582E-EC0E-AC00-66E5-CB918CD32B6D}"/>
              </a:ext>
            </a:extLst>
          </xdr:cNvPr>
          <xdr:cNvCxnSpPr/>
        </xdr:nvCxnSpPr>
        <xdr:spPr>
          <a:xfrm>
            <a:off x="6019724" y="3136895"/>
            <a:ext cx="0" cy="112477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 reto 55">
            <a:extLst>
              <a:ext uri="{FF2B5EF4-FFF2-40B4-BE49-F238E27FC236}">
                <a16:creationId xmlns:a16="http://schemas.microsoft.com/office/drawing/2014/main" id="{ADEF7CA7-935C-035F-0F74-469C38B79D70}"/>
              </a:ext>
            </a:extLst>
          </xdr:cNvPr>
          <xdr:cNvCxnSpPr/>
        </xdr:nvCxnSpPr>
        <xdr:spPr>
          <a:xfrm>
            <a:off x="6305550" y="3136900"/>
            <a:ext cx="0" cy="190345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Conector reto 56">
            <a:extLst>
              <a:ext uri="{FF2B5EF4-FFF2-40B4-BE49-F238E27FC236}">
                <a16:creationId xmlns:a16="http://schemas.microsoft.com/office/drawing/2014/main" id="{58AE658A-C5DA-3AE1-1D35-E3B6A67C8F4D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46</xdr:row>
      <xdr:rowOff>69850</xdr:rowOff>
    </xdr:from>
    <xdr:to>
      <xdr:col>15</xdr:col>
      <xdr:colOff>322067</xdr:colOff>
      <xdr:row>46</xdr:row>
      <xdr:rowOff>69850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42BED4E1-FA57-4984-8315-275D26206D0C}"/>
            </a:ext>
          </a:extLst>
        </xdr:cNvPr>
        <xdr:cNvCxnSpPr/>
      </xdr:nvCxnSpPr>
      <xdr:spPr>
        <a:xfrm flipV="1">
          <a:off x="10875617" y="63246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56</xdr:row>
      <xdr:rowOff>69850</xdr:rowOff>
    </xdr:from>
    <xdr:to>
      <xdr:col>16</xdr:col>
      <xdr:colOff>322217</xdr:colOff>
      <xdr:row>56</xdr:row>
      <xdr:rowOff>69850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965E08DE-930B-48BB-AB70-5F176B40FE60}"/>
            </a:ext>
          </a:extLst>
        </xdr:cNvPr>
        <xdr:cNvCxnSpPr/>
      </xdr:nvCxnSpPr>
      <xdr:spPr>
        <a:xfrm flipV="1">
          <a:off x="10875617" y="7658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84</xdr:row>
      <xdr:rowOff>69850</xdr:rowOff>
    </xdr:from>
    <xdr:to>
      <xdr:col>16</xdr:col>
      <xdr:colOff>150</xdr:colOff>
      <xdr:row>84</xdr:row>
      <xdr:rowOff>69850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A1146EFB-17BD-4F69-8877-031BC3DA2663}"/>
            </a:ext>
          </a:extLst>
        </xdr:cNvPr>
        <xdr:cNvCxnSpPr/>
      </xdr:nvCxnSpPr>
      <xdr:spPr>
        <a:xfrm flipV="1">
          <a:off x="10877550" y="1139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22134</xdr:colOff>
      <xdr:row>95</xdr:row>
      <xdr:rowOff>76200</xdr:rowOff>
    </xdr:from>
    <xdr:to>
      <xdr:col>17</xdr:col>
      <xdr:colOff>22434</xdr:colOff>
      <xdr:row>95</xdr:row>
      <xdr:rowOff>76200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F2AF02DA-292A-47BF-A1B1-2BBA600E832B}"/>
            </a:ext>
          </a:extLst>
        </xdr:cNvPr>
        <xdr:cNvCxnSpPr/>
      </xdr:nvCxnSpPr>
      <xdr:spPr>
        <a:xfrm flipV="1">
          <a:off x="10899684" y="12865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120</xdr:row>
      <xdr:rowOff>69850</xdr:rowOff>
    </xdr:from>
    <xdr:to>
      <xdr:col>16</xdr:col>
      <xdr:colOff>150</xdr:colOff>
      <xdr:row>120</xdr:row>
      <xdr:rowOff>69850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FF70D001-04B1-4AD4-9DBA-0660DF92FF13}"/>
            </a:ext>
          </a:extLst>
        </xdr:cNvPr>
        <xdr:cNvCxnSpPr/>
      </xdr:nvCxnSpPr>
      <xdr:spPr>
        <a:xfrm flipV="1">
          <a:off x="10877550" y="16192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155</xdr:row>
      <xdr:rowOff>69850</xdr:rowOff>
    </xdr:from>
    <xdr:to>
      <xdr:col>16</xdr:col>
      <xdr:colOff>150</xdr:colOff>
      <xdr:row>155</xdr:row>
      <xdr:rowOff>69850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87BF4961-AFA3-4550-A0B5-A321817AFA59}"/>
            </a:ext>
          </a:extLst>
        </xdr:cNvPr>
        <xdr:cNvCxnSpPr/>
      </xdr:nvCxnSpPr>
      <xdr:spPr>
        <a:xfrm flipV="1">
          <a:off x="10877550" y="20859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193</xdr:row>
      <xdr:rowOff>69850</xdr:rowOff>
    </xdr:from>
    <xdr:to>
      <xdr:col>16</xdr:col>
      <xdr:colOff>150</xdr:colOff>
      <xdr:row>193</xdr:row>
      <xdr:rowOff>69850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DA891136-D0E6-4CAF-A463-10865549558A}"/>
            </a:ext>
          </a:extLst>
        </xdr:cNvPr>
        <xdr:cNvCxnSpPr/>
      </xdr:nvCxnSpPr>
      <xdr:spPr>
        <a:xfrm flipV="1">
          <a:off x="10877550" y="259270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38100</xdr:rowOff>
    </xdr:from>
    <xdr:to>
      <xdr:col>9</xdr:col>
      <xdr:colOff>135800</xdr:colOff>
      <xdr:row>243</xdr:row>
      <xdr:rowOff>30877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B6CF0499-1444-4109-BA5E-64C029DE02FF}"/>
            </a:ext>
          </a:extLst>
        </xdr:cNvPr>
        <xdr:cNvGrpSpPr/>
      </xdr:nvGrpSpPr>
      <xdr:grpSpPr>
        <a:xfrm>
          <a:off x="6184900" y="28695650"/>
          <a:ext cx="783500" cy="3859927"/>
          <a:chOff x="5871817" y="3130550"/>
          <a:chExt cx="720000" cy="3092258"/>
        </a:xfrm>
      </xdr:grpSpPr>
      <xdr:cxnSp macro="">
        <xdr:nvCxnSpPr>
          <xdr:cNvPr id="66" name="Conector reto 65">
            <a:extLst>
              <a:ext uri="{FF2B5EF4-FFF2-40B4-BE49-F238E27FC236}">
                <a16:creationId xmlns:a16="http://schemas.microsoft.com/office/drawing/2014/main" id="{E4B569FB-D37C-C578-0D7B-E9BC2AA1FE15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to 66">
            <a:extLst>
              <a:ext uri="{FF2B5EF4-FFF2-40B4-BE49-F238E27FC236}">
                <a16:creationId xmlns:a16="http://schemas.microsoft.com/office/drawing/2014/main" id="{EB83B1C5-305E-9730-1832-C1C3A1B5B454}"/>
              </a:ext>
            </a:extLst>
          </xdr:cNvPr>
          <xdr:cNvCxnSpPr/>
        </xdr:nvCxnSpPr>
        <xdr:spPr>
          <a:xfrm>
            <a:off x="6019724" y="3136897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reto 67">
            <a:extLst>
              <a:ext uri="{FF2B5EF4-FFF2-40B4-BE49-F238E27FC236}">
                <a16:creationId xmlns:a16="http://schemas.microsoft.com/office/drawing/2014/main" id="{8D3D74EE-F1D6-F967-B7CB-2B607C8538B8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Conector reto 68">
            <a:extLst>
              <a:ext uri="{FF2B5EF4-FFF2-40B4-BE49-F238E27FC236}">
                <a16:creationId xmlns:a16="http://schemas.microsoft.com/office/drawing/2014/main" id="{EC229473-4491-3CB3-8640-AC6F79335E90}"/>
              </a:ext>
            </a:extLst>
          </xdr:cNvPr>
          <xdr:cNvCxnSpPr/>
        </xdr:nvCxnSpPr>
        <xdr:spPr>
          <a:xfrm>
            <a:off x="6591300" y="3136900"/>
            <a:ext cx="0" cy="3085908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232</xdr:row>
      <xdr:rowOff>69850</xdr:rowOff>
    </xdr:from>
    <xdr:to>
      <xdr:col>8</xdr:col>
      <xdr:colOff>150</xdr:colOff>
      <xdr:row>232</xdr:row>
      <xdr:rowOff>69850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5F2BBA6A-BAB8-45D3-BEB4-1E4DA60B7375}"/>
            </a:ext>
          </a:extLst>
        </xdr:cNvPr>
        <xdr:cNvCxnSpPr/>
      </xdr:nvCxnSpPr>
      <xdr:spPr>
        <a:xfrm flipV="1">
          <a:off x="6184900" y="311277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214</xdr:row>
      <xdr:rowOff>38100</xdr:rowOff>
    </xdr:from>
    <xdr:to>
      <xdr:col>17</xdr:col>
      <xdr:colOff>135800</xdr:colOff>
      <xdr:row>242</xdr:row>
      <xdr:rowOff>128226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7CDCA496-7C1A-4284-82A8-89FB2B54A71B}"/>
            </a:ext>
          </a:extLst>
        </xdr:cNvPr>
        <xdr:cNvGrpSpPr/>
      </xdr:nvGrpSpPr>
      <xdr:grpSpPr>
        <a:xfrm>
          <a:off x="10877550" y="28695650"/>
          <a:ext cx="783500" cy="3823926"/>
          <a:chOff x="5871817" y="3130550"/>
          <a:chExt cx="720000" cy="3063417"/>
        </a:xfrm>
      </xdr:grpSpPr>
      <xdr:cxnSp macro="">
        <xdr:nvCxnSpPr>
          <xdr:cNvPr id="72" name="Conector reto 71">
            <a:extLst>
              <a:ext uri="{FF2B5EF4-FFF2-40B4-BE49-F238E27FC236}">
                <a16:creationId xmlns:a16="http://schemas.microsoft.com/office/drawing/2014/main" id="{D8A7176B-5121-6AA4-3999-34956D02B2AD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ctor reto 72">
            <a:extLst>
              <a:ext uri="{FF2B5EF4-FFF2-40B4-BE49-F238E27FC236}">
                <a16:creationId xmlns:a16="http://schemas.microsoft.com/office/drawing/2014/main" id="{BADE7057-322E-E836-5775-B6A897E628AA}"/>
              </a:ext>
            </a:extLst>
          </xdr:cNvPr>
          <xdr:cNvCxnSpPr/>
        </xdr:nvCxnSpPr>
        <xdr:spPr>
          <a:xfrm>
            <a:off x="6019724" y="3136898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reto 73">
            <a:extLst>
              <a:ext uri="{FF2B5EF4-FFF2-40B4-BE49-F238E27FC236}">
                <a16:creationId xmlns:a16="http://schemas.microsoft.com/office/drawing/2014/main" id="{3419AB8B-E0DF-3B66-CD00-F35AE11CD8B6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to 74">
            <a:extLst>
              <a:ext uri="{FF2B5EF4-FFF2-40B4-BE49-F238E27FC236}">
                <a16:creationId xmlns:a16="http://schemas.microsoft.com/office/drawing/2014/main" id="{AAC30CC5-363E-2A3B-303E-8E7AE66F5101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232</xdr:row>
      <xdr:rowOff>69850</xdr:rowOff>
    </xdr:from>
    <xdr:to>
      <xdr:col>16</xdr:col>
      <xdr:colOff>150</xdr:colOff>
      <xdr:row>232</xdr:row>
      <xdr:rowOff>69850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5CACBB35-55D9-41A8-8FD5-034BFA54C25B}"/>
            </a:ext>
          </a:extLst>
        </xdr:cNvPr>
        <xdr:cNvCxnSpPr/>
      </xdr:nvCxnSpPr>
      <xdr:spPr>
        <a:xfrm flipV="1">
          <a:off x="10877550" y="311277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256</xdr:row>
      <xdr:rowOff>38102</xdr:rowOff>
    </xdr:from>
    <xdr:to>
      <xdr:col>9</xdr:col>
      <xdr:colOff>135800</xdr:colOff>
      <xdr:row>294</xdr:row>
      <xdr:rowOff>21130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ED1DA93F-8B1E-41ED-8FAA-A9AF06C0345F}"/>
            </a:ext>
          </a:extLst>
        </xdr:cNvPr>
        <xdr:cNvGrpSpPr/>
      </xdr:nvGrpSpPr>
      <xdr:grpSpPr>
        <a:xfrm>
          <a:off x="6184900" y="34296352"/>
          <a:ext cx="783500" cy="5050328"/>
          <a:chOff x="5871817" y="3130550"/>
          <a:chExt cx="720000" cy="3105347"/>
        </a:xfrm>
      </xdr:grpSpPr>
      <xdr:cxnSp macro="">
        <xdr:nvCxnSpPr>
          <xdr:cNvPr id="78" name="Conector reto 77">
            <a:extLst>
              <a:ext uri="{FF2B5EF4-FFF2-40B4-BE49-F238E27FC236}">
                <a16:creationId xmlns:a16="http://schemas.microsoft.com/office/drawing/2014/main" id="{A78697D5-9E49-EB39-0D8E-1DFDCE948ECE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to 78">
            <a:extLst>
              <a:ext uri="{FF2B5EF4-FFF2-40B4-BE49-F238E27FC236}">
                <a16:creationId xmlns:a16="http://schemas.microsoft.com/office/drawing/2014/main" id="{7083DDF2-297A-E1D6-C631-A9DB252CF7A4}"/>
              </a:ext>
            </a:extLst>
          </xdr:cNvPr>
          <xdr:cNvCxnSpPr/>
        </xdr:nvCxnSpPr>
        <xdr:spPr>
          <a:xfrm>
            <a:off x="6019724" y="3136899"/>
            <a:ext cx="0" cy="112892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Conector reto 79">
            <a:extLst>
              <a:ext uri="{FF2B5EF4-FFF2-40B4-BE49-F238E27FC236}">
                <a16:creationId xmlns:a16="http://schemas.microsoft.com/office/drawing/2014/main" id="{55AA5FE7-5446-C647-CB10-E8D811B310FB}"/>
              </a:ext>
            </a:extLst>
          </xdr:cNvPr>
          <xdr:cNvCxnSpPr/>
        </xdr:nvCxnSpPr>
        <xdr:spPr>
          <a:xfrm>
            <a:off x="6305550" y="3136900"/>
            <a:ext cx="0" cy="194794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Conector reto 80">
            <a:extLst>
              <a:ext uri="{FF2B5EF4-FFF2-40B4-BE49-F238E27FC236}">
                <a16:creationId xmlns:a16="http://schemas.microsoft.com/office/drawing/2014/main" id="{23D27C8D-A1C5-2831-4A4D-6930D83E6668}"/>
              </a:ext>
            </a:extLst>
          </xdr:cNvPr>
          <xdr:cNvCxnSpPr/>
        </xdr:nvCxnSpPr>
        <xdr:spPr>
          <a:xfrm>
            <a:off x="6591300" y="3136900"/>
            <a:ext cx="0" cy="309899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280</xdr:row>
      <xdr:rowOff>69850</xdr:rowOff>
    </xdr:from>
    <xdr:to>
      <xdr:col>8</xdr:col>
      <xdr:colOff>150</xdr:colOff>
      <xdr:row>280</xdr:row>
      <xdr:rowOff>69850</xdr:rowOff>
    </xdr:to>
    <xdr:cxnSp macro="">
      <xdr:nvCxnSpPr>
        <xdr:cNvPr id="82" name="Conector reto 81">
          <a:extLst>
            <a:ext uri="{FF2B5EF4-FFF2-40B4-BE49-F238E27FC236}">
              <a16:creationId xmlns:a16="http://schemas.microsoft.com/office/drawing/2014/main" id="{617EBA87-9479-4B2E-BB4F-BCDCBCBE6A88}"/>
            </a:ext>
          </a:extLst>
        </xdr:cNvPr>
        <xdr:cNvCxnSpPr/>
      </xdr:nvCxnSpPr>
      <xdr:spPr>
        <a:xfrm flipV="1">
          <a:off x="6184900" y="37528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256</xdr:row>
      <xdr:rowOff>38100</xdr:rowOff>
    </xdr:from>
    <xdr:to>
      <xdr:col>17</xdr:col>
      <xdr:colOff>135800</xdr:colOff>
      <xdr:row>294</xdr:row>
      <xdr:rowOff>21127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A7116BDC-2123-4C01-AF58-C9F6E2D4B05F}"/>
            </a:ext>
          </a:extLst>
        </xdr:cNvPr>
        <xdr:cNvGrpSpPr/>
      </xdr:nvGrpSpPr>
      <xdr:grpSpPr>
        <a:xfrm>
          <a:off x="10877550" y="34296350"/>
          <a:ext cx="783500" cy="5050327"/>
          <a:chOff x="5871817" y="3130550"/>
          <a:chExt cx="720000" cy="3105347"/>
        </a:xfrm>
      </xdr:grpSpPr>
      <xdr:cxnSp macro="">
        <xdr:nvCxnSpPr>
          <xdr:cNvPr id="84" name="Conector reto 83">
            <a:extLst>
              <a:ext uri="{FF2B5EF4-FFF2-40B4-BE49-F238E27FC236}">
                <a16:creationId xmlns:a16="http://schemas.microsoft.com/office/drawing/2014/main" id="{E3364CEE-7AA9-1EDD-7D39-0AEBBF84014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to 84">
            <a:extLst>
              <a:ext uri="{FF2B5EF4-FFF2-40B4-BE49-F238E27FC236}">
                <a16:creationId xmlns:a16="http://schemas.microsoft.com/office/drawing/2014/main" id="{9632DC49-774B-4469-4584-02CBFFC69F77}"/>
              </a:ext>
            </a:extLst>
          </xdr:cNvPr>
          <xdr:cNvCxnSpPr/>
        </xdr:nvCxnSpPr>
        <xdr:spPr>
          <a:xfrm>
            <a:off x="6019724" y="3136899"/>
            <a:ext cx="0" cy="112892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reto 85">
            <a:extLst>
              <a:ext uri="{FF2B5EF4-FFF2-40B4-BE49-F238E27FC236}">
                <a16:creationId xmlns:a16="http://schemas.microsoft.com/office/drawing/2014/main" id="{2597F1AB-82CE-3934-0B91-9CD76DD63CF9}"/>
              </a:ext>
            </a:extLst>
          </xdr:cNvPr>
          <xdr:cNvCxnSpPr/>
        </xdr:nvCxnSpPr>
        <xdr:spPr>
          <a:xfrm>
            <a:off x="6305550" y="3136900"/>
            <a:ext cx="0" cy="194794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ctor reto 86">
            <a:extLst>
              <a:ext uri="{FF2B5EF4-FFF2-40B4-BE49-F238E27FC236}">
                <a16:creationId xmlns:a16="http://schemas.microsoft.com/office/drawing/2014/main" id="{5C822645-F335-F8BF-A743-6EDE78F2445E}"/>
              </a:ext>
            </a:extLst>
          </xdr:cNvPr>
          <xdr:cNvCxnSpPr/>
        </xdr:nvCxnSpPr>
        <xdr:spPr>
          <a:xfrm>
            <a:off x="6591300" y="3136900"/>
            <a:ext cx="0" cy="309899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280</xdr:row>
      <xdr:rowOff>69850</xdr:rowOff>
    </xdr:from>
    <xdr:to>
      <xdr:col>16</xdr:col>
      <xdr:colOff>150</xdr:colOff>
      <xdr:row>280</xdr:row>
      <xdr:rowOff>69850</xdr:rowOff>
    </xdr:to>
    <xdr:cxnSp macro="">
      <xdr:nvCxnSpPr>
        <xdr:cNvPr id="88" name="Conector reto 87">
          <a:extLst>
            <a:ext uri="{FF2B5EF4-FFF2-40B4-BE49-F238E27FC236}">
              <a16:creationId xmlns:a16="http://schemas.microsoft.com/office/drawing/2014/main" id="{E8A01AF6-56F3-4C7B-A3A6-B7043D81A1AA}"/>
            </a:ext>
          </a:extLst>
        </xdr:cNvPr>
        <xdr:cNvCxnSpPr/>
      </xdr:nvCxnSpPr>
      <xdr:spPr>
        <a:xfrm flipV="1">
          <a:off x="10877550" y="37528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31</xdr:row>
      <xdr:rowOff>6350</xdr:rowOff>
    </xdr:from>
    <xdr:to>
      <xdr:col>13</xdr:col>
      <xdr:colOff>863600</xdr:colOff>
      <xdr:row>57</xdr:row>
      <xdr:rowOff>0</xdr:rowOff>
    </xdr:to>
    <xdr:cxnSp macro="">
      <xdr:nvCxnSpPr>
        <xdr:cNvPr id="89" name="Conector reto 88">
          <a:extLst>
            <a:ext uri="{FF2B5EF4-FFF2-40B4-BE49-F238E27FC236}">
              <a16:creationId xmlns:a16="http://schemas.microsoft.com/office/drawing/2014/main" id="{3547E144-18CC-4FD8-8012-4AE893ABCE26}"/>
            </a:ext>
          </a:extLst>
        </xdr:cNvPr>
        <xdr:cNvCxnSpPr/>
      </xdr:nvCxnSpPr>
      <xdr:spPr>
        <a:xfrm>
          <a:off x="6191250" y="4260850"/>
          <a:ext cx="3797300" cy="34607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869950</xdr:colOff>
      <xdr:row>66</xdr:row>
      <xdr:rowOff>120650</xdr:rowOff>
    </xdr:from>
    <xdr:to>
      <xdr:col>14</xdr:col>
      <xdr:colOff>6350</xdr:colOff>
      <xdr:row>96</xdr:row>
      <xdr:rowOff>12700</xdr:rowOff>
    </xdr:to>
    <xdr:cxnSp macro="">
      <xdr:nvCxnSpPr>
        <xdr:cNvPr id="90" name="Conector reto 89">
          <a:extLst>
            <a:ext uri="{FF2B5EF4-FFF2-40B4-BE49-F238E27FC236}">
              <a16:creationId xmlns:a16="http://schemas.microsoft.com/office/drawing/2014/main" id="{4BBE2F57-FBBB-42CD-B66F-82B89BCD0606}"/>
            </a:ext>
          </a:extLst>
        </xdr:cNvPr>
        <xdr:cNvCxnSpPr/>
      </xdr:nvCxnSpPr>
      <xdr:spPr>
        <a:xfrm>
          <a:off x="6172200" y="9042400"/>
          <a:ext cx="3835400" cy="38925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104</xdr:row>
      <xdr:rowOff>101600</xdr:rowOff>
    </xdr:from>
    <xdr:to>
      <xdr:col>13</xdr:col>
      <xdr:colOff>869950</xdr:colOff>
      <xdr:row>131</xdr:row>
      <xdr:rowOff>6350</xdr:rowOff>
    </xdr:to>
    <xdr:cxnSp macro="">
      <xdr:nvCxnSpPr>
        <xdr:cNvPr id="91" name="Conector reto 90">
          <a:extLst>
            <a:ext uri="{FF2B5EF4-FFF2-40B4-BE49-F238E27FC236}">
              <a16:creationId xmlns:a16="http://schemas.microsoft.com/office/drawing/2014/main" id="{9A45FD86-664B-482C-9945-DC546120900D}"/>
            </a:ext>
          </a:extLst>
        </xdr:cNvPr>
        <xdr:cNvCxnSpPr/>
      </xdr:nvCxnSpPr>
      <xdr:spPr>
        <a:xfrm>
          <a:off x="6191250" y="14090650"/>
          <a:ext cx="3803650" cy="35052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139</xdr:row>
      <xdr:rowOff>120650</xdr:rowOff>
    </xdr:from>
    <xdr:to>
      <xdr:col>13</xdr:col>
      <xdr:colOff>863600</xdr:colOff>
      <xdr:row>166</xdr:row>
      <xdr:rowOff>25400</xdr:rowOff>
    </xdr:to>
    <xdr:cxnSp macro="">
      <xdr:nvCxnSpPr>
        <xdr:cNvPr id="92" name="Conector reto 91">
          <a:extLst>
            <a:ext uri="{FF2B5EF4-FFF2-40B4-BE49-F238E27FC236}">
              <a16:creationId xmlns:a16="http://schemas.microsoft.com/office/drawing/2014/main" id="{7BB18446-CF7D-4303-A4D3-47A420A5A81F}"/>
            </a:ext>
          </a:extLst>
        </xdr:cNvPr>
        <xdr:cNvCxnSpPr/>
      </xdr:nvCxnSpPr>
      <xdr:spPr>
        <a:xfrm>
          <a:off x="6184900" y="18776950"/>
          <a:ext cx="3803650" cy="35052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175</xdr:row>
      <xdr:rowOff>127000</xdr:rowOff>
    </xdr:from>
    <xdr:to>
      <xdr:col>13</xdr:col>
      <xdr:colOff>857250</xdr:colOff>
      <xdr:row>205</xdr:row>
      <xdr:rowOff>6350</xdr:rowOff>
    </xdr:to>
    <xdr:cxnSp macro="">
      <xdr:nvCxnSpPr>
        <xdr:cNvPr id="93" name="Conector reto 92">
          <a:extLst>
            <a:ext uri="{FF2B5EF4-FFF2-40B4-BE49-F238E27FC236}">
              <a16:creationId xmlns:a16="http://schemas.microsoft.com/office/drawing/2014/main" id="{CE34598F-9D01-4BF4-B271-202C0D5DCC42}"/>
            </a:ext>
          </a:extLst>
        </xdr:cNvPr>
        <xdr:cNvCxnSpPr/>
      </xdr:nvCxnSpPr>
      <xdr:spPr>
        <a:xfrm>
          <a:off x="6191250" y="23583900"/>
          <a:ext cx="3790950" cy="38798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127000</xdr:rowOff>
    </xdr:from>
    <xdr:to>
      <xdr:col>13</xdr:col>
      <xdr:colOff>850900</xdr:colOff>
      <xdr:row>244</xdr:row>
      <xdr:rowOff>6350</xdr:rowOff>
    </xdr:to>
    <xdr:cxnSp macro="">
      <xdr:nvCxnSpPr>
        <xdr:cNvPr id="94" name="Conector reto 93">
          <a:extLst>
            <a:ext uri="{FF2B5EF4-FFF2-40B4-BE49-F238E27FC236}">
              <a16:creationId xmlns:a16="http://schemas.microsoft.com/office/drawing/2014/main" id="{285146CF-0B1E-403F-9B23-24DECEF13B73}"/>
            </a:ext>
          </a:extLst>
        </xdr:cNvPr>
        <xdr:cNvCxnSpPr/>
      </xdr:nvCxnSpPr>
      <xdr:spPr>
        <a:xfrm>
          <a:off x="6184900" y="28784550"/>
          <a:ext cx="3790950" cy="38798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256</xdr:row>
      <xdr:rowOff>120650</xdr:rowOff>
    </xdr:from>
    <xdr:to>
      <xdr:col>13</xdr:col>
      <xdr:colOff>863600</xdr:colOff>
      <xdr:row>295</xdr:row>
      <xdr:rowOff>0</xdr:rowOff>
    </xdr:to>
    <xdr:cxnSp macro="">
      <xdr:nvCxnSpPr>
        <xdr:cNvPr id="95" name="Conector reto 94">
          <a:extLst>
            <a:ext uri="{FF2B5EF4-FFF2-40B4-BE49-F238E27FC236}">
              <a16:creationId xmlns:a16="http://schemas.microsoft.com/office/drawing/2014/main" id="{9DD4625B-8ED5-406D-B97A-76D4BAF1EA8D}"/>
            </a:ext>
          </a:extLst>
        </xdr:cNvPr>
        <xdr:cNvCxnSpPr/>
      </xdr:nvCxnSpPr>
      <xdr:spPr>
        <a:xfrm>
          <a:off x="6191250" y="34378900"/>
          <a:ext cx="3797300" cy="50800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69850</xdr:rowOff>
    </xdr:from>
    <xdr:to>
      <xdr:col>9</xdr:col>
      <xdr:colOff>300</xdr:colOff>
      <xdr:row>95</xdr:row>
      <xdr:rowOff>69850</xdr:rowOff>
    </xdr:to>
    <xdr:cxnSp macro="">
      <xdr:nvCxnSpPr>
        <xdr:cNvPr id="96" name="Conector reto 95">
          <a:extLst>
            <a:ext uri="{FF2B5EF4-FFF2-40B4-BE49-F238E27FC236}">
              <a16:creationId xmlns:a16="http://schemas.microsoft.com/office/drawing/2014/main" id="{BE9C2F27-8EA1-473D-B7F2-DD338688661C}"/>
            </a:ext>
          </a:extLst>
        </xdr:cNvPr>
        <xdr:cNvCxnSpPr/>
      </xdr:nvCxnSpPr>
      <xdr:spPr>
        <a:xfrm flipV="1">
          <a:off x="6184900" y="128587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50800</xdr:colOff>
      <xdr:row>0</xdr:row>
      <xdr:rowOff>38100</xdr:rowOff>
    </xdr:from>
    <xdr:to>
      <xdr:col>16</xdr:col>
      <xdr:colOff>114074</xdr:colOff>
      <xdr:row>9</xdr:row>
      <xdr:rowOff>95519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C52DD352-4815-457F-87B4-600AFA683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38100"/>
          <a:ext cx="5962424" cy="137821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69850</xdr:rowOff>
    </xdr:from>
    <xdr:to>
      <xdr:col>8</xdr:col>
      <xdr:colOff>150</xdr:colOff>
      <xdr:row>120</xdr:row>
      <xdr:rowOff>69850</xdr:rowOff>
    </xdr:to>
    <xdr:cxnSp macro="">
      <xdr:nvCxnSpPr>
        <xdr:cNvPr id="98" name="Conector reto 97">
          <a:extLst>
            <a:ext uri="{FF2B5EF4-FFF2-40B4-BE49-F238E27FC236}">
              <a16:creationId xmlns:a16="http://schemas.microsoft.com/office/drawing/2014/main" id="{43CE53E6-53BD-422B-8394-E1262CD782E7}"/>
            </a:ext>
          </a:extLst>
        </xdr:cNvPr>
        <xdr:cNvCxnSpPr/>
      </xdr:nvCxnSpPr>
      <xdr:spPr>
        <a:xfrm flipV="1">
          <a:off x="6184900" y="16192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120</xdr:row>
      <xdr:rowOff>63500</xdr:rowOff>
    </xdr:from>
    <xdr:to>
      <xdr:col>7</xdr:col>
      <xdr:colOff>322067</xdr:colOff>
      <xdr:row>120</xdr:row>
      <xdr:rowOff>63500</xdr:rowOff>
    </xdr:to>
    <xdr:cxnSp macro="">
      <xdr:nvCxnSpPr>
        <xdr:cNvPr id="99" name="Conector reto 98">
          <a:extLst>
            <a:ext uri="{FF2B5EF4-FFF2-40B4-BE49-F238E27FC236}">
              <a16:creationId xmlns:a16="http://schemas.microsoft.com/office/drawing/2014/main" id="{BB54DCA2-C4C5-4A78-AA33-4B1398B84192}"/>
            </a:ext>
          </a:extLst>
        </xdr:cNvPr>
        <xdr:cNvCxnSpPr/>
      </xdr:nvCxnSpPr>
      <xdr:spPr>
        <a:xfrm flipV="1">
          <a:off x="6182967" y="161861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120</xdr:row>
      <xdr:rowOff>69850</xdr:rowOff>
    </xdr:from>
    <xdr:to>
      <xdr:col>15</xdr:col>
      <xdr:colOff>322067</xdr:colOff>
      <xdr:row>120</xdr:row>
      <xdr:rowOff>69850</xdr:rowOff>
    </xdr:to>
    <xdr:cxnSp macro="">
      <xdr:nvCxnSpPr>
        <xdr:cNvPr id="100" name="Conector reto 99">
          <a:extLst>
            <a:ext uri="{FF2B5EF4-FFF2-40B4-BE49-F238E27FC236}">
              <a16:creationId xmlns:a16="http://schemas.microsoft.com/office/drawing/2014/main" id="{C47AB29F-E410-4710-92D8-AA71B01B3F97}"/>
            </a:ext>
          </a:extLst>
        </xdr:cNvPr>
        <xdr:cNvCxnSpPr/>
      </xdr:nvCxnSpPr>
      <xdr:spPr>
        <a:xfrm flipV="1">
          <a:off x="10875617" y="161925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130</xdr:row>
      <xdr:rowOff>69850</xdr:rowOff>
    </xdr:from>
    <xdr:to>
      <xdr:col>8</xdr:col>
      <xdr:colOff>322217</xdr:colOff>
      <xdr:row>130</xdr:row>
      <xdr:rowOff>69850</xdr:rowOff>
    </xdr:to>
    <xdr:cxnSp macro="">
      <xdr:nvCxnSpPr>
        <xdr:cNvPr id="101" name="Conector reto 100">
          <a:extLst>
            <a:ext uri="{FF2B5EF4-FFF2-40B4-BE49-F238E27FC236}">
              <a16:creationId xmlns:a16="http://schemas.microsoft.com/office/drawing/2014/main" id="{F9DE4187-BA4D-4464-A6D5-ADB409FF90D4}"/>
            </a:ext>
          </a:extLst>
        </xdr:cNvPr>
        <xdr:cNvCxnSpPr/>
      </xdr:nvCxnSpPr>
      <xdr:spPr>
        <a:xfrm flipV="1">
          <a:off x="6182967" y="175260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130</xdr:row>
      <xdr:rowOff>69850</xdr:rowOff>
    </xdr:from>
    <xdr:to>
      <xdr:col>16</xdr:col>
      <xdr:colOff>322217</xdr:colOff>
      <xdr:row>130</xdr:row>
      <xdr:rowOff>69850</xdr:rowOff>
    </xdr:to>
    <xdr:cxnSp macro="">
      <xdr:nvCxnSpPr>
        <xdr:cNvPr id="102" name="Conector reto 101">
          <a:extLst>
            <a:ext uri="{FF2B5EF4-FFF2-40B4-BE49-F238E27FC236}">
              <a16:creationId xmlns:a16="http://schemas.microsoft.com/office/drawing/2014/main" id="{9F2107E1-9248-487E-A00B-B261AB964E47}"/>
            </a:ext>
          </a:extLst>
        </xdr:cNvPr>
        <xdr:cNvCxnSpPr/>
      </xdr:nvCxnSpPr>
      <xdr:spPr>
        <a:xfrm flipV="1">
          <a:off x="10875617" y="175260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130</xdr:row>
      <xdr:rowOff>69850</xdr:rowOff>
    </xdr:from>
    <xdr:to>
      <xdr:col>8</xdr:col>
      <xdr:colOff>322217</xdr:colOff>
      <xdr:row>130</xdr:row>
      <xdr:rowOff>69850</xdr:rowOff>
    </xdr:to>
    <xdr:cxnSp macro="">
      <xdr:nvCxnSpPr>
        <xdr:cNvPr id="103" name="Conector reto 102">
          <a:extLst>
            <a:ext uri="{FF2B5EF4-FFF2-40B4-BE49-F238E27FC236}">
              <a16:creationId xmlns:a16="http://schemas.microsoft.com/office/drawing/2014/main" id="{2EB2B4F5-A1EA-4A9C-BAA9-00153FE03F04}"/>
            </a:ext>
          </a:extLst>
        </xdr:cNvPr>
        <xdr:cNvCxnSpPr/>
      </xdr:nvCxnSpPr>
      <xdr:spPr>
        <a:xfrm flipV="1">
          <a:off x="6182967" y="175260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165</xdr:row>
      <xdr:rowOff>69850</xdr:rowOff>
    </xdr:from>
    <xdr:to>
      <xdr:col>8</xdr:col>
      <xdr:colOff>322217</xdr:colOff>
      <xdr:row>165</xdr:row>
      <xdr:rowOff>69850</xdr:rowOff>
    </xdr:to>
    <xdr:cxnSp macro="">
      <xdr:nvCxnSpPr>
        <xdr:cNvPr id="104" name="Conector reto 103">
          <a:extLst>
            <a:ext uri="{FF2B5EF4-FFF2-40B4-BE49-F238E27FC236}">
              <a16:creationId xmlns:a16="http://schemas.microsoft.com/office/drawing/2014/main" id="{02CAE4E0-B968-4464-B903-83BF1F6CCAE7}"/>
            </a:ext>
          </a:extLst>
        </xdr:cNvPr>
        <xdr:cNvCxnSpPr/>
      </xdr:nvCxnSpPr>
      <xdr:spPr>
        <a:xfrm flipV="1">
          <a:off x="6182967" y="22193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165</xdr:row>
      <xdr:rowOff>69850</xdr:rowOff>
    </xdr:from>
    <xdr:to>
      <xdr:col>8</xdr:col>
      <xdr:colOff>322217</xdr:colOff>
      <xdr:row>165</xdr:row>
      <xdr:rowOff>69850</xdr:rowOff>
    </xdr:to>
    <xdr:cxnSp macro="">
      <xdr:nvCxnSpPr>
        <xdr:cNvPr id="105" name="Conector reto 104">
          <a:extLst>
            <a:ext uri="{FF2B5EF4-FFF2-40B4-BE49-F238E27FC236}">
              <a16:creationId xmlns:a16="http://schemas.microsoft.com/office/drawing/2014/main" id="{B27B9C7A-C2F7-44C8-8FE0-1002CC29BD6F}"/>
            </a:ext>
          </a:extLst>
        </xdr:cNvPr>
        <xdr:cNvCxnSpPr/>
      </xdr:nvCxnSpPr>
      <xdr:spPr>
        <a:xfrm flipV="1">
          <a:off x="6182967" y="22193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165</xdr:row>
      <xdr:rowOff>69850</xdr:rowOff>
    </xdr:from>
    <xdr:to>
      <xdr:col>16</xdr:col>
      <xdr:colOff>322217</xdr:colOff>
      <xdr:row>165</xdr:row>
      <xdr:rowOff>69850</xdr:rowOff>
    </xdr:to>
    <xdr:cxnSp macro="">
      <xdr:nvCxnSpPr>
        <xdr:cNvPr id="106" name="Conector reto 105">
          <a:extLst>
            <a:ext uri="{FF2B5EF4-FFF2-40B4-BE49-F238E27FC236}">
              <a16:creationId xmlns:a16="http://schemas.microsoft.com/office/drawing/2014/main" id="{C4B019E8-3036-4550-A90D-193DF95491A8}"/>
            </a:ext>
          </a:extLst>
        </xdr:cNvPr>
        <xdr:cNvCxnSpPr/>
      </xdr:nvCxnSpPr>
      <xdr:spPr>
        <a:xfrm flipV="1">
          <a:off x="10875617" y="22193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165</xdr:row>
      <xdr:rowOff>69850</xdr:rowOff>
    </xdr:from>
    <xdr:to>
      <xdr:col>16</xdr:col>
      <xdr:colOff>322217</xdr:colOff>
      <xdr:row>165</xdr:row>
      <xdr:rowOff>69850</xdr:rowOff>
    </xdr:to>
    <xdr:cxnSp macro="">
      <xdr:nvCxnSpPr>
        <xdr:cNvPr id="107" name="Conector reto 106">
          <a:extLst>
            <a:ext uri="{FF2B5EF4-FFF2-40B4-BE49-F238E27FC236}">
              <a16:creationId xmlns:a16="http://schemas.microsoft.com/office/drawing/2014/main" id="{E3403493-F297-4A66-9F9B-5BE44F59845D}"/>
            </a:ext>
          </a:extLst>
        </xdr:cNvPr>
        <xdr:cNvCxnSpPr/>
      </xdr:nvCxnSpPr>
      <xdr:spPr>
        <a:xfrm flipV="1">
          <a:off x="10875617" y="22193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204</xdr:row>
      <xdr:rowOff>69850</xdr:rowOff>
    </xdr:from>
    <xdr:to>
      <xdr:col>8</xdr:col>
      <xdr:colOff>322217</xdr:colOff>
      <xdr:row>204</xdr:row>
      <xdr:rowOff>69850</xdr:rowOff>
    </xdr:to>
    <xdr:cxnSp macro="">
      <xdr:nvCxnSpPr>
        <xdr:cNvPr id="108" name="Conector reto 107">
          <a:extLst>
            <a:ext uri="{FF2B5EF4-FFF2-40B4-BE49-F238E27FC236}">
              <a16:creationId xmlns:a16="http://schemas.microsoft.com/office/drawing/2014/main" id="{64BFB80F-2018-4572-B9EE-14397D7D4675}"/>
            </a:ext>
          </a:extLst>
        </xdr:cNvPr>
        <xdr:cNvCxnSpPr/>
      </xdr:nvCxnSpPr>
      <xdr:spPr>
        <a:xfrm flipV="1">
          <a:off x="6182967" y="273939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204</xdr:row>
      <xdr:rowOff>69850</xdr:rowOff>
    </xdr:from>
    <xdr:to>
      <xdr:col>8</xdr:col>
      <xdr:colOff>322217</xdr:colOff>
      <xdr:row>204</xdr:row>
      <xdr:rowOff>69850</xdr:rowOff>
    </xdr:to>
    <xdr:cxnSp macro="">
      <xdr:nvCxnSpPr>
        <xdr:cNvPr id="109" name="Conector reto 108">
          <a:extLst>
            <a:ext uri="{FF2B5EF4-FFF2-40B4-BE49-F238E27FC236}">
              <a16:creationId xmlns:a16="http://schemas.microsoft.com/office/drawing/2014/main" id="{3B09357C-00E2-47A3-B22E-450DE79E5059}"/>
            </a:ext>
          </a:extLst>
        </xdr:cNvPr>
        <xdr:cNvCxnSpPr/>
      </xdr:nvCxnSpPr>
      <xdr:spPr>
        <a:xfrm flipV="1">
          <a:off x="6182967" y="273939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204</xdr:row>
      <xdr:rowOff>69850</xdr:rowOff>
    </xdr:from>
    <xdr:to>
      <xdr:col>16</xdr:col>
      <xdr:colOff>322217</xdr:colOff>
      <xdr:row>204</xdr:row>
      <xdr:rowOff>69850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4E929D06-4C9A-4C93-9AE6-684BC6563019}"/>
            </a:ext>
          </a:extLst>
        </xdr:cNvPr>
        <xdr:cNvCxnSpPr/>
      </xdr:nvCxnSpPr>
      <xdr:spPr>
        <a:xfrm flipV="1">
          <a:off x="10875617" y="273939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204</xdr:row>
      <xdr:rowOff>69850</xdr:rowOff>
    </xdr:from>
    <xdr:to>
      <xdr:col>16</xdr:col>
      <xdr:colOff>322217</xdr:colOff>
      <xdr:row>204</xdr:row>
      <xdr:rowOff>69850</xdr:rowOff>
    </xdr:to>
    <xdr:cxnSp macro="">
      <xdr:nvCxnSpPr>
        <xdr:cNvPr id="111" name="Conector reto 110">
          <a:extLst>
            <a:ext uri="{FF2B5EF4-FFF2-40B4-BE49-F238E27FC236}">
              <a16:creationId xmlns:a16="http://schemas.microsoft.com/office/drawing/2014/main" id="{392C21C9-7546-4C9C-B54C-6B1FA391381A}"/>
            </a:ext>
          </a:extLst>
        </xdr:cNvPr>
        <xdr:cNvCxnSpPr/>
      </xdr:nvCxnSpPr>
      <xdr:spPr>
        <a:xfrm flipV="1">
          <a:off x="10875617" y="273939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243</xdr:row>
      <xdr:rowOff>69850</xdr:rowOff>
    </xdr:from>
    <xdr:to>
      <xdr:col>8</xdr:col>
      <xdr:colOff>322217</xdr:colOff>
      <xdr:row>243</xdr:row>
      <xdr:rowOff>69850</xdr:rowOff>
    </xdr:to>
    <xdr:cxnSp macro="">
      <xdr:nvCxnSpPr>
        <xdr:cNvPr id="112" name="Conector reto 111">
          <a:extLst>
            <a:ext uri="{FF2B5EF4-FFF2-40B4-BE49-F238E27FC236}">
              <a16:creationId xmlns:a16="http://schemas.microsoft.com/office/drawing/2014/main" id="{C5C54F27-AACB-4EBF-ADAA-20B74DC9C535}"/>
            </a:ext>
          </a:extLst>
        </xdr:cNvPr>
        <xdr:cNvCxnSpPr/>
      </xdr:nvCxnSpPr>
      <xdr:spPr>
        <a:xfrm flipV="1">
          <a:off x="618296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243</xdr:row>
      <xdr:rowOff>69850</xdr:rowOff>
    </xdr:from>
    <xdr:to>
      <xdr:col>8</xdr:col>
      <xdr:colOff>322217</xdr:colOff>
      <xdr:row>243</xdr:row>
      <xdr:rowOff>69850</xdr:rowOff>
    </xdr:to>
    <xdr:cxnSp macro="">
      <xdr:nvCxnSpPr>
        <xdr:cNvPr id="113" name="Conector reto 112">
          <a:extLst>
            <a:ext uri="{FF2B5EF4-FFF2-40B4-BE49-F238E27FC236}">
              <a16:creationId xmlns:a16="http://schemas.microsoft.com/office/drawing/2014/main" id="{BF5AC07D-4F6E-4DCB-9EAE-DBA0A9518B94}"/>
            </a:ext>
          </a:extLst>
        </xdr:cNvPr>
        <xdr:cNvCxnSpPr/>
      </xdr:nvCxnSpPr>
      <xdr:spPr>
        <a:xfrm flipV="1">
          <a:off x="618296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4" name="Conector reto 113">
          <a:extLst>
            <a:ext uri="{FF2B5EF4-FFF2-40B4-BE49-F238E27FC236}">
              <a16:creationId xmlns:a16="http://schemas.microsoft.com/office/drawing/2014/main" id="{82310421-0C72-4EB4-AFCF-D7FF6BEC2EFE}"/>
            </a:ext>
          </a:extLst>
        </xdr:cNvPr>
        <xdr:cNvCxnSpPr/>
      </xdr:nvCxnSpPr>
      <xdr:spPr>
        <a:xfrm flipV="1">
          <a:off x="1087561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5" name="Conector reto 114">
          <a:extLst>
            <a:ext uri="{FF2B5EF4-FFF2-40B4-BE49-F238E27FC236}">
              <a16:creationId xmlns:a16="http://schemas.microsoft.com/office/drawing/2014/main" id="{6CD54F89-E088-44C6-B958-608878B98B9F}"/>
            </a:ext>
          </a:extLst>
        </xdr:cNvPr>
        <xdr:cNvCxnSpPr/>
      </xdr:nvCxnSpPr>
      <xdr:spPr>
        <a:xfrm flipV="1">
          <a:off x="1087561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6" name="Conector reto 115">
          <a:extLst>
            <a:ext uri="{FF2B5EF4-FFF2-40B4-BE49-F238E27FC236}">
              <a16:creationId xmlns:a16="http://schemas.microsoft.com/office/drawing/2014/main" id="{E335B993-6554-4A8C-BFD6-CA1D3CD824A6}"/>
            </a:ext>
          </a:extLst>
        </xdr:cNvPr>
        <xdr:cNvCxnSpPr/>
      </xdr:nvCxnSpPr>
      <xdr:spPr>
        <a:xfrm flipV="1">
          <a:off x="1087561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7" name="Conector reto 116">
          <a:extLst>
            <a:ext uri="{FF2B5EF4-FFF2-40B4-BE49-F238E27FC236}">
              <a16:creationId xmlns:a16="http://schemas.microsoft.com/office/drawing/2014/main" id="{5DF34633-AE18-47BB-BB8A-247104FF51FE}"/>
            </a:ext>
          </a:extLst>
        </xdr:cNvPr>
        <xdr:cNvCxnSpPr/>
      </xdr:nvCxnSpPr>
      <xdr:spPr>
        <a:xfrm flipV="1">
          <a:off x="10875617" y="32594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294</xdr:row>
      <xdr:rowOff>69850</xdr:rowOff>
    </xdr:from>
    <xdr:to>
      <xdr:col>8</xdr:col>
      <xdr:colOff>322217</xdr:colOff>
      <xdr:row>294</xdr:row>
      <xdr:rowOff>69850</xdr:rowOff>
    </xdr:to>
    <xdr:cxnSp macro="">
      <xdr:nvCxnSpPr>
        <xdr:cNvPr id="118" name="Conector reto 117">
          <a:extLst>
            <a:ext uri="{FF2B5EF4-FFF2-40B4-BE49-F238E27FC236}">
              <a16:creationId xmlns:a16="http://schemas.microsoft.com/office/drawing/2014/main" id="{1A362964-7D33-4EDD-B6DD-0AD12523F3B3}"/>
            </a:ext>
          </a:extLst>
        </xdr:cNvPr>
        <xdr:cNvCxnSpPr/>
      </xdr:nvCxnSpPr>
      <xdr:spPr>
        <a:xfrm flipV="1">
          <a:off x="6182967" y="393954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294</xdr:row>
      <xdr:rowOff>69850</xdr:rowOff>
    </xdr:from>
    <xdr:to>
      <xdr:col>8</xdr:col>
      <xdr:colOff>322217</xdr:colOff>
      <xdr:row>294</xdr:row>
      <xdr:rowOff>69850</xdr:rowOff>
    </xdr:to>
    <xdr:cxnSp macro="">
      <xdr:nvCxnSpPr>
        <xdr:cNvPr id="119" name="Conector reto 118">
          <a:extLst>
            <a:ext uri="{FF2B5EF4-FFF2-40B4-BE49-F238E27FC236}">
              <a16:creationId xmlns:a16="http://schemas.microsoft.com/office/drawing/2014/main" id="{ED354AC6-9658-4235-93E4-F36C228EB156}"/>
            </a:ext>
          </a:extLst>
        </xdr:cNvPr>
        <xdr:cNvCxnSpPr/>
      </xdr:nvCxnSpPr>
      <xdr:spPr>
        <a:xfrm flipV="1">
          <a:off x="6182967" y="393954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294</xdr:row>
      <xdr:rowOff>69850</xdr:rowOff>
    </xdr:from>
    <xdr:to>
      <xdr:col>16</xdr:col>
      <xdr:colOff>322217</xdr:colOff>
      <xdr:row>294</xdr:row>
      <xdr:rowOff>69850</xdr:rowOff>
    </xdr:to>
    <xdr:cxnSp macro="">
      <xdr:nvCxnSpPr>
        <xdr:cNvPr id="120" name="Conector reto 119">
          <a:extLst>
            <a:ext uri="{FF2B5EF4-FFF2-40B4-BE49-F238E27FC236}">
              <a16:creationId xmlns:a16="http://schemas.microsoft.com/office/drawing/2014/main" id="{3AD85E17-7F21-4C5E-B435-09D058270926}"/>
            </a:ext>
          </a:extLst>
        </xdr:cNvPr>
        <xdr:cNvCxnSpPr/>
      </xdr:nvCxnSpPr>
      <xdr:spPr>
        <a:xfrm flipV="1">
          <a:off x="10875617" y="393954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294</xdr:row>
      <xdr:rowOff>69850</xdr:rowOff>
    </xdr:from>
    <xdr:to>
      <xdr:col>16</xdr:col>
      <xdr:colOff>322217</xdr:colOff>
      <xdr:row>294</xdr:row>
      <xdr:rowOff>69850</xdr:rowOff>
    </xdr:to>
    <xdr:cxnSp macro="">
      <xdr:nvCxnSpPr>
        <xdr:cNvPr id="121" name="Conector reto 120">
          <a:extLst>
            <a:ext uri="{FF2B5EF4-FFF2-40B4-BE49-F238E27FC236}">
              <a16:creationId xmlns:a16="http://schemas.microsoft.com/office/drawing/2014/main" id="{6E6E6213-A992-4A92-8996-DBE8C48B3D11}"/>
            </a:ext>
          </a:extLst>
        </xdr:cNvPr>
        <xdr:cNvCxnSpPr/>
      </xdr:nvCxnSpPr>
      <xdr:spPr>
        <a:xfrm flipV="1">
          <a:off x="10875617" y="393954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56500</xdr:colOff>
      <xdr:row>12</xdr:row>
      <xdr:rowOff>55574</xdr:rowOff>
    </xdr:from>
    <xdr:to>
      <xdr:col>7</xdr:col>
      <xdr:colOff>323720</xdr:colOff>
      <xdr:row>19</xdr:row>
      <xdr:rowOff>92447</xdr:rowOff>
    </xdr:to>
    <xdr:grpSp>
      <xdr:nvGrpSpPr>
        <xdr:cNvPr id="122" name="Group 4">
          <a:extLst>
            <a:ext uri="{FF2B5EF4-FFF2-40B4-BE49-F238E27FC236}">
              <a16:creationId xmlns:a16="http://schemas.microsoft.com/office/drawing/2014/main" id="{85B6D9E0-4405-4DFD-9238-3493470EFE96}"/>
            </a:ext>
          </a:extLst>
        </xdr:cNvPr>
        <xdr:cNvGrpSpPr/>
      </xdr:nvGrpSpPr>
      <xdr:grpSpPr>
        <a:xfrm>
          <a:off x="5358750" y="1776424"/>
          <a:ext cx="1149870" cy="970323"/>
          <a:chOff x="8324214" y="2424497"/>
          <a:chExt cx="3195244" cy="3195244"/>
        </a:xfrm>
      </xdr:grpSpPr>
      <xdr:pic>
        <xdr:nvPicPr>
          <xdr:cNvPr id="123" name="Gráfico 4" descr="Selo estrutura de tópicos">
            <a:extLst>
              <a:ext uri="{FF2B5EF4-FFF2-40B4-BE49-F238E27FC236}">
                <a16:creationId xmlns:a16="http://schemas.microsoft.com/office/drawing/2014/main" id="{72E0F47E-F423-B8EE-FFFD-D69F0C62E9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 rot="19636777">
            <a:off x="8324214" y="2424497"/>
            <a:ext cx="3195244" cy="3195244"/>
          </a:xfrm>
          <a:prstGeom prst="rect">
            <a:avLst/>
          </a:prstGeom>
        </xdr:spPr>
      </xdr:pic>
      <xdr:sp macro="" textlink="">
        <xdr:nvSpPr>
          <xdr:cNvPr id="124" name="CaixaDeTexto 5">
            <a:extLst>
              <a:ext uri="{FF2B5EF4-FFF2-40B4-BE49-F238E27FC236}">
                <a16:creationId xmlns:a16="http://schemas.microsoft.com/office/drawing/2014/main" id="{28BDB587-5D68-DED6-E391-05F2FDD628BB}"/>
              </a:ext>
            </a:extLst>
          </xdr:cNvPr>
          <xdr:cNvSpPr txBox="1"/>
        </xdr:nvSpPr>
        <xdr:spPr>
          <a:xfrm rot="19681446">
            <a:off x="9230537" y="3612270"/>
            <a:ext cx="1564221" cy="987182"/>
          </a:xfrm>
          <a:prstGeom prst="rect">
            <a:avLst/>
          </a:prstGeom>
        </xdr:spPr>
        <xdr:txBody>
          <a:bodyPr vert="horz" wrap="square" lIns="0" tIns="0" rIns="0" bIns="0" rtlCol="0">
            <a:noAutofit/>
          </a:bodyPr>
          <a:lstStyle>
            <a:defPPr>
              <a:defRPr lang="pl-P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700" b="1" i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Arial"/>
                <a:ea typeface="+mn-ea"/>
                <a:cs typeface="+mn-cs"/>
              </a:rPr>
              <a:t>Atenção ao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700" b="1" i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Arial"/>
                <a:ea typeface="+mn-ea"/>
                <a:cs typeface="+mn-cs"/>
              </a:rPr>
              <a:t>FLAG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17116</xdr:colOff>
      <xdr:row>30</xdr:row>
      <xdr:rowOff>63500</xdr:rowOff>
    </xdr:from>
    <xdr:to>
      <xdr:col>9</xdr:col>
      <xdr:colOff>171449</xdr:colOff>
      <xdr:row>56</xdr:row>
      <xdr:rowOff>9550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7DFB139-0DFA-4DC9-8F77-D223AC42386C}"/>
            </a:ext>
          </a:extLst>
        </xdr:cNvPr>
        <xdr:cNvGrpSpPr/>
      </xdr:nvGrpSpPr>
      <xdr:grpSpPr>
        <a:xfrm>
          <a:off x="6202016" y="4184650"/>
          <a:ext cx="802033" cy="3413150"/>
          <a:chOff x="5871817" y="3130550"/>
          <a:chExt cx="720000" cy="2346350"/>
        </a:xfrm>
      </xdr:grpSpPr>
      <xdr:cxnSp macro="">
        <xdr:nvCxnSpPr>
          <xdr:cNvPr id="3" name="Conector reto 2">
            <a:extLst>
              <a:ext uri="{FF2B5EF4-FFF2-40B4-BE49-F238E27FC236}">
                <a16:creationId xmlns:a16="http://schemas.microsoft.com/office/drawing/2014/main" id="{CB115AFD-049A-AD32-DED2-7813D0C3F63C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01270BAC-A885-C618-28BE-2B609EBFB7E7}"/>
              </a:ext>
            </a:extLst>
          </xdr:cNvPr>
          <xdr:cNvCxnSpPr/>
        </xdr:nvCxnSpPr>
        <xdr:spPr>
          <a:xfrm>
            <a:off x="5991222" y="3136899"/>
            <a:ext cx="0" cy="86618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386EEB7E-0A39-9CA4-FCC7-1141453ADB76}"/>
              </a:ext>
            </a:extLst>
          </xdr:cNvPr>
          <xdr:cNvCxnSpPr/>
        </xdr:nvCxnSpPr>
        <xdr:spPr>
          <a:xfrm>
            <a:off x="6277047" y="3136899"/>
            <a:ext cx="0" cy="1410635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ED21C42A-A320-2F9E-C014-F808856EEB29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880716</xdr:colOff>
      <xdr:row>66</xdr:row>
      <xdr:rowOff>63500</xdr:rowOff>
    </xdr:from>
    <xdr:to>
      <xdr:col>9</xdr:col>
      <xdr:colOff>171449</xdr:colOff>
      <xdr:row>94</xdr:row>
      <xdr:rowOff>117284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B36F4E1-B95B-4D0A-ABDD-94BAF378CFCD}"/>
            </a:ext>
          </a:extLst>
        </xdr:cNvPr>
        <xdr:cNvGrpSpPr/>
      </xdr:nvGrpSpPr>
      <xdr:grpSpPr>
        <a:xfrm>
          <a:off x="6182966" y="8985250"/>
          <a:ext cx="821083" cy="3787584"/>
          <a:chOff x="5871817" y="3130550"/>
          <a:chExt cx="720000" cy="3170840"/>
        </a:xfrm>
      </xdr:grpSpPr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03144E96-D767-8840-09A7-74CFC1CBC081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69752414-2E00-DAE5-F6D5-24D7B6FC87A8}"/>
              </a:ext>
            </a:extLst>
          </xdr:cNvPr>
          <xdr:cNvCxnSpPr/>
        </xdr:nvCxnSpPr>
        <xdr:spPr>
          <a:xfrm>
            <a:off x="6019724" y="3136897"/>
            <a:ext cx="0" cy="1175383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6F2B959E-1DB0-32A1-BD73-DD71209B67E7}"/>
              </a:ext>
            </a:extLst>
          </xdr:cNvPr>
          <xdr:cNvCxnSpPr/>
        </xdr:nvCxnSpPr>
        <xdr:spPr>
          <a:xfrm>
            <a:off x="6305550" y="3136899"/>
            <a:ext cx="0" cy="195897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112FA167-3C7F-14F3-7238-5B11D5728488}"/>
              </a:ext>
            </a:extLst>
          </xdr:cNvPr>
          <xdr:cNvCxnSpPr/>
        </xdr:nvCxnSpPr>
        <xdr:spPr>
          <a:xfrm>
            <a:off x="6591300" y="3136899"/>
            <a:ext cx="0" cy="316449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104</xdr:row>
      <xdr:rowOff>50800</xdr:rowOff>
    </xdr:from>
    <xdr:to>
      <xdr:col>9</xdr:col>
      <xdr:colOff>158750</xdr:colOff>
      <xdr:row>130</xdr:row>
      <xdr:rowOff>10327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A5C5D9D-57C4-4A21-BA43-F9DA44A7ADB0}"/>
            </a:ext>
          </a:extLst>
        </xdr:cNvPr>
        <xdr:cNvGrpSpPr/>
      </xdr:nvGrpSpPr>
      <xdr:grpSpPr>
        <a:xfrm>
          <a:off x="6184900" y="14039850"/>
          <a:ext cx="806450" cy="3426627"/>
          <a:chOff x="5871817" y="3130550"/>
          <a:chExt cx="720000" cy="3282226"/>
        </a:xfrm>
      </xdr:grpSpPr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F0C66C6F-EBAE-AABB-B1E6-365BB3DD83F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FC156051-2ABB-B98D-B5DA-0C0185FCCF57}"/>
              </a:ext>
            </a:extLst>
          </xdr:cNvPr>
          <xdr:cNvCxnSpPr/>
        </xdr:nvCxnSpPr>
        <xdr:spPr>
          <a:xfrm>
            <a:off x="6019724" y="3136899"/>
            <a:ext cx="0" cy="1241385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24125CA5-230A-E78F-80BB-0584E8CD8B93}"/>
              </a:ext>
            </a:extLst>
          </xdr:cNvPr>
          <xdr:cNvCxnSpPr/>
        </xdr:nvCxnSpPr>
        <xdr:spPr>
          <a:xfrm>
            <a:off x="6305550" y="3136898"/>
            <a:ext cx="0" cy="2000009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349EDC97-7E08-AEA9-D4AA-0FF3B083F5A6}"/>
              </a:ext>
            </a:extLst>
          </xdr:cNvPr>
          <xdr:cNvCxnSpPr/>
        </xdr:nvCxnSpPr>
        <xdr:spPr>
          <a:xfrm>
            <a:off x="6591300" y="3136898"/>
            <a:ext cx="0" cy="3275878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139</xdr:row>
      <xdr:rowOff>57147</xdr:rowOff>
    </xdr:from>
    <xdr:to>
      <xdr:col>9</xdr:col>
      <xdr:colOff>135800</xdr:colOff>
      <xdr:row>165</xdr:row>
      <xdr:rowOff>18252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D3F6AEE-7F25-46A9-8207-8356DDED62A6}"/>
            </a:ext>
          </a:extLst>
        </xdr:cNvPr>
        <xdr:cNvGrpSpPr/>
      </xdr:nvGrpSpPr>
      <xdr:grpSpPr>
        <a:xfrm>
          <a:off x="6184900" y="18713447"/>
          <a:ext cx="783500" cy="3428205"/>
          <a:chOff x="5871817" y="3130550"/>
          <a:chExt cx="720000" cy="2653273"/>
        </a:xfrm>
      </xdr:grpSpPr>
      <xdr:cxnSp macro="">
        <xdr:nvCxnSpPr>
          <xdr:cNvPr id="18" name="Conector reto 17">
            <a:extLst>
              <a:ext uri="{FF2B5EF4-FFF2-40B4-BE49-F238E27FC236}">
                <a16:creationId xmlns:a16="http://schemas.microsoft.com/office/drawing/2014/main" id="{8ABAAFB3-410E-625A-5EB4-FF9B8A7340C2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B4594723-D607-35F3-2E6E-BCA4EDB65594}"/>
              </a:ext>
            </a:extLst>
          </xdr:cNvPr>
          <xdr:cNvCxnSpPr/>
        </xdr:nvCxnSpPr>
        <xdr:spPr>
          <a:xfrm>
            <a:off x="6019724" y="3136900"/>
            <a:ext cx="0" cy="975182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3617FBDA-8734-306C-A2AC-8CEB0E2450E1}"/>
              </a:ext>
            </a:extLst>
          </xdr:cNvPr>
          <xdr:cNvCxnSpPr/>
        </xdr:nvCxnSpPr>
        <xdr:spPr>
          <a:xfrm>
            <a:off x="6305550" y="3136899"/>
            <a:ext cx="0" cy="1616015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195942A5-82F3-1460-A2ED-92365B5DB223}"/>
              </a:ext>
            </a:extLst>
          </xdr:cNvPr>
          <xdr:cNvCxnSpPr/>
        </xdr:nvCxnSpPr>
        <xdr:spPr>
          <a:xfrm>
            <a:off x="6591300" y="3136900"/>
            <a:ext cx="0" cy="2646923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175</xdr:row>
      <xdr:rowOff>38100</xdr:rowOff>
    </xdr:from>
    <xdr:to>
      <xdr:col>9</xdr:col>
      <xdr:colOff>135800</xdr:colOff>
      <xdr:row>203</xdr:row>
      <xdr:rowOff>128226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36C327F-2228-4FF5-835A-B41374097017}"/>
            </a:ext>
          </a:extLst>
        </xdr:cNvPr>
        <xdr:cNvGrpSpPr/>
      </xdr:nvGrpSpPr>
      <xdr:grpSpPr>
        <a:xfrm>
          <a:off x="6184900" y="23495000"/>
          <a:ext cx="783500" cy="3823926"/>
          <a:chOff x="5871817" y="3130550"/>
          <a:chExt cx="720000" cy="3063417"/>
        </a:xfrm>
      </xdr:grpSpPr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84153B80-AA04-A0FA-8613-D44EEA93B8CD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to 23">
            <a:extLst>
              <a:ext uri="{FF2B5EF4-FFF2-40B4-BE49-F238E27FC236}">
                <a16:creationId xmlns:a16="http://schemas.microsoft.com/office/drawing/2014/main" id="{0A85AC43-4E2A-8DE3-CF1F-03FEBEB06F42}"/>
              </a:ext>
            </a:extLst>
          </xdr:cNvPr>
          <xdr:cNvCxnSpPr/>
        </xdr:nvCxnSpPr>
        <xdr:spPr>
          <a:xfrm>
            <a:off x="6019724" y="3136898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F75CC607-D913-E08B-F8F2-93A2AA3EEE11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C3457CA9-9CEA-4246-561D-7E831374A24C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880717</xdr:colOff>
      <xdr:row>46</xdr:row>
      <xdr:rowOff>63500</xdr:rowOff>
    </xdr:from>
    <xdr:to>
      <xdr:col>7</xdr:col>
      <xdr:colOff>322067</xdr:colOff>
      <xdr:row>46</xdr:row>
      <xdr:rowOff>63500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5EF9E0C5-DA6A-4EA4-A157-CD19CE564BD0}"/>
            </a:ext>
          </a:extLst>
        </xdr:cNvPr>
        <xdr:cNvCxnSpPr/>
      </xdr:nvCxnSpPr>
      <xdr:spPr>
        <a:xfrm flipV="1">
          <a:off x="6182967" y="6318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56</xdr:row>
      <xdr:rowOff>69850</xdr:rowOff>
    </xdr:from>
    <xdr:to>
      <xdr:col>8</xdr:col>
      <xdr:colOff>322217</xdr:colOff>
      <xdr:row>56</xdr:row>
      <xdr:rowOff>69850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1D3D6DD9-9A2E-4DC3-8C2F-EFE69777D18F}"/>
            </a:ext>
          </a:extLst>
        </xdr:cNvPr>
        <xdr:cNvCxnSpPr/>
      </xdr:nvCxnSpPr>
      <xdr:spPr>
        <a:xfrm flipV="1">
          <a:off x="6182967" y="7658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84</xdr:row>
      <xdr:rowOff>69850</xdr:rowOff>
    </xdr:from>
    <xdr:to>
      <xdr:col>8</xdr:col>
      <xdr:colOff>150</xdr:colOff>
      <xdr:row>84</xdr:row>
      <xdr:rowOff>69850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713D6DAE-7B3E-496F-9FB2-D389C65CFD32}"/>
            </a:ext>
          </a:extLst>
        </xdr:cNvPr>
        <xdr:cNvCxnSpPr/>
      </xdr:nvCxnSpPr>
      <xdr:spPr>
        <a:xfrm flipV="1">
          <a:off x="6184900" y="1139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120</xdr:row>
      <xdr:rowOff>69850</xdr:rowOff>
    </xdr:from>
    <xdr:to>
      <xdr:col>8</xdr:col>
      <xdr:colOff>150</xdr:colOff>
      <xdr:row>120</xdr:row>
      <xdr:rowOff>69850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4FED725A-B74B-4377-9747-9DC1E615F246}"/>
            </a:ext>
          </a:extLst>
        </xdr:cNvPr>
        <xdr:cNvCxnSpPr/>
      </xdr:nvCxnSpPr>
      <xdr:spPr>
        <a:xfrm flipV="1">
          <a:off x="6184900" y="160591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155</xdr:row>
      <xdr:rowOff>69850</xdr:rowOff>
    </xdr:from>
    <xdr:to>
      <xdr:col>8</xdr:col>
      <xdr:colOff>150</xdr:colOff>
      <xdr:row>155</xdr:row>
      <xdr:rowOff>69850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38A7899B-33B4-4127-81A3-658C112ABDF5}"/>
            </a:ext>
          </a:extLst>
        </xdr:cNvPr>
        <xdr:cNvCxnSpPr/>
      </xdr:nvCxnSpPr>
      <xdr:spPr>
        <a:xfrm flipV="1">
          <a:off x="6184900" y="205930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193</xdr:row>
      <xdr:rowOff>69850</xdr:rowOff>
    </xdr:from>
    <xdr:to>
      <xdr:col>8</xdr:col>
      <xdr:colOff>150</xdr:colOff>
      <xdr:row>193</xdr:row>
      <xdr:rowOff>69850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64BB07A0-66F8-42EC-ADA1-840C4C980EAF}"/>
            </a:ext>
          </a:extLst>
        </xdr:cNvPr>
        <xdr:cNvCxnSpPr/>
      </xdr:nvCxnSpPr>
      <xdr:spPr>
        <a:xfrm flipV="1">
          <a:off x="6184900" y="256603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17117</xdr:colOff>
      <xdr:row>30</xdr:row>
      <xdr:rowOff>63500</xdr:rowOff>
    </xdr:from>
    <xdr:to>
      <xdr:col>17</xdr:col>
      <xdr:colOff>152917</xdr:colOff>
      <xdr:row>56</xdr:row>
      <xdr:rowOff>9550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C95714F5-34B2-4624-B0AC-95CB6FBC46D2}"/>
            </a:ext>
          </a:extLst>
        </xdr:cNvPr>
        <xdr:cNvGrpSpPr/>
      </xdr:nvGrpSpPr>
      <xdr:grpSpPr>
        <a:xfrm>
          <a:off x="10894667" y="4184650"/>
          <a:ext cx="783500" cy="3413150"/>
          <a:chOff x="5871817" y="3130550"/>
          <a:chExt cx="720000" cy="2346350"/>
        </a:xfrm>
      </xdr:grpSpPr>
      <xdr:cxnSp macro="">
        <xdr:nvCxnSpPr>
          <xdr:cNvPr id="34" name="Conector reto 33">
            <a:extLst>
              <a:ext uri="{FF2B5EF4-FFF2-40B4-BE49-F238E27FC236}">
                <a16:creationId xmlns:a16="http://schemas.microsoft.com/office/drawing/2014/main" id="{6780A958-5770-50D6-F627-3138A054764E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ector reto 34">
            <a:extLst>
              <a:ext uri="{FF2B5EF4-FFF2-40B4-BE49-F238E27FC236}">
                <a16:creationId xmlns:a16="http://schemas.microsoft.com/office/drawing/2014/main" id="{43481361-6398-345C-4D41-9F04BB896691}"/>
              </a:ext>
            </a:extLst>
          </xdr:cNvPr>
          <xdr:cNvCxnSpPr/>
        </xdr:nvCxnSpPr>
        <xdr:spPr>
          <a:xfrm>
            <a:off x="5996383" y="3136899"/>
            <a:ext cx="0" cy="86618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reto 35">
            <a:extLst>
              <a:ext uri="{FF2B5EF4-FFF2-40B4-BE49-F238E27FC236}">
                <a16:creationId xmlns:a16="http://schemas.microsoft.com/office/drawing/2014/main" id="{7522C3F0-A08A-A72E-CBBF-F3E58AC50843}"/>
              </a:ext>
            </a:extLst>
          </xdr:cNvPr>
          <xdr:cNvCxnSpPr/>
        </xdr:nvCxnSpPr>
        <xdr:spPr>
          <a:xfrm>
            <a:off x="6288044" y="3136899"/>
            <a:ext cx="0" cy="1410635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to 36">
            <a:extLst>
              <a:ext uri="{FF2B5EF4-FFF2-40B4-BE49-F238E27FC236}">
                <a16:creationId xmlns:a16="http://schemas.microsoft.com/office/drawing/2014/main" id="{FF627EAF-C9D1-021B-7DE3-6BA3333DB50B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874367</xdr:colOff>
      <xdr:row>66</xdr:row>
      <xdr:rowOff>63500</xdr:rowOff>
    </xdr:from>
    <xdr:to>
      <xdr:col>17</xdr:col>
      <xdr:colOff>133867</xdr:colOff>
      <xdr:row>95</xdr:row>
      <xdr:rowOff>19934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6D88BEA3-E4EF-4F0B-A1C1-026464CC95E7}"/>
            </a:ext>
          </a:extLst>
        </xdr:cNvPr>
        <xdr:cNvGrpSpPr/>
      </xdr:nvGrpSpPr>
      <xdr:grpSpPr>
        <a:xfrm>
          <a:off x="10875617" y="8985250"/>
          <a:ext cx="783500" cy="3823584"/>
          <a:chOff x="5871817" y="3130550"/>
          <a:chExt cx="720000" cy="3200978"/>
        </a:xfrm>
      </xdr:grpSpPr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3AD215B7-3A65-6517-C86D-10238548EE6B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to 39">
            <a:extLst>
              <a:ext uri="{FF2B5EF4-FFF2-40B4-BE49-F238E27FC236}">
                <a16:creationId xmlns:a16="http://schemas.microsoft.com/office/drawing/2014/main" id="{7986BE5B-D620-DAF6-DD52-AA01C83FFC11}"/>
              </a:ext>
            </a:extLst>
          </xdr:cNvPr>
          <xdr:cNvCxnSpPr/>
        </xdr:nvCxnSpPr>
        <xdr:spPr>
          <a:xfrm>
            <a:off x="6019724" y="3136897"/>
            <a:ext cx="0" cy="1175383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ctor reto 40">
            <a:extLst>
              <a:ext uri="{FF2B5EF4-FFF2-40B4-BE49-F238E27FC236}">
                <a16:creationId xmlns:a16="http://schemas.microsoft.com/office/drawing/2014/main" id="{C17CFED5-D313-8E14-1955-7E0E9B025FCD}"/>
              </a:ext>
            </a:extLst>
          </xdr:cNvPr>
          <xdr:cNvCxnSpPr/>
        </xdr:nvCxnSpPr>
        <xdr:spPr>
          <a:xfrm>
            <a:off x="6305550" y="3136899"/>
            <a:ext cx="0" cy="1958971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8046BA6C-DBA4-9864-F852-1A7B8DD5FA44}"/>
              </a:ext>
            </a:extLst>
          </xdr:cNvPr>
          <xdr:cNvCxnSpPr/>
        </xdr:nvCxnSpPr>
        <xdr:spPr>
          <a:xfrm>
            <a:off x="6591300" y="3136899"/>
            <a:ext cx="0" cy="3194629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104</xdr:row>
      <xdr:rowOff>50800</xdr:rowOff>
    </xdr:from>
    <xdr:to>
      <xdr:col>17</xdr:col>
      <xdr:colOff>135800</xdr:colOff>
      <xdr:row>130</xdr:row>
      <xdr:rowOff>10327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BEBF5726-9AD9-4D37-8E0C-ECF4526420DF}"/>
            </a:ext>
          </a:extLst>
        </xdr:cNvPr>
        <xdr:cNvGrpSpPr/>
      </xdr:nvGrpSpPr>
      <xdr:grpSpPr>
        <a:xfrm>
          <a:off x="10877550" y="14039850"/>
          <a:ext cx="783500" cy="3426627"/>
          <a:chOff x="5871817" y="3130550"/>
          <a:chExt cx="720000" cy="3282226"/>
        </a:xfrm>
      </xdr:grpSpPr>
      <xdr:cxnSp macro="">
        <xdr:nvCxnSpPr>
          <xdr:cNvPr id="44" name="Conector reto 43">
            <a:extLst>
              <a:ext uri="{FF2B5EF4-FFF2-40B4-BE49-F238E27FC236}">
                <a16:creationId xmlns:a16="http://schemas.microsoft.com/office/drawing/2014/main" id="{C84DB514-7D8B-F3DC-42A8-A77387B3CB56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8F8D7FD3-3EC6-B173-E8E8-92A896D3C4D3}"/>
              </a:ext>
            </a:extLst>
          </xdr:cNvPr>
          <xdr:cNvCxnSpPr/>
        </xdr:nvCxnSpPr>
        <xdr:spPr>
          <a:xfrm>
            <a:off x="6019724" y="3136898"/>
            <a:ext cx="0" cy="1241385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to 45">
            <a:extLst>
              <a:ext uri="{FF2B5EF4-FFF2-40B4-BE49-F238E27FC236}">
                <a16:creationId xmlns:a16="http://schemas.microsoft.com/office/drawing/2014/main" id="{72A42CAD-5F09-7426-884F-61D94DF1C74F}"/>
              </a:ext>
            </a:extLst>
          </xdr:cNvPr>
          <xdr:cNvCxnSpPr/>
        </xdr:nvCxnSpPr>
        <xdr:spPr>
          <a:xfrm>
            <a:off x="6305550" y="3136899"/>
            <a:ext cx="0" cy="2000010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to 46">
            <a:extLst>
              <a:ext uri="{FF2B5EF4-FFF2-40B4-BE49-F238E27FC236}">
                <a16:creationId xmlns:a16="http://schemas.microsoft.com/office/drawing/2014/main" id="{0B5848E3-B6D3-3C65-380C-B63F12218926}"/>
              </a:ext>
            </a:extLst>
          </xdr:cNvPr>
          <xdr:cNvCxnSpPr/>
        </xdr:nvCxnSpPr>
        <xdr:spPr>
          <a:xfrm>
            <a:off x="6591300" y="3136898"/>
            <a:ext cx="0" cy="3275878"/>
          </a:xfrm>
          <a:prstGeom prst="line">
            <a:avLst/>
          </a:prstGeom>
          <a:ln w="63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139</xdr:row>
      <xdr:rowOff>57147</xdr:rowOff>
    </xdr:from>
    <xdr:to>
      <xdr:col>17</xdr:col>
      <xdr:colOff>135800</xdr:colOff>
      <xdr:row>165</xdr:row>
      <xdr:rowOff>18252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97BB04D8-70F0-4FAA-8439-C9CCFFB75285}"/>
            </a:ext>
          </a:extLst>
        </xdr:cNvPr>
        <xdr:cNvGrpSpPr/>
      </xdr:nvGrpSpPr>
      <xdr:grpSpPr>
        <a:xfrm>
          <a:off x="10877550" y="18713447"/>
          <a:ext cx="783500" cy="3428205"/>
          <a:chOff x="5871817" y="3130550"/>
          <a:chExt cx="720000" cy="2653273"/>
        </a:xfrm>
      </xdr:grpSpPr>
      <xdr:cxnSp macro="">
        <xdr:nvCxnSpPr>
          <xdr:cNvPr id="49" name="Conector reto 48">
            <a:extLst>
              <a:ext uri="{FF2B5EF4-FFF2-40B4-BE49-F238E27FC236}">
                <a16:creationId xmlns:a16="http://schemas.microsoft.com/office/drawing/2014/main" id="{15452035-FB21-87A7-D66B-6CDAF9052125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to 49">
            <a:extLst>
              <a:ext uri="{FF2B5EF4-FFF2-40B4-BE49-F238E27FC236}">
                <a16:creationId xmlns:a16="http://schemas.microsoft.com/office/drawing/2014/main" id="{3BE75EC6-22C5-67BD-7B7B-7CC7C18D450D}"/>
              </a:ext>
            </a:extLst>
          </xdr:cNvPr>
          <xdr:cNvCxnSpPr/>
        </xdr:nvCxnSpPr>
        <xdr:spPr>
          <a:xfrm>
            <a:off x="6019724" y="3136900"/>
            <a:ext cx="0" cy="1003044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Conector reto 50">
            <a:extLst>
              <a:ext uri="{FF2B5EF4-FFF2-40B4-BE49-F238E27FC236}">
                <a16:creationId xmlns:a16="http://schemas.microsoft.com/office/drawing/2014/main" id="{92E77EE3-F000-996D-DE41-31BDADB448EA}"/>
              </a:ext>
            </a:extLst>
          </xdr:cNvPr>
          <xdr:cNvCxnSpPr/>
        </xdr:nvCxnSpPr>
        <xdr:spPr>
          <a:xfrm>
            <a:off x="6305550" y="3136899"/>
            <a:ext cx="0" cy="161601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ector reto 51">
            <a:extLst>
              <a:ext uri="{FF2B5EF4-FFF2-40B4-BE49-F238E27FC236}">
                <a16:creationId xmlns:a16="http://schemas.microsoft.com/office/drawing/2014/main" id="{7F88EC60-FE93-30B1-BB9C-8CB9BCD39AAF}"/>
              </a:ext>
            </a:extLst>
          </xdr:cNvPr>
          <xdr:cNvCxnSpPr/>
        </xdr:nvCxnSpPr>
        <xdr:spPr>
          <a:xfrm>
            <a:off x="6591300" y="3136900"/>
            <a:ext cx="0" cy="2646923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175</xdr:row>
      <xdr:rowOff>38100</xdr:rowOff>
    </xdr:from>
    <xdr:to>
      <xdr:col>17</xdr:col>
      <xdr:colOff>135800</xdr:colOff>
      <xdr:row>203</xdr:row>
      <xdr:rowOff>128226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D32E0B0C-AE5D-4022-8B1E-80BE8133D97F}"/>
            </a:ext>
          </a:extLst>
        </xdr:cNvPr>
        <xdr:cNvGrpSpPr/>
      </xdr:nvGrpSpPr>
      <xdr:grpSpPr>
        <a:xfrm>
          <a:off x="10877550" y="23495000"/>
          <a:ext cx="783500" cy="3823926"/>
          <a:chOff x="5871817" y="3130550"/>
          <a:chExt cx="720000" cy="3063417"/>
        </a:xfrm>
      </xdr:grpSpPr>
      <xdr:cxnSp macro="">
        <xdr:nvCxnSpPr>
          <xdr:cNvPr id="54" name="Conector reto 53">
            <a:extLst>
              <a:ext uri="{FF2B5EF4-FFF2-40B4-BE49-F238E27FC236}">
                <a16:creationId xmlns:a16="http://schemas.microsoft.com/office/drawing/2014/main" id="{8357499F-9E53-A014-24E4-5A2864554B0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to 54">
            <a:extLst>
              <a:ext uri="{FF2B5EF4-FFF2-40B4-BE49-F238E27FC236}">
                <a16:creationId xmlns:a16="http://schemas.microsoft.com/office/drawing/2014/main" id="{AB4A7C03-6D68-12C1-3988-B4E18A8A883B}"/>
              </a:ext>
            </a:extLst>
          </xdr:cNvPr>
          <xdr:cNvCxnSpPr/>
        </xdr:nvCxnSpPr>
        <xdr:spPr>
          <a:xfrm>
            <a:off x="6019724" y="3136895"/>
            <a:ext cx="0" cy="112477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 reto 55">
            <a:extLst>
              <a:ext uri="{FF2B5EF4-FFF2-40B4-BE49-F238E27FC236}">
                <a16:creationId xmlns:a16="http://schemas.microsoft.com/office/drawing/2014/main" id="{74FC9A7E-C98C-6B27-CD1F-227786794F2E}"/>
              </a:ext>
            </a:extLst>
          </xdr:cNvPr>
          <xdr:cNvCxnSpPr/>
        </xdr:nvCxnSpPr>
        <xdr:spPr>
          <a:xfrm>
            <a:off x="6305550" y="3136900"/>
            <a:ext cx="0" cy="190345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Conector reto 56">
            <a:extLst>
              <a:ext uri="{FF2B5EF4-FFF2-40B4-BE49-F238E27FC236}">
                <a16:creationId xmlns:a16="http://schemas.microsoft.com/office/drawing/2014/main" id="{722E4453-48BA-7BAF-7B85-480F8EE35750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46</xdr:row>
      <xdr:rowOff>69850</xdr:rowOff>
    </xdr:from>
    <xdr:to>
      <xdr:col>15</xdr:col>
      <xdr:colOff>322067</xdr:colOff>
      <xdr:row>46</xdr:row>
      <xdr:rowOff>69850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FC591BFC-00C7-4934-A850-C90709BA840B}"/>
            </a:ext>
          </a:extLst>
        </xdr:cNvPr>
        <xdr:cNvCxnSpPr/>
      </xdr:nvCxnSpPr>
      <xdr:spPr>
        <a:xfrm flipV="1">
          <a:off x="10888317" y="63246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56</xdr:row>
      <xdr:rowOff>69850</xdr:rowOff>
    </xdr:from>
    <xdr:to>
      <xdr:col>16</xdr:col>
      <xdr:colOff>322217</xdr:colOff>
      <xdr:row>56</xdr:row>
      <xdr:rowOff>69850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9BE56486-670C-4932-AB1A-8862AB239D4F}"/>
            </a:ext>
          </a:extLst>
        </xdr:cNvPr>
        <xdr:cNvCxnSpPr/>
      </xdr:nvCxnSpPr>
      <xdr:spPr>
        <a:xfrm flipV="1">
          <a:off x="10888317" y="7658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84</xdr:row>
      <xdr:rowOff>69850</xdr:rowOff>
    </xdr:from>
    <xdr:to>
      <xdr:col>16</xdr:col>
      <xdr:colOff>150</xdr:colOff>
      <xdr:row>84</xdr:row>
      <xdr:rowOff>69850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CA59A4C1-73AE-4DF6-9D3C-481E7040A507}"/>
            </a:ext>
          </a:extLst>
        </xdr:cNvPr>
        <xdr:cNvCxnSpPr/>
      </xdr:nvCxnSpPr>
      <xdr:spPr>
        <a:xfrm flipV="1">
          <a:off x="10890250" y="1139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22134</xdr:colOff>
      <xdr:row>95</xdr:row>
      <xdr:rowOff>76200</xdr:rowOff>
    </xdr:from>
    <xdr:to>
      <xdr:col>17</xdr:col>
      <xdr:colOff>22434</xdr:colOff>
      <xdr:row>95</xdr:row>
      <xdr:rowOff>76200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F0FC3149-6C8C-403B-80E5-DB4D06E64FE2}"/>
            </a:ext>
          </a:extLst>
        </xdr:cNvPr>
        <xdr:cNvCxnSpPr/>
      </xdr:nvCxnSpPr>
      <xdr:spPr>
        <a:xfrm flipV="1">
          <a:off x="10671084" y="128651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120</xdr:row>
      <xdr:rowOff>69850</xdr:rowOff>
    </xdr:from>
    <xdr:to>
      <xdr:col>16</xdr:col>
      <xdr:colOff>150</xdr:colOff>
      <xdr:row>120</xdr:row>
      <xdr:rowOff>69850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F43DA1D8-11A0-46FD-ABB4-96D6B8EF2923}"/>
            </a:ext>
          </a:extLst>
        </xdr:cNvPr>
        <xdr:cNvCxnSpPr/>
      </xdr:nvCxnSpPr>
      <xdr:spPr>
        <a:xfrm flipV="1">
          <a:off x="10890250" y="160591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155</xdr:row>
      <xdr:rowOff>69850</xdr:rowOff>
    </xdr:from>
    <xdr:to>
      <xdr:col>16</xdr:col>
      <xdr:colOff>150</xdr:colOff>
      <xdr:row>155</xdr:row>
      <xdr:rowOff>69850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9E40B3AC-65D9-426A-8DC5-4B9D07B5ECC8}"/>
            </a:ext>
          </a:extLst>
        </xdr:cNvPr>
        <xdr:cNvCxnSpPr/>
      </xdr:nvCxnSpPr>
      <xdr:spPr>
        <a:xfrm flipV="1">
          <a:off x="10890250" y="205930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193</xdr:row>
      <xdr:rowOff>69850</xdr:rowOff>
    </xdr:from>
    <xdr:to>
      <xdr:col>16</xdr:col>
      <xdr:colOff>150</xdr:colOff>
      <xdr:row>193</xdr:row>
      <xdr:rowOff>69850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627A2EDD-10EC-4417-BA4E-FF3B7E583C18}"/>
            </a:ext>
          </a:extLst>
        </xdr:cNvPr>
        <xdr:cNvCxnSpPr/>
      </xdr:nvCxnSpPr>
      <xdr:spPr>
        <a:xfrm flipV="1">
          <a:off x="10890250" y="256603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38100</xdr:rowOff>
    </xdr:from>
    <xdr:to>
      <xdr:col>9</xdr:col>
      <xdr:colOff>135800</xdr:colOff>
      <xdr:row>243</xdr:row>
      <xdr:rowOff>30877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C76C7583-D6E5-49CC-BAC2-CC8D22C5E4F9}"/>
            </a:ext>
          </a:extLst>
        </xdr:cNvPr>
        <xdr:cNvGrpSpPr/>
      </xdr:nvGrpSpPr>
      <xdr:grpSpPr>
        <a:xfrm>
          <a:off x="6184900" y="28695650"/>
          <a:ext cx="783500" cy="3859927"/>
          <a:chOff x="5871817" y="3130550"/>
          <a:chExt cx="720000" cy="3092258"/>
        </a:xfrm>
      </xdr:grpSpPr>
      <xdr:cxnSp macro="">
        <xdr:nvCxnSpPr>
          <xdr:cNvPr id="66" name="Conector reto 65">
            <a:extLst>
              <a:ext uri="{FF2B5EF4-FFF2-40B4-BE49-F238E27FC236}">
                <a16:creationId xmlns:a16="http://schemas.microsoft.com/office/drawing/2014/main" id="{A4484B74-779A-3032-1B82-B2C4852FA16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to 66">
            <a:extLst>
              <a:ext uri="{FF2B5EF4-FFF2-40B4-BE49-F238E27FC236}">
                <a16:creationId xmlns:a16="http://schemas.microsoft.com/office/drawing/2014/main" id="{1F1711E8-A1E8-6433-5FB5-B2A81E429930}"/>
              </a:ext>
            </a:extLst>
          </xdr:cNvPr>
          <xdr:cNvCxnSpPr/>
        </xdr:nvCxnSpPr>
        <xdr:spPr>
          <a:xfrm>
            <a:off x="6019724" y="3136897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reto 67">
            <a:extLst>
              <a:ext uri="{FF2B5EF4-FFF2-40B4-BE49-F238E27FC236}">
                <a16:creationId xmlns:a16="http://schemas.microsoft.com/office/drawing/2014/main" id="{EE3A8D6B-CA36-EC48-2A15-F8D5CD1E671C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Conector reto 68">
            <a:extLst>
              <a:ext uri="{FF2B5EF4-FFF2-40B4-BE49-F238E27FC236}">
                <a16:creationId xmlns:a16="http://schemas.microsoft.com/office/drawing/2014/main" id="{95F80E54-E4DD-B816-23FB-1059BB255CC6}"/>
              </a:ext>
            </a:extLst>
          </xdr:cNvPr>
          <xdr:cNvCxnSpPr/>
        </xdr:nvCxnSpPr>
        <xdr:spPr>
          <a:xfrm>
            <a:off x="6591300" y="3136900"/>
            <a:ext cx="0" cy="3085908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232</xdr:row>
      <xdr:rowOff>69850</xdr:rowOff>
    </xdr:from>
    <xdr:to>
      <xdr:col>8</xdr:col>
      <xdr:colOff>150</xdr:colOff>
      <xdr:row>232</xdr:row>
      <xdr:rowOff>69850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22D3E98D-15FF-4763-A003-39FB8CE38037}"/>
            </a:ext>
          </a:extLst>
        </xdr:cNvPr>
        <xdr:cNvCxnSpPr/>
      </xdr:nvCxnSpPr>
      <xdr:spPr>
        <a:xfrm flipV="1">
          <a:off x="6184900" y="308610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214</xdr:row>
      <xdr:rowOff>38100</xdr:rowOff>
    </xdr:from>
    <xdr:to>
      <xdr:col>17</xdr:col>
      <xdr:colOff>135800</xdr:colOff>
      <xdr:row>242</xdr:row>
      <xdr:rowOff>128226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FDBCE3CF-3CAF-48BC-B602-6AC6D3C7CCFA}"/>
            </a:ext>
          </a:extLst>
        </xdr:cNvPr>
        <xdr:cNvGrpSpPr/>
      </xdr:nvGrpSpPr>
      <xdr:grpSpPr>
        <a:xfrm>
          <a:off x="10877550" y="28695650"/>
          <a:ext cx="783500" cy="3823926"/>
          <a:chOff x="5871817" y="3130550"/>
          <a:chExt cx="720000" cy="3063417"/>
        </a:xfrm>
      </xdr:grpSpPr>
      <xdr:cxnSp macro="">
        <xdr:nvCxnSpPr>
          <xdr:cNvPr id="72" name="Conector reto 71">
            <a:extLst>
              <a:ext uri="{FF2B5EF4-FFF2-40B4-BE49-F238E27FC236}">
                <a16:creationId xmlns:a16="http://schemas.microsoft.com/office/drawing/2014/main" id="{B25464D9-9543-FD45-7433-100C972D3C64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ctor reto 72">
            <a:extLst>
              <a:ext uri="{FF2B5EF4-FFF2-40B4-BE49-F238E27FC236}">
                <a16:creationId xmlns:a16="http://schemas.microsoft.com/office/drawing/2014/main" id="{CE5CC448-68B8-3CC5-86AD-B2BF1A2AB1CE}"/>
              </a:ext>
            </a:extLst>
          </xdr:cNvPr>
          <xdr:cNvCxnSpPr/>
        </xdr:nvCxnSpPr>
        <xdr:spPr>
          <a:xfrm>
            <a:off x="6019724" y="3136898"/>
            <a:ext cx="0" cy="115361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reto 73">
            <a:extLst>
              <a:ext uri="{FF2B5EF4-FFF2-40B4-BE49-F238E27FC236}">
                <a16:creationId xmlns:a16="http://schemas.microsoft.com/office/drawing/2014/main" id="{1EEA5F81-618E-8CF5-CA5C-BB9F30622EDA}"/>
              </a:ext>
            </a:extLst>
          </xdr:cNvPr>
          <xdr:cNvCxnSpPr/>
        </xdr:nvCxnSpPr>
        <xdr:spPr>
          <a:xfrm>
            <a:off x="6305550" y="3136900"/>
            <a:ext cx="0" cy="190345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to 74">
            <a:extLst>
              <a:ext uri="{FF2B5EF4-FFF2-40B4-BE49-F238E27FC236}">
                <a16:creationId xmlns:a16="http://schemas.microsoft.com/office/drawing/2014/main" id="{988AC535-1CFD-C79F-885B-7F22330BEEAB}"/>
              </a:ext>
            </a:extLst>
          </xdr:cNvPr>
          <xdr:cNvCxnSpPr/>
        </xdr:nvCxnSpPr>
        <xdr:spPr>
          <a:xfrm>
            <a:off x="6591300" y="3136900"/>
            <a:ext cx="0" cy="305706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232</xdr:row>
      <xdr:rowOff>69850</xdr:rowOff>
    </xdr:from>
    <xdr:to>
      <xdr:col>16</xdr:col>
      <xdr:colOff>150</xdr:colOff>
      <xdr:row>232</xdr:row>
      <xdr:rowOff>69850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127186F4-5A5F-4774-A96E-7220ED776C86}"/>
            </a:ext>
          </a:extLst>
        </xdr:cNvPr>
        <xdr:cNvCxnSpPr/>
      </xdr:nvCxnSpPr>
      <xdr:spPr>
        <a:xfrm flipV="1">
          <a:off x="10890250" y="308610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256</xdr:row>
      <xdr:rowOff>38102</xdr:rowOff>
    </xdr:from>
    <xdr:to>
      <xdr:col>9</xdr:col>
      <xdr:colOff>135800</xdr:colOff>
      <xdr:row>294</xdr:row>
      <xdr:rowOff>21130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463D9E12-DBD1-44AF-9640-FC5A3BC2BA36}"/>
            </a:ext>
          </a:extLst>
        </xdr:cNvPr>
        <xdr:cNvGrpSpPr/>
      </xdr:nvGrpSpPr>
      <xdr:grpSpPr>
        <a:xfrm>
          <a:off x="6184900" y="34296352"/>
          <a:ext cx="783500" cy="5050328"/>
          <a:chOff x="5871817" y="3130550"/>
          <a:chExt cx="720000" cy="3105347"/>
        </a:xfrm>
      </xdr:grpSpPr>
      <xdr:cxnSp macro="">
        <xdr:nvCxnSpPr>
          <xdr:cNvPr id="78" name="Conector reto 77">
            <a:extLst>
              <a:ext uri="{FF2B5EF4-FFF2-40B4-BE49-F238E27FC236}">
                <a16:creationId xmlns:a16="http://schemas.microsoft.com/office/drawing/2014/main" id="{4F9BDDA8-AB2E-7281-BCC2-987DD26D35D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to 78">
            <a:extLst>
              <a:ext uri="{FF2B5EF4-FFF2-40B4-BE49-F238E27FC236}">
                <a16:creationId xmlns:a16="http://schemas.microsoft.com/office/drawing/2014/main" id="{723248F3-593E-A9BE-9CD1-71AB40F630F0}"/>
              </a:ext>
            </a:extLst>
          </xdr:cNvPr>
          <xdr:cNvCxnSpPr/>
        </xdr:nvCxnSpPr>
        <xdr:spPr>
          <a:xfrm>
            <a:off x="6019724" y="3136899"/>
            <a:ext cx="0" cy="112892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Conector reto 79">
            <a:extLst>
              <a:ext uri="{FF2B5EF4-FFF2-40B4-BE49-F238E27FC236}">
                <a16:creationId xmlns:a16="http://schemas.microsoft.com/office/drawing/2014/main" id="{0B611E06-3A28-0115-015D-1776C2D135F1}"/>
              </a:ext>
            </a:extLst>
          </xdr:cNvPr>
          <xdr:cNvCxnSpPr/>
        </xdr:nvCxnSpPr>
        <xdr:spPr>
          <a:xfrm>
            <a:off x="6305550" y="3136900"/>
            <a:ext cx="0" cy="194794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Conector reto 80">
            <a:extLst>
              <a:ext uri="{FF2B5EF4-FFF2-40B4-BE49-F238E27FC236}">
                <a16:creationId xmlns:a16="http://schemas.microsoft.com/office/drawing/2014/main" id="{5D82A6F7-D68D-140C-2667-46E41E11A153}"/>
              </a:ext>
            </a:extLst>
          </xdr:cNvPr>
          <xdr:cNvCxnSpPr/>
        </xdr:nvCxnSpPr>
        <xdr:spPr>
          <a:xfrm>
            <a:off x="6591300" y="3136900"/>
            <a:ext cx="0" cy="309899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280</xdr:row>
      <xdr:rowOff>69850</xdr:rowOff>
    </xdr:from>
    <xdr:to>
      <xdr:col>8</xdr:col>
      <xdr:colOff>150</xdr:colOff>
      <xdr:row>280</xdr:row>
      <xdr:rowOff>69850</xdr:rowOff>
    </xdr:to>
    <xdr:cxnSp macro="">
      <xdr:nvCxnSpPr>
        <xdr:cNvPr id="82" name="Conector reto 81">
          <a:extLst>
            <a:ext uri="{FF2B5EF4-FFF2-40B4-BE49-F238E27FC236}">
              <a16:creationId xmlns:a16="http://schemas.microsoft.com/office/drawing/2014/main" id="{A19503F8-FA4D-4C61-BE31-44634A186AB0}"/>
            </a:ext>
          </a:extLst>
        </xdr:cNvPr>
        <xdr:cNvCxnSpPr/>
      </xdr:nvCxnSpPr>
      <xdr:spPr>
        <a:xfrm flipV="1">
          <a:off x="6184900" y="372618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256</xdr:row>
      <xdr:rowOff>38100</xdr:rowOff>
    </xdr:from>
    <xdr:to>
      <xdr:col>17</xdr:col>
      <xdr:colOff>135800</xdr:colOff>
      <xdr:row>294</xdr:row>
      <xdr:rowOff>21127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F47809EC-A7AF-4A4F-A72D-9137F79A3223}"/>
            </a:ext>
          </a:extLst>
        </xdr:cNvPr>
        <xdr:cNvGrpSpPr/>
      </xdr:nvGrpSpPr>
      <xdr:grpSpPr>
        <a:xfrm>
          <a:off x="10877550" y="34296350"/>
          <a:ext cx="783500" cy="5050327"/>
          <a:chOff x="5871817" y="3130550"/>
          <a:chExt cx="720000" cy="3105347"/>
        </a:xfrm>
      </xdr:grpSpPr>
      <xdr:cxnSp macro="">
        <xdr:nvCxnSpPr>
          <xdr:cNvPr id="84" name="Conector reto 83">
            <a:extLst>
              <a:ext uri="{FF2B5EF4-FFF2-40B4-BE49-F238E27FC236}">
                <a16:creationId xmlns:a16="http://schemas.microsoft.com/office/drawing/2014/main" id="{2E674B33-A173-A8F5-3A32-6A1CAB60D077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to 84">
            <a:extLst>
              <a:ext uri="{FF2B5EF4-FFF2-40B4-BE49-F238E27FC236}">
                <a16:creationId xmlns:a16="http://schemas.microsoft.com/office/drawing/2014/main" id="{147C07E0-35D2-5D16-7B47-9B621174D5AF}"/>
              </a:ext>
            </a:extLst>
          </xdr:cNvPr>
          <xdr:cNvCxnSpPr/>
        </xdr:nvCxnSpPr>
        <xdr:spPr>
          <a:xfrm>
            <a:off x="6019724" y="3136899"/>
            <a:ext cx="0" cy="112892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reto 85">
            <a:extLst>
              <a:ext uri="{FF2B5EF4-FFF2-40B4-BE49-F238E27FC236}">
                <a16:creationId xmlns:a16="http://schemas.microsoft.com/office/drawing/2014/main" id="{23082E6D-35D8-E45C-B12F-98E3ABE599CE}"/>
              </a:ext>
            </a:extLst>
          </xdr:cNvPr>
          <xdr:cNvCxnSpPr/>
        </xdr:nvCxnSpPr>
        <xdr:spPr>
          <a:xfrm>
            <a:off x="6305550" y="3136900"/>
            <a:ext cx="0" cy="194794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ctor reto 86">
            <a:extLst>
              <a:ext uri="{FF2B5EF4-FFF2-40B4-BE49-F238E27FC236}">
                <a16:creationId xmlns:a16="http://schemas.microsoft.com/office/drawing/2014/main" id="{30478B30-419D-ACAB-9E5D-5A0701B7C2B4}"/>
              </a:ext>
            </a:extLst>
          </xdr:cNvPr>
          <xdr:cNvCxnSpPr/>
        </xdr:nvCxnSpPr>
        <xdr:spPr>
          <a:xfrm>
            <a:off x="6591300" y="3136900"/>
            <a:ext cx="0" cy="309899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280</xdr:row>
      <xdr:rowOff>69850</xdr:rowOff>
    </xdr:from>
    <xdr:to>
      <xdr:col>16</xdr:col>
      <xdr:colOff>150</xdr:colOff>
      <xdr:row>280</xdr:row>
      <xdr:rowOff>69850</xdr:rowOff>
    </xdr:to>
    <xdr:cxnSp macro="">
      <xdr:nvCxnSpPr>
        <xdr:cNvPr id="88" name="Conector reto 87">
          <a:extLst>
            <a:ext uri="{FF2B5EF4-FFF2-40B4-BE49-F238E27FC236}">
              <a16:creationId xmlns:a16="http://schemas.microsoft.com/office/drawing/2014/main" id="{2CE2ED1C-4BBF-4ED2-B45C-35A693F070A6}"/>
            </a:ext>
          </a:extLst>
        </xdr:cNvPr>
        <xdr:cNvCxnSpPr/>
      </xdr:nvCxnSpPr>
      <xdr:spPr>
        <a:xfrm flipV="1">
          <a:off x="10890250" y="372618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31</xdr:row>
      <xdr:rowOff>6350</xdr:rowOff>
    </xdr:from>
    <xdr:to>
      <xdr:col>13</xdr:col>
      <xdr:colOff>863600</xdr:colOff>
      <xdr:row>57</xdr:row>
      <xdr:rowOff>0</xdr:rowOff>
    </xdr:to>
    <xdr:cxnSp macro="">
      <xdr:nvCxnSpPr>
        <xdr:cNvPr id="89" name="Conector reto 88">
          <a:extLst>
            <a:ext uri="{FF2B5EF4-FFF2-40B4-BE49-F238E27FC236}">
              <a16:creationId xmlns:a16="http://schemas.microsoft.com/office/drawing/2014/main" id="{2011DBCE-AD4C-4565-AFFF-084FF61950E4}"/>
            </a:ext>
          </a:extLst>
        </xdr:cNvPr>
        <xdr:cNvCxnSpPr/>
      </xdr:nvCxnSpPr>
      <xdr:spPr>
        <a:xfrm>
          <a:off x="6191250" y="4260850"/>
          <a:ext cx="3810000" cy="34607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869950</xdr:colOff>
      <xdr:row>66</xdr:row>
      <xdr:rowOff>120650</xdr:rowOff>
    </xdr:from>
    <xdr:to>
      <xdr:col>14</xdr:col>
      <xdr:colOff>6350</xdr:colOff>
      <xdr:row>96</xdr:row>
      <xdr:rowOff>12700</xdr:rowOff>
    </xdr:to>
    <xdr:cxnSp macro="">
      <xdr:nvCxnSpPr>
        <xdr:cNvPr id="90" name="Conector reto 89">
          <a:extLst>
            <a:ext uri="{FF2B5EF4-FFF2-40B4-BE49-F238E27FC236}">
              <a16:creationId xmlns:a16="http://schemas.microsoft.com/office/drawing/2014/main" id="{7D4417C8-8DCE-4354-9DAC-074B4DF8CF9C}"/>
            </a:ext>
          </a:extLst>
        </xdr:cNvPr>
        <xdr:cNvCxnSpPr/>
      </xdr:nvCxnSpPr>
      <xdr:spPr>
        <a:xfrm>
          <a:off x="6172200" y="9042400"/>
          <a:ext cx="3848100" cy="38925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104</xdr:row>
      <xdr:rowOff>101600</xdr:rowOff>
    </xdr:from>
    <xdr:to>
      <xdr:col>13</xdr:col>
      <xdr:colOff>869950</xdr:colOff>
      <xdr:row>131</xdr:row>
      <xdr:rowOff>6350</xdr:rowOff>
    </xdr:to>
    <xdr:cxnSp macro="">
      <xdr:nvCxnSpPr>
        <xdr:cNvPr id="91" name="Conector reto 90">
          <a:extLst>
            <a:ext uri="{FF2B5EF4-FFF2-40B4-BE49-F238E27FC236}">
              <a16:creationId xmlns:a16="http://schemas.microsoft.com/office/drawing/2014/main" id="{455E8C10-B3EA-4EA3-A24E-A79963CBDE12}"/>
            </a:ext>
          </a:extLst>
        </xdr:cNvPr>
        <xdr:cNvCxnSpPr/>
      </xdr:nvCxnSpPr>
      <xdr:spPr>
        <a:xfrm>
          <a:off x="6191250" y="13957300"/>
          <a:ext cx="3816350" cy="35052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139</xdr:row>
      <xdr:rowOff>120650</xdr:rowOff>
    </xdr:from>
    <xdr:to>
      <xdr:col>13</xdr:col>
      <xdr:colOff>863600</xdr:colOff>
      <xdr:row>166</xdr:row>
      <xdr:rowOff>25400</xdr:rowOff>
    </xdr:to>
    <xdr:cxnSp macro="">
      <xdr:nvCxnSpPr>
        <xdr:cNvPr id="92" name="Conector reto 91">
          <a:extLst>
            <a:ext uri="{FF2B5EF4-FFF2-40B4-BE49-F238E27FC236}">
              <a16:creationId xmlns:a16="http://schemas.microsoft.com/office/drawing/2014/main" id="{5A5D6768-634E-45FA-92C5-ADC18F412CD5}"/>
            </a:ext>
          </a:extLst>
        </xdr:cNvPr>
        <xdr:cNvCxnSpPr/>
      </xdr:nvCxnSpPr>
      <xdr:spPr>
        <a:xfrm>
          <a:off x="6184900" y="18510250"/>
          <a:ext cx="3816350" cy="35052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175</xdr:row>
      <xdr:rowOff>127000</xdr:rowOff>
    </xdr:from>
    <xdr:to>
      <xdr:col>13</xdr:col>
      <xdr:colOff>857250</xdr:colOff>
      <xdr:row>205</xdr:row>
      <xdr:rowOff>6350</xdr:rowOff>
    </xdr:to>
    <xdr:cxnSp macro="">
      <xdr:nvCxnSpPr>
        <xdr:cNvPr id="93" name="Conector reto 92">
          <a:extLst>
            <a:ext uri="{FF2B5EF4-FFF2-40B4-BE49-F238E27FC236}">
              <a16:creationId xmlns:a16="http://schemas.microsoft.com/office/drawing/2014/main" id="{69FC5847-FAA8-43B4-9FC8-D3E13405BAEE}"/>
            </a:ext>
          </a:extLst>
        </xdr:cNvPr>
        <xdr:cNvCxnSpPr/>
      </xdr:nvCxnSpPr>
      <xdr:spPr>
        <a:xfrm>
          <a:off x="6191250" y="23317200"/>
          <a:ext cx="3803650" cy="38798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127000</xdr:rowOff>
    </xdr:from>
    <xdr:to>
      <xdr:col>13</xdr:col>
      <xdr:colOff>850900</xdr:colOff>
      <xdr:row>244</xdr:row>
      <xdr:rowOff>6350</xdr:rowOff>
    </xdr:to>
    <xdr:cxnSp macro="">
      <xdr:nvCxnSpPr>
        <xdr:cNvPr id="94" name="Conector reto 93">
          <a:extLst>
            <a:ext uri="{FF2B5EF4-FFF2-40B4-BE49-F238E27FC236}">
              <a16:creationId xmlns:a16="http://schemas.microsoft.com/office/drawing/2014/main" id="{04A14F1D-D699-4761-ABAD-2FF5D40A55C4}"/>
            </a:ext>
          </a:extLst>
        </xdr:cNvPr>
        <xdr:cNvCxnSpPr/>
      </xdr:nvCxnSpPr>
      <xdr:spPr>
        <a:xfrm>
          <a:off x="6184900" y="28517850"/>
          <a:ext cx="3803650" cy="38798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256</xdr:row>
      <xdr:rowOff>120650</xdr:rowOff>
    </xdr:from>
    <xdr:to>
      <xdr:col>13</xdr:col>
      <xdr:colOff>863600</xdr:colOff>
      <xdr:row>295</xdr:row>
      <xdr:rowOff>0</xdr:rowOff>
    </xdr:to>
    <xdr:cxnSp macro="">
      <xdr:nvCxnSpPr>
        <xdr:cNvPr id="95" name="Conector reto 94">
          <a:extLst>
            <a:ext uri="{FF2B5EF4-FFF2-40B4-BE49-F238E27FC236}">
              <a16:creationId xmlns:a16="http://schemas.microsoft.com/office/drawing/2014/main" id="{FDDBEF81-E884-4DC4-8A03-C447C82F0501}"/>
            </a:ext>
          </a:extLst>
        </xdr:cNvPr>
        <xdr:cNvCxnSpPr/>
      </xdr:nvCxnSpPr>
      <xdr:spPr>
        <a:xfrm>
          <a:off x="6191250" y="34112200"/>
          <a:ext cx="3810000" cy="50800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69850</xdr:rowOff>
    </xdr:from>
    <xdr:to>
      <xdr:col>9</xdr:col>
      <xdr:colOff>300</xdr:colOff>
      <xdr:row>95</xdr:row>
      <xdr:rowOff>69850</xdr:rowOff>
    </xdr:to>
    <xdr:cxnSp macro="">
      <xdr:nvCxnSpPr>
        <xdr:cNvPr id="96" name="Conector reto 95">
          <a:extLst>
            <a:ext uri="{FF2B5EF4-FFF2-40B4-BE49-F238E27FC236}">
              <a16:creationId xmlns:a16="http://schemas.microsoft.com/office/drawing/2014/main" id="{829A2AB7-251E-4CF9-87AD-D030DFDB3985}"/>
            </a:ext>
          </a:extLst>
        </xdr:cNvPr>
        <xdr:cNvCxnSpPr/>
      </xdr:nvCxnSpPr>
      <xdr:spPr>
        <a:xfrm flipV="1">
          <a:off x="6184900" y="128587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50800</xdr:colOff>
      <xdr:row>0</xdr:row>
      <xdr:rowOff>38100</xdr:rowOff>
    </xdr:from>
    <xdr:to>
      <xdr:col>16</xdr:col>
      <xdr:colOff>114074</xdr:colOff>
      <xdr:row>9</xdr:row>
      <xdr:rowOff>95519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56AD6C3-9471-4520-AEA3-057D38D6E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38100"/>
          <a:ext cx="5962424" cy="137821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69850</xdr:rowOff>
    </xdr:from>
    <xdr:to>
      <xdr:col>8</xdr:col>
      <xdr:colOff>150</xdr:colOff>
      <xdr:row>120</xdr:row>
      <xdr:rowOff>69850</xdr:rowOff>
    </xdr:to>
    <xdr:cxnSp macro="">
      <xdr:nvCxnSpPr>
        <xdr:cNvPr id="98" name="Conector reto 97">
          <a:extLst>
            <a:ext uri="{FF2B5EF4-FFF2-40B4-BE49-F238E27FC236}">
              <a16:creationId xmlns:a16="http://schemas.microsoft.com/office/drawing/2014/main" id="{1B815E3C-7F1D-4CD2-AEAF-61DE189E4EC5}"/>
            </a:ext>
          </a:extLst>
        </xdr:cNvPr>
        <xdr:cNvCxnSpPr/>
      </xdr:nvCxnSpPr>
      <xdr:spPr>
        <a:xfrm flipV="1">
          <a:off x="6184900" y="160591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120</xdr:row>
      <xdr:rowOff>63500</xdr:rowOff>
    </xdr:from>
    <xdr:to>
      <xdr:col>7</xdr:col>
      <xdr:colOff>322067</xdr:colOff>
      <xdr:row>120</xdr:row>
      <xdr:rowOff>63500</xdr:rowOff>
    </xdr:to>
    <xdr:cxnSp macro="">
      <xdr:nvCxnSpPr>
        <xdr:cNvPr id="99" name="Conector reto 98">
          <a:extLst>
            <a:ext uri="{FF2B5EF4-FFF2-40B4-BE49-F238E27FC236}">
              <a16:creationId xmlns:a16="http://schemas.microsoft.com/office/drawing/2014/main" id="{6A386621-A9BA-4DE8-9683-350BC1E10C6D}"/>
            </a:ext>
          </a:extLst>
        </xdr:cNvPr>
        <xdr:cNvCxnSpPr/>
      </xdr:nvCxnSpPr>
      <xdr:spPr>
        <a:xfrm flipV="1">
          <a:off x="6182967" y="160528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120</xdr:row>
      <xdr:rowOff>69850</xdr:rowOff>
    </xdr:from>
    <xdr:to>
      <xdr:col>15</xdr:col>
      <xdr:colOff>322067</xdr:colOff>
      <xdr:row>120</xdr:row>
      <xdr:rowOff>69850</xdr:rowOff>
    </xdr:to>
    <xdr:cxnSp macro="">
      <xdr:nvCxnSpPr>
        <xdr:cNvPr id="100" name="Conector reto 99">
          <a:extLst>
            <a:ext uri="{FF2B5EF4-FFF2-40B4-BE49-F238E27FC236}">
              <a16:creationId xmlns:a16="http://schemas.microsoft.com/office/drawing/2014/main" id="{96463A69-6868-485A-BA2F-A18D0B8D3D9E}"/>
            </a:ext>
          </a:extLst>
        </xdr:cNvPr>
        <xdr:cNvCxnSpPr/>
      </xdr:nvCxnSpPr>
      <xdr:spPr>
        <a:xfrm flipV="1">
          <a:off x="10888317" y="160591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130</xdr:row>
      <xdr:rowOff>69850</xdr:rowOff>
    </xdr:from>
    <xdr:to>
      <xdr:col>8</xdr:col>
      <xdr:colOff>322217</xdr:colOff>
      <xdr:row>130</xdr:row>
      <xdr:rowOff>69850</xdr:rowOff>
    </xdr:to>
    <xdr:cxnSp macro="">
      <xdr:nvCxnSpPr>
        <xdr:cNvPr id="101" name="Conector reto 100">
          <a:extLst>
            <a:ext uri="{FF2B5EF4-FFF2-40B4-BE49-F238E27FC236}">
              <a16:creationId xmlns:a16="http://schemas.microsoft.com/office/drawing/2014/main" id="{DBB8253B-7B5C-4D58-B717-1658882ACD54}"/>
            </a:ext>
          </a:extLst>
        </xdr:cNvPr>
        <xdr:cNvCxnSpPr/>
      </xdr:nvCxnSpPr>
      <xdr:spPr>
        <a:xfrm flipV="1">
          <a:off x="6182967" y="173926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130</xdr:row>
      <xdr:rowOff>69850</xdr:rowOff>
    </xdr:from>
    <xdr:to>
      <xdr:col>16</xdr:col>
      <xdr:colOff>322217</xdr:colOff>
      <xdr:row>130</xdr:row>
      <xdr:rowOff>69850</xdr:rowOff>
    </xdr:to>
    <xdr:cxnSp macro="">
      <xdr:nvCxnSpPr>
        <xdr:cNvPr id="102" name="Conector reto 101">
          <a:extLst>
            <a:ext uri="{FF2B5EF4-FFF2-40B4-BE49-F238E27FC236}">
              <a16:creationId xmlns:a16="http://schemas.microsoft.com/office/drawing/2014/main" id="{B51C544B-CB93-48D5-8596-F9F6060F0337}"/>
            </a:ext>
          </a:extLst>
        </xdr:cNvPr>
        <xdr:cNvCxnSpPr/>
      </xdr:nvCxnSpPr>
      <xdr:spPr>
        <a:xfrm flipV="1">
          <a:off x="10888317" y="173926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130</xdr:row>
      <xdr:rowOff>69850</xdr:rowOff>
    </xdr:from>
    <xdr:to>
      <xdr:col>8</xdr:col>
      <xdr:colOff>322217</xdr:colOff>
      <xdr:row>130</xdr:row>
      <xdr:rowOff>69850</xdr:rowOff>
    </xdr:to>
    <xdr:cxnSp macro="">
      <xdr:nvCxnSpPr>
        <xdr:cNvPr id="103" name="Conector reto 102">
          <a:extLst>
            <a:ext uri="{FF2B5EF4-FFF2-40B4-BE49-F238E27FC236}">
              <a16:creationId xmlns:a16="http://schemas.microsoft.com/office/drawing/2014/main" id="{C6662295-9899-40DB-90FC-7AC506A745EB}"/>
            </a:ext>
          </a:extLst>
        </xdr:cNvPr>
        <xdr:cNvCxnSpPr/>
      </xdr:nvCxnSpPr>
      <xdr:spPr>
        <a:xfrm flipV="1">
          <a:off x="6182967" y="173926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165</xdr:row>
      <xdr:rowOff>69850</xdr:rowOff>
    </xdr:from>
    <xdr:to>
      <xdr:col>8</xdr:col>
      <xdr:colOff>322217</xdr:colOff>
      <xdr:row>165</xdr:row>
      <xdr:rowOff>69850</xdr:rowOff>
    </xdr:to>
    <xdr:cxnSp macro="">
      <xdr:nvCxnSpPr>
        <xdr:cNvPr id="104" name="Conector reto 103">
          <a:extLst>
            <a:ext uri="{FF2B5EF4-FFF2-40B4-BE49-F238E27FC236}">
              <a16:creationId xmlns:a16="http://schemas.microsoft.com/office/drawing/2014/main" id="{3AD856F0-F596-45AB-AB4B-ED69E5F2705B}"/>
            </a:ext>
          </a:extLst>
        </xdr:cNvPr>
        <xdr:cNvCxnSpPr/>
      </xdr:nvCxnSpPr>
      <xdr:spPr>
        <a:xfrm flipV="1">
          <a:off x="6182967" y="21926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165</xdr:row>
      <xdr:rowOff>69850</xdr:rowOff>
    </xdr:from>
    <xdr:to>
      <xdr:col>8</xdr:col>
      <xdr:colOff>322217</xdr:colOff>
      <xdr:row>165</xdr:row>
      <xdr:rowOff>69850</xdr:rowOff>
    </xdr:to>
    <xdr:cxnSp macro="">
      <xdr:nvCxnSpPr>
        <xdr:cNvPr id="105" name="Conector reto 104">
          <a:extLst>
            <a:ext uri="{FF2B5EF4-FFF2-40B4-BE49-F238E27FC236}">
              <a16:creationId xmlns:a16="http://schemas.microsoft.com/office/drawing/2014/main" id="{C0684F54-87A6-4FC0-BF4C-1D70FD03F8E7}"/>
            </a:ext>
          </a:extLst>
        </xdr:cNvPr>
        <xdr:cNvCxnSpPr/>
      </xdr:nvCxnSpPr>
      <xdr:spPr>
        <a:xfrm flipV="1">
          <a:off x="6182967" y="21926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165</xdr:row>
      <xdr:rowOff>69850</xdr:rowOff>
    </xdr:from>
    <xdr:to>
      <xdr:col>16</xdr:col>
      <xdr:colOff>322217</xdr:colOff>
      <xdr:row>165</xdr:row>
      <xdr:rowOff>69850</xdr:rowOff>
    </xdr:to>
    <xdr:cxnSp macro="">
      <xdr:nvCxnSpPr>
        <xdr:cNvPr id="106" name="Conector reto 105">
          <a:extLst>
            <a:ext uri="{FF2B5EF4-FFF2-40B4-BE49-F238E27FC236}">
              <a16:creationId xmlns:a16="http://schemas.microsoft.com/office/drawing/2014/main" id="{BAD93566-C577-4DC8-BF79-58F5E7CEA50C}"/>
            </a:ext>
          </a:extLst>
        </xdr:cNvPr>
        <xdr:cNvCxnSpPr/>
      </xdr:nvCxnSpPr>
      <xdr:spPr>
        <a:xfrm flipV="1">
          <a:off x="10888317" y="21926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165</xdr:row>
      <xdr:rowOff>69850</xdr:rowOff>
    </xdr:from>
    <xdr:to>
      <xdr:col>16</xdr:col>
      <xdr:colOff>322217</xdr:colOff>
      <xdr:row>165</xdr:row>
      <xdr:rowOff>69850</xdr:rowOff>
    </xdr:to>
    <xdr:cxnSp macro="">
      <xdr:nvCxnSpPr>
        <xdr:cNvPr id="107" name="Conector reto 106">
          <a:extLst>
            <a:ext uri="{FF2B5EF4-FFF2-40B4-BE49-F238E27FC236}">
              <a16:creationId xmlns:a16="http://schemas.microsoft.com/office/drawing/2014/main" id="{448998F7-338C-4C0F-BBAD-A62B0F6029C5}"/>
            </a:ext>
          </a:extLst>
        </xdr:cNvPr>
        <xdr:cNvCxnSpPr/>
      </xdr:nvCxnSpPr>
      <xdr:spPr>
        <a:xfrm flipV="1">
          <a:off x="10888317" y="219265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204</xdr:row>
      <xdr:rowOff>69850</xdr:rowOff>
    </xdr:from>
    <xdr:to>
      <xdr:col>8</xdr:col>
      <xdr:colOff>322217</xdr:colOff>
      <xdr:row>204</xdr:row>
      <xdr:rowOff>69850</xdr:rowOff>
    </xdr:to>
    <xdr:cxnSp macro="">
      <xdr:nvCxnSpPr>
        <xdr:cNvPr id="108" name="Conector reto 107">
          <a:extLst>
            <a:ext uri="{FF2B5EF4-FFF2-40B4-BE49-F238E27FC236}">
              <a16:creationId xmlns:a16="http://schemas.microsoft.com/office/drawing/2014/main" id="{042CB07B-1932-4BED-8BC0-FF23C41FABF0}"/>
            </a:ext>
          </a:extLst>
        </xdr:cNvPr>
        <xdr:cNvCxnSpPr/>
      </xdr:nvCxnSpPr>
      <xdr:spPr>
        <a:xfrm flipV="1">
          <a:off x="6182967" y="2712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204</xdr:row>
      <xdr:rowOff>69850</xdr:rowOff>
    </xdr:from>
    <xdr:to>
      <xdr:col>8</xdr:col>
      <xdr:colOff>322217</xdr:colOff>
      <xdr:row>204</xdr:row>
      <xdr:rowOff>69850</xdr:rowOff>
    </xdr:to>
    <xdr:cxnSp macro="">
      <xdr:nvCxnSpPr>
        <xdr:cNvPr id="109" name="Conector reto 108">
          <a:extLst>
            <a:ext uri="{FF2B5EF4-FFF2-40B4-BE49-F238E27FC236}">
              <a16:creationId xmlns:a16="http://schemas.microsoft.com/office/drawing/2014/main" id="{F64D2D1C-30CF-4A75-B74C-06E135781A46}"/>
            </a:ext>
          </a:extLst>
        </xdr:cNvPr>
        <xdr:cNvCxnSpPr/>
      </xdr:nvCxnSpPr>
      <xdr:spPr>
        <a:xfrm flipV="1">
          <a:off x="6182967" y="2712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204</xdr:row>
      <xdr:rowOff>69850</xdr:rowOff>
    </xdr:from>
    <xdr:to>
      <xdr:col>16</xdr:col>
      <xdr:colOff>322217</xdr:colOff>
      <xdr:row>204</xdr:row>
      <xdr:rowOff>69850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F0C48B86-E153-476E-A446-58BB9963E9F1}"/>
            </a:ext>
          </a:extLst>
        </xdr:cNvPr>
        <xdr:cNvCxnSpPr/>
      </xdr:nvCxnSpPr>
      <xdr:spPr>
        <a:xfrm flipV="1">
          <a:off x="10888317" y="2712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204</xdr:row>
      <xdr:rowOff>69850</xdr:rowOff>
    </xdr:from>
    <xdr:to>
      <xdr:col>16</xdr:col>
      <xdr:colOff>322217</xdr:colOff>
      <xdr:row>204</xdr:row>
      <xdr:rowOff>69850</xdr:rowOff>
    </xdr:to>
    <xdr:cxnSp macro="">
      <xdr:nvCxnSpPr>
        <xdr:cNvPr id="111" name="Conector reto 110">
          <a:extLst>
            <a:ext uri="{FF2B5EF4-FFF2-40B4-BE49-F238E27FC236}">
              <a16:creationId xmlns:a16="http://schemas.microsoft.com/office/drawing/2014/main" id="{9A78B3C7-1A8A-4297-B350-4CF6F99F0726}"/>
            </a:ext>
          </a:extLst>
        </xdr:cNvPr>
        <xdr:cNvCxnSpPr/>
      </xdr:nvCxnSpPr>
      <xdr:spPr>
        <a:xfrm flipV="1">
          <a:off x="10888317" y="2712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243</xdr:row>
      <xdr:rowOff>69850</xdr:rowOff>
    </xdr:from>
    <xdr:to>
      <xdr:col>8</xdr:col>
      <xdr:colOff>322217</xdr:colOff>
      <xdr:row>243</xdr:row>
      <xdr:rowOff>69850</xdr:rowOff>
    </xdr:to>
    <xdr:cxnSp macro="">
      <xdr:nvCxnSpPr>
        <xdr:cNvPr id="112" name="Conector reto 111">
          <a:extLst>
            <a:ext uri="{FF2B5EF4-FFF2-40B4-BE49-F238E27FC236}">
              <a16:creationId xmlns:a16="http://schemas.microsoft.com/office/drawing/2014/main" id="{8D94B7C0-6F76-4C3E-9D68-E2336FBD8FDC}"/>
            </a:ext>
          </a:extLst>
        </xdr:cNvPr>
        <xdr:cNvCxnSpPr/>
      </xdr:nvCxnSpPr>
      <xdr:spPr>
        <a:xfrm flipV="1">
          <a:off x="618296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243</xdr:row>
      <xdr:rowOff>69850</xdr:rowOff>
    </xdr:from>
    <xdr:to>
      <xdr:col>8</xdr:col>
      <xdr:colOff>322217</xdr:colOff>
      <xdr:row>243</xdr:row>
      <xdr:rowOff>69850</xdr:rowOff>
    </xdr:to>
    <xdr:cxnSp macro="">
      <xdr:nvCxnSpPr>
        <xdr:cNvPr id="113" name="Conector reto 112">
          <a:extLst>
            <a:ext uri="{FF2B5EF4-FFF2-40B4-BE49-F238E27FC236}">
              <a16:creationId xmlns:a16="http://schemas.microsoft.com/office/drawing/2014/main" id="{8DB7A910-0141-43BA-9471-158039A26604}"/>
            </a:ext>
          </a:extLst>
        </xdr:cNvPr>
        <xdr:cNvCxnSpPr/>
      </xdr:nvCxnSpPr>
      <xdr:spPr>
        <a:xfrm flipV="1">
          <a:off x="618296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4" name="Conector reto 113">
          <a:extLst>
            <a:ext uri="{FF2B5EF4-FFF2-40B4-BE49-F238E27FC236}">
              <a16:creationId xmlns:a16="http://schemas.microsoft.com/office/drawing/2014/main" id="{DC942A94-726C-4C69-993C-93198E287B0C}"/>
            </a:ext>
          </a:extLst>
        </xdr:cNvPr>
        <xdr:cNvCxnSpPr/>
      </xdr:nvCxnSpPr>
      <xdr:spPr>
        <a:xfrm flipV="1">
          <a:off x="1088831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5" name="Conector reto 114">
          <a:extLst>
            <a:ext uri="{FF2B5EF4-FFF2-40B4-BE49-F238E27FC236}">
              <a16:creationId xmlns:a16="http://schemas.microsoft.com/office/drawing/2014/main" id="{71408B4B-DB38-496F-9CD5-18C0CE9C66AA}"/>
            </a:ext>
          </a:extLst>
        </xdr:cNvPr>
        <xdr:cNvCxnSpPr/>
      </xdr:nvCxnSpPr>
      <xdr:spPr>
        <a:xfrm flipV="1">
          <a:off x="1088831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6" name="Conector reto 115">
          <a:extLst>
            <a:ext uri="{FF2B5EF4-FFF2-40B4-BE49-F238E27FC236}">
              <a16:creationId xmlns:a16="http://schemas.microsoft.com/office/drawing/2014/main" id="{597C01F5-D1E2-4B26-981B-39DB9A7E5EDF}"/>
            </a:ext>
          </a:extLst>
        </xdr:cNvPr>
        <xdr:cNvCxnSpPr/>
      </xdr:nvCxnSpPr>
      <xdr:spPr>
        <a:xfrm flipV="1">
          <a:off x="1088831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243</xdr:row>
      <xdr:rowOff>69850</xdr:rowOff>
    </xdr:from>
    <xdr:to>
      <xdr:col>16</xdr:col>
      <xdr:colOff>322217</xdr:colOff>
      <xdr:row>243</xdr:row>
      <xdr:rowOff>69850</xdr:rowOff>
    </xdr:to>
    <xdr:cxnSp macro="">
      <xdr:nvCxnSpPr>
        <xdr:cNvPr id="117" name="Conector reto 116">
          <a:extLst>
            <a:ext uri="{FF2B5EF4-FFF2-40B4-BE49-F238E27FC236}">
              <a16:creationId xmlns:a16="http://schemas.microsoft.com/office/drawing/2014/main" id="{A802EF1C-5219-4581-8866-FF34291E26C0}"/>
            </a:ext>
          </a:extLst>
        </xdr:cNvPr>
        <xdr:cNvCxnSpPr/>
      </xdr:nvCxnSpPr>
      <xdr:spPr>
        <a:xfrm flipV="1">
          <a:off x="10888317" y="32327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294</xdr:row>
      <xdr:rowOff>69850</xdr:rowOff>
    </xdr:from>
    <xdr:to>
      <xdr:col>8</xdr:col>
      <xdr:colOff>322217</xdr:colOff>
      <xdr:row>294</xdr:row>
      <xdr:rowOff>69850</xdr:rowOff>
    </xdr:to>
    <xdr:cxnSp macro="">
      <xdr:nvCxnSpPr>
        <xdr:cNvPr id="118" name="Conector reto 117">
          <a:extLst>
            <a:ext uri="{FF2B5EF4-FFF2-40B4-BE49-F238E27FC236}">
              <a16:creationId xmlns:a16="http://schemas.microsoft.com/office/drawing/2014/main" id="{50F58A4F-D68E-4FB5-8DEE-9F5DBC7FD254}"/>
            </a:ext>
          </a:extLst>
        </xdr:cNvPr>
        <xdr:cNvCxnSpPr/>
      </xdr:nvCxnSpPr>
      <xdr:spPr>
        <a:xfrm flipV="1">
          <a:off x="6182967" y="3912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294</xdr:row>
      <xdr:rowOff>69850</xdr:rowOff>
    </xdr:from>
    <xdr:to>
      <xdr:col>8</xdr:col>
      <xdr:colOff>322217</xdr:colOff>
      <xdr:row>294</xdr:row>
      <xdr:rowOff>69850</xdr:rowOff>
    </xdr:to>
    <xdr:cxnSp macro="">
      <xdr:nvCxnSpPr>
        <xdr:cNvPr id="119" name="Conector reto 118">
          <a:extLst>
            <a:ext uri="{FF2B5EF4-FFF2-40B4-BE49-F238E27FC236}">
              <a16:creationId xmlns:a16="http://schemas.microsoft.com/office/drawing/2014/main" id="{2036E3D7-4F8A-45ED-A6A8-4FDD44EBC81D}"/>
            </a:ext>
          </a:extLst>
        </xdr:cNvPr>
        <xdr:cNvCxnSpPr/>
      </xdr:nvCxnSpPr>
      <xdr:spPr>
        <a:xfrm flipV="1">
          <a:off x="6182967" y="3912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294</xdr:row>
      <xdr:rowOff>69850</xdr:rowOff>
    </xdr:from>
    <xdr:to>
      <xdr:col>16</xdr:col>
      <xdr:colOff>322217</xdr:colOff>
      <xdr:row>294</xdr:row>
      <xdr:rowOff>69850</xdr:rowOff>
    </xdr:to>
    <xdr:cxnSp macro="">
      <xdr:nvCxnSpPr>
        <xdr:cNvPr id="120" name="Conector reto 119">
          <a:extLst>
            <a:ext uri="{FF2B5EF4-FFF2-40B4-BE49-F238E27FC236}">
              <a16:creationId xmlns:a16="http://schemas.microsoft.com/office/drawing/2014/main" id="{08B22647-F0F5-4B51-9BD2-78232FE9AEC2}"/>
            </a:ext>
          </a:extLst>
        </xdr:cNvPr>
        <xdr:cNvCxnSpPr/>
      </xdr:nvCxnSpPr>
      <xdr:spPr>
        <a:xfrm flipV="1">
          <a:off x="10888317" y="3912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294</xdr:row>
      <xdr:rowOff>69850</xdr:rowOff>
    </xdr:from>
    <xdr:to>
      <xdr:col>16</xdr:col>
      <xdr:colOff>322217</xdr:colOff>
      <xdr:row>294</xdr:row>
      <xdr:rowOff>69850</xdr:rowOff>
    </xdr:to>
    <xdr:cxnSp macro="">
      <xdr:nvCxnSpPr>
        <xdr:cNvPr id="121" name="Conector reto 120">
          <a:extLst>
            <a:ext uri="{FF2B5EF4-FFF2-40B4-BE49-F238E27FC236}">
              <a16:creationId xmlns:a16="http://schemas.microsoft.com/office/drawing/2014/main" id="{DD95D61E-10B1-49DA-BA85-7D4D9911070E}"/>
            </a:ext>
          </a:extLst>
        </xdr:cNvPr>
        <xdr:cNvCxnSpPr/>
      </xdr:nvCxnSpPr>
      <xdr:spPr>
        <a:xfrm flipV="1">
          <a:off x="10888317" y="3912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56500</xdr:colOff>
      <xdr:row>12</xdr:row>
      <xdr:rowOff>55574</xdr:rowOff>
    </xdr:from>
    <xdr:to>
      <xdr:col>7</xdr:col>
      <xdr:colOff>323720</xdr:colOff>
      <xdr:row>19</xdr:row>
      <xdr:rowOff>92447</xdr:rowOff>
    </xdr:to>
    <xdr:grpSp>
      <xdr:nvGrpSpPr>
        <xdr:cNvPr id="122" name="Group 4">
          <a:extLst>
            <a:ext uri="{FF2B5EF4-FFF2-40B4-BE49-F238E27FC236}">
              <a16:creationId xmlns:a16="http://schemas.microsoft.com/office/drawing/2014/main" id="{5C05FC8B-86A2-9929-EF26-6497F3559897}"/>
            </a:ext>
          </a:extLst>
        </xdr:cNvPr>
        <xdr:cNvGrpSpPr/>
      </xdr:nvGrpSpPr>
      <xdr:grpSpPr>
        <a:xfrm>
          <a:off x="5358750" y="1776424"/>
          <a:ext cx="1149870" cy="970323"/>
          <a:chOff x="8324214" y="2424497"/>
          <a:chExt cx="3195244" cy="3195244"/>
        </a:xfrm>
      </xdr:grpSpPr>
      <xdr:pic>
        <xdr:nvPicPr>
          <xdr:cNvPr id="123" name="Gráfico 4" descr="Selo estrutura de tópicos">
            <a:extLst>
              <a:ext uri="{FF2B5EF4-FFF2-40B4-BE49-F238E27FC236}">
                <a16:creationId xmlns:a16="http://schemas.microsoft.com/office/drawing/2014/main" id="{612867C8-5C66-5334-1870-C20E1AC61E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 rot="19636777">
            <a:off x="8324214" y="2424497"/>
            <a:ext cx="3195244" cy="3195244"/>
          </a:xfrm>
          <a:prstGeom prst="rect">
            <a:avLst/>
          </a:prstGeom>
        </xdr:spPr>
      </xdr:pic>
      <xdr:sp macro="" textlink="">
        <xdr:nvSpPr>
          <xdr:cNvPr id="124" name="CaixaDeTexto 5">
            <a:extLst>
              <a:ext uri="{FF2B5EF4-FFF2-40B4-BE49-F238E27FC236}">
                <a16:creationId xmlns:a16="http://schemas.microsoft.com/office/drawing/2014/main" id="{B65201D9-2897-0D33-6B70-120180FA829C}"/>
              </a:ext>
            </a:extLst>
          </xdr:cNvPr>
          <xdr:cNvSpPr txBox="1"/>
        </xdr:nvSpPr>
        <xdr:spPr>
          <a:xfrm rot="19681446">
            <a:off x="9230537" y="3612270"/>
            <a:ext cx="1564221" cy="987182"/>
          </a:xfrm>
          <a:prstGeom prst="rect">
            <a:avLst/>
          </a:prstGeom>
        </xdr:spPr>
        <xdr:txBody>
          <a:bodyPr vert="horz" wrap="square" lIns="0" tIns="0" rIns="0" bIns="0" rtlCol="0">
            <a:noAutofit/>
          </a:bodyPr>
          <a:lstStyle>
            <a:defPPr>
              <a:defRPr lang="pl-P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700" b="1" i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Arial"/>
                <a:ea typeface="+mn-ea"/>
                <a:cs typeface="+mn-cs"/>
              </a:rPr>
              <a:t>Atenção ao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700" b="1" i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Arial"/>
                <a:ea typeface="+mn-ea"/>
                <a:cs typeface="+mn-cs"/>
              </a:rPr>
              <a:t>FLAG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115555</xdr:colOff>
      <xdr:row>0</xdr:row>
      <xdr:rowOff>95541</xdr:rowOff>
    </xdr:from>
    <xdr:to>
      <xdr:col>8</xdr:col>
      <xdr:colOff>402849</xdr:colOff>
      <xdr:row>22</xdr:row>
      <xdr:rowOff>63501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82981-EC51-E1BA-4B47-BD61DD9E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" y="95541"/>
          <a:ext cx="5164094" cy="2901660"/>
        </a:xfrm>
        <a:prstGeom prst="rect">
          <a:avLst/>
        </a:prstGeom>
      </xdr:spPr>
    </xdr:pic>
    <xdr:clientData/>
  </xdr:twoCellAnchor>
  <xdr:twoCellAnchor editAs="oneCell">
    <xdr:from>
      <xdr:col>8</xdr:col>
      <xdr:colOff>467416</xdr:colOff>
      <xdr:row>0</xdr:row>
      <xdr:rowOff>102340</xdr:rowOff>
    </xdr:from>
    <xdr:to>
      <xdr:col>17</xdr:col>
      <xdr:colOff>273942</xdr:colOff>
      <xdr:row>22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E6824C-D858-30E9-EE20-6D5DB76F9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4216" y="102340"/>
          <a:ext cx="5292926" cy="2869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98693</xdr:colOff>
      <xdr:row>0</xdr:row>
      <xdr:rowOff>69850</xdr:rowOff>
    </xdr:from>
    <xdr:to>
      <xdr:col>6</xdr:col>
      <xdr:colOff>76201</xdr:colOff>
      <xdr:row>15</xdr:row>
      <xdr:rowOff>112741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8F7F58-E272-2409-798A-9AB338E2B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93" y="69850"/>
          <a:ext cx="3635108" cy="2043141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0</xdr:row>
      <xdr:rowOff>68106</xdr:rowOff>
    </xdr:from>
    <xdr:to>
      <xdr:col>12</xdr:col>
      <xdr:colOff>97332</xdr:colOff>
      <xdr:row>15</xdr:row>
      <xdr:rowOff>99591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702B393-F786-7FBF-E20C-7D1B3D5F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4600" y="68106"/>
          <a:ext cx="3627932" cy="203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120650</xdr:colOff>
      <xdr:row>0</xdr:row>
      <xdr:rowOff>72655</xdr:rowOff>
    </xdr:from>
    <xdr:to>
      <xdr:col>18</xdr:col>
      <xdr:colOff>107950</xdr:colOff>
      <xdr:row>15</xdr:row>
      <xdr:rowOff>102269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35C9BB-5841-EC07-473C-D6050E5D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5850" y="72655"/>
          <a:ext cx="3644900" cy="202986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</xdr:row>
      <xdr:rowOff>54338</xdr:rowOff>
    </xdr:from>
    <xdr:to>
      <xdr:col>6</xdr:col>
      <xdr:colOff>82550</xdr:colOff>
      <xdr:row>31</xdr:row>
      <xdr:rowOff>105945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B936996-46C1-86C8-5544-4EF16E3E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2187938"/>
          <a:ext cx="3644900" cy="2051857"/>
        </a:xfrm>
        <a:prstGeom prst="rect">
          <a:avLst/>
        </a:prstGeom>
      </xdr:spPr>
    </xdr:pic>
    <xdr:clientData/>
  </xdr:twoCellAnchor>
  <xdr:twoCellAnchor editAs="oneCell">
    <xdr:from>
      <xdr:col>6</xdr:col>
      <xdr:colOff>114002</xdr:colOff>
      <xdr:row>16</xdr:row>
      <xdr:rowOff>57150</xdr:rowOff>
    </xdr:from>
    <xdr:to>
      <xdr:col>12</xdr:col>
      <xdr:colOff>116989</xdr:colOff>
      <xdr:row>31</xdr:row>
      <xdr:rowOff>107950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E810BBF-18D7-3B35-A2FD-6270522E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71602" y="2190750"/>
          <a:ext cx="3660587" cy="2051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52256</xdr:rowOff>
    </xdr:from>
    <xdr:to>
      <xdr:col>11</xdr:col>
      <xdr:colOff>445496</xdr:colOff>
      <xdr:row>29</xdr:row>
      <xdr:rowOff>2609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E7CB4D-C2AD-8696-EFF9-AFE395FA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52256"/>
          <a:ext cx="7068546" cy="3817503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29</xdr:row>
      <xdr:rowOff>49212</xdr:rowOff>
    </xdr:from>
    <xdr:to>
      <xdr:col>10</xdr:col>
      <xdr:colOff>6349</xdr:colOff>
      <xdr:row>54</xdr:row>
      <xdr:rowOff>50799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D9C921-8527-BDB4-8A0B-BC9CA24A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3916362"/>
          <a:ext cx="6019799" cy="3386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245047</xdr:colOff>
      <xdr:row>0</xdr:row>
      <xdr:rowOff>99414</xdr:rowOff>
    </xdr:from>
    <xdr:to>
      <xdr:col>8</xdr:col>
      <xdr:colOff>169615</xdr:colOff>
      <xdr:row>20</xdr:row>
      <xdr:rowOff>130261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7F5CAC-DDAE-59F7-F388-07F4925CF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047" y="99414"/>
          <a:ext cx="4801368" cy="26978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17116</xdr:colOff>
      <xdr:row>23</xdr:row>
      <xdr:rowOff>63500</xdr:rowOff>
    </xdr:from>
    <xdr:to>
      <xdr:col>9</xdr:col>
      <xdr:colOff>171449</xdr:colOff>
      <xdr:row>43</xdr:row>
      <xdr:rowOff>9550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D1D259F7-46F5-3C76-99A0-EE8E6342503D}"/>
            </a:ext>
          </a:extLst>
        </xdr:cNvPr>
        <xdr:cNvGrpSpPr/>
      </xdr:nvGrpSpPr>
      <xdr:grpSpPr>
        <a:xfrm>
          <a:off x="6075016" y="2787650"/>
          <a:ext cx="789333" cy="2346350"/>
          <a:chOff x="5871817" y="3130550"/>
          <a:chExt cx="720000" cy="2346350"/>
        </a:xfrm>
      </xdr:grpSpPr>
      <xdr:cxnSp macro="">
        <xdr:nvCxnSpPr>
          <xdr:cNvPr id="3" name="Conector reto 2">
            <a:extLst>
              <a:ext uri="{FF2B5EF4-FFF2-40B4-BE49-F238E27FC236}">
                <a16:creationId xmlns:a16="http://schemas.microsoft.com/office/drawing/2014/main" id="{39764EE6-8294-1504-F370-D86EED683F83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45445369-884E-41EA-A311-815FC57D5CA5}"/>
              </a:ext>
            </a:extLst>
          </xdr:cNvPr>
          <xdr:cNvCxnSpPr/>
        </xdr:nvCxnSpPr>
        <xdr:spPr>
          <a:xfrm>
            <a:off x="6019724" y="3136900"/>
            <a:ext cx="0" cy="646513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" name="Conector reto 1">
            <a:extLst>
              <a:ext uri="{FF2B5EF4-FFF2-40B4-BE49-F238E27FC236}">
                <a16:creationId xmlns:a16="http://schemas.microsoft.com/office/drawing/2014/main" id="{FAAE4E11-1AA9-4B43-8A1A-BE8E585784D4}"/>
              </a:ext>
            </a:extLst>
          </xdr:cNvPr>
          <xdr:cNvCxnSpPr/>
        </xdr:nvCxnSpPr>
        <xdr:spPr>
          <a:xfrm>
            <a:off x="6305550" y="3136899"/>
            <a:ext cx="0" cy="1616284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A1B1B6F0-A64B-4453-957A-780DF9AE873D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880716</xdr:colOff>
      <xdr:row>53</xdr:row>
      <xdr:rowOff>63500</xdr:rowOff>
    </xdr:from>
    <xdr:to>
      <xdr:col>9</xdr:col>
      <xdr:colOff>171449</xdr:colOff>
      <xdr:row>76</xdr:row>
      <xdr:rowOff>5500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3EB33CCB-4CF7-44F5-A8B6-C7AF3DAAC50E}"/>
            </a:ext>
          </a:extLst>
        </xdr:cNvPr>
        <xdr:cNvGrpSpPr/>
      </xdr:nvGrpSpPr>
      <xdr:grpSpPr>
        <a:xfrm>
          <a:off x="6055966" y="6388100"/>
          <a:ext cx="808383" cy="2685200"/>
          <a:chOff x="5871817" y="3130550"/>
          <a:chExt cx="720000" cy="2742350"/>
        </a:xfrm>
      </xdr:grpSpPr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3173FE44-D5E5-63DA-FA2A-2E8E9E8F9987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to 84">
            <a:extLst>
              <a:ext uri="{FF2B5EF4-FFF2-40B4-BE49-F238E27FC236}">
                <a16:creationId xmlns:a16="http://schemas.microsoft.com/office/drawing/2014/main" id="{294F3D05-9606-3A22-E49D-BC426DAD1BA9}"/>
              </a:ext>
            </a:extLst>
          </xdr:cNvPr>
          <xdr:cNvCxnSpPr/>
        </xdr:nvCxnSpPr>
        <xdr:spPr>
          <a:xfrm>
            <a:off x="6019724" y="3136900"/>
            <a:ext cx="0" cy="754612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reto 85">
            <a:extLst>
              <a:ext uri="{FF2B5EF4-FFF2-40B4-BE49-F238E27FC236}">
                <a16:creationId xmlns:a16="http://schemas.microsoft.com/office/drawing/2014/main" id="{48682FAD-903B-7F45-31DB-EE177856606A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ctor reto 86">
            <a:extLst>
              <a:ext uri="{FF2B5EF4-FFF2-40B4-BE49-F238E27FC236}">
                <a16:creationId xmlns:a16="http://schemas.microsoft.com/office/drawing/2014/main" id="{4187D1CA-B157-1423-05C8-8F076495CE4F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86</xdr:row>
      <xdr:rowOff>50800</xdr:rowOff>
    </xdr:from>
    <xdr:to>
      <xdr:col>9</xdr:col>
      <xdr:colOff>158750</xdr:colOff>
      <xdr:row>108</xdr:row>
      <xdr:rowOff>126150</xdr:rowOff>
    </xdr:to>
    <xdr:grpSp>
      <xdr:nvGrpSpPr>
        <xdr:cNvPr id="88" name="Agrupar 87">
          <a:extLst>
            <a:ext uri="{FF2B5EF4-FFF2-40B4-BE49-F238E27FC236}">
              <a16:creationId xmlns:a16="http://schemas.microsoft.com/office/drawing/2014/main" id="{F41B7A51-E568-4C42-B2C6-5A632506FB5D}"/>
            </a:ext>
          </a:extLst>
        </xdr:cNvPr>
        <xdr:cNvGrpSpPr/>
      </xdr:nvGrpSpPr>
      <xdr:grpSpPr>
        <a:xfrm>
          <a:off x="6057900" y="10318750"/>
          <a:ext cx="793750" cy="2691550"/>
          <a:chOff x="5871817" y="3130550"/>
          <a:chExt cx="720000" cy="2742350"/>
        </a:xfrm>
      </xdr:grpSpPr>
      <xdr:cxnSp macro="">
        <xdr:nvCxnSpPr>
          <xdr:cNvPr id="89" name="Conector reto 88">
            <a:extLst>
              <a:ext uri="{FF2B5EF4-FFF2-40B4-BE49-F238E27FC236}">
                <a16:creationId xmlns:a16="http://schemas.microsoft.com/office/drawing/2014/main" id="{DDEAC155-BCAB-E24C-5736-70B1C05ABE10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ctor reto 89">
            <a:extLst>
              <a:ext uri="{FF2B5EF4-FFF2-40B4-BE49-F238E27FC236}">
                <a16:creationId xmlns:a16="http://schemas.microsoft.com/office/drawing/2014/main" id="{55C54663-ECDA-F54D-C048-D5102EE5FA4B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Conector reto 90">
            <a:extLst>
              <a:ext uri="{FF2B5EF4-FFF2-40B4-BE49-F238E27FC236}">
                <a16:creationId xmlns:a16="http://schemas.microsoft.com/office/drawing/2014/main" id="{FD434AE5-A04E-1196-1D3D-F3708739954A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Conector reto 91">
            <a:extLst>
              <a:ext uri="{FF2B5EF4-FFF2-40B4-BE49-F238E27FC236}">
                <a16:creationId xmlns:a16="http://schemas.microsoft.com/office/drawing/2014/main" id="{8023A045-08E1-F833-B1E2-76C614CB9659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119</xdr:row>
      <xdr:rowOff>57150</xdr:rowOff>
    </xdr:from>
    <xdr:to>
      <xdr:col>9</xdr:col>
      <xdr:colOff>135800</xdr:colOff>
      <xdr:row>141</xdr:row>
      <xdr:rowOff>132500</xdr:rowOff>
    </xdr:to>
    <xdr:grpSp>
      <xdr:nvGrpSpPr>
        <xdr:cNvPr id="93" name="Agrupar 92">
          <a:extLst>
            <a:ext uri="{FF2B5EF4-FFF2-40B4-BE49-F238E27FC236}">
              <a16:creationId xmlns:a16="http://schemas.microsoft.com/office/drawing/2014/main" id="{5AF0F43C-7488-4D19-80F3-D5516BD93226}"/>
            </a:ext>
          </a:extLst>
        </xdr:cNvPr>
        <xdr:cNvGrpSpPr/>
      </xdr:nvGrpSpPr>
      <xdr:grpSpPr>
        <a:xfrm>
          <a:off x="6057900" y="14268450"/>
          <a:ext cx="770800" cy="2685200"/>
          <a:chOff x="5871817" y="3130550"/>
          <a:chExt cx="720000" cy="2742350"/>
        </a:xfrm>
      </xdr:grpSpPr>
      <xdr:cxnSp macro="">
        <xdr:nvCxnSpPr>
          <xdr:cNvPr id="94" name="Conector reto 93">
            <a:extLst>
              <a:ext uri="{FF2B5EF4-FFF2-40B4-BE49-F238E27FC236}">
                <a16:creationId xmlns:a16="http://schemas.microsoft.com/office/drawing/2014/main" id="{672A92C5-885E-289F-03A7-A1A9A75F5816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Conector reto 94">
            <a:extLst>
              <a:ext uri="{FF2B5EF4-FFF2-40B4-BE49-F238E27FC236}">
                <a16:creationId xmlns:a16="http://schemas.microsoft.com/office/drawing/2014/main" id="{0107B625-0D72-C404-D6B1-E8AB57FD4C11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Conector reto 95">
            <a:extLst>
              <a:ext uri="{FF2B5EF4-FFF2-40B4-BE49-F238E27FC236}">
                <a16:creationId xmlns:a16="http://schemas.microsoft.com/office/drawing/2014/main" id="{0B8F3203-B7A1-41D8-33A9-A22BFBE4A04B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Conector reto 96">
            <a:extLst>
              <a:ext uri="{FF2B5EF4-FFF2-40B4-BE49-F238E27FC236}">
                <a16:creationId xmlns:a16="http://schemas.microsoft.com/office/drawing/2014/main" id="{25148F59-93AD-56BE-5327-3B211CAFCE9B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153</xdr:row>
      <xdr:rowOff>38100</xdr:rowOff>
    </xdr:from>
    <xdr:to>
      <xdr:col>9</xdr:col>
      <xdr:colOff>135800</xdr:colOff>
      <xdr:row>179</xdr:row>
      <xdr:rowOff>12050</xdr:rowOff>
    </xdr:to>
    <xdr:grpSp>
      <xdr:nvGrpSpPr>
        <xdr:cNvPr id="98" name="Agrupar 97">
          <a:extLst>
            <a:ext uri="{FF2B5EF4-FFF2-40B4-BE49-F238E27FC236}">
              <a16:creationId xmlns:a16="http://schemas.microsoft.com/office/drawing/2014/main" id="{99DBD8B3-F3F1-45EB-9015-2DEBC3110A8F}"/>
            </a:ext>
          </a:extLst>
        </xdr:cNvPr>
        <xdr:cNvGrpSpPr/>
      </xdr:nvGrpSpPr>
      <xdr:grpSpPr>
        <a:xfrm>
          <a:off x="6057900" y="18307050"/>
          <a:ext cx="770800" cy="3060050"/>
          <a:chOff x="5871817" y="3130550"/>
          <a:chExt cx="720000" cy="3174350"/>
        </a:xfrm>
      </xdr:grpSpPr>
      <xdr:cxnSp macro="">
        <xdr:nvCxnSpPr>
          <xdr:cNvPr id="99" name="Conector reto 98">
            <a:extLst>
              <a:ext uri="{FF2B5EF4-FFF2-40B4-BE49-F238E27FC236}">
                <a16:creationId xmlns:a16="http://schemas.microsoft.com/office/drawing/2014/main" id="{A9CA80B3-5FA0-D74D-C74B-5C1690EFE335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ctor reto 99">
            <a:extLst>
              <a:ext uri="{FF2B5EF4-FFF2-40B4-BE49-F238E27FC236}">
                <a16:creationId xmlns:a16="http://schemas.microsoft.com/office/drawing/2014/main" id="{F27EF01E-8A16-47A3-0623-9179CE903CAE}"/>
              </a:ext>
            </a:extLst>
          </xdr:cNvPr>
          <xdr:cNvCxnSpPr/>
        </xdr:nvCxnSpPr>
        <xdr:spPr>
          <a:xfrm>
            <a:off x="6019724" y="3136900"/>
            <a:ext cx="0" cy="93361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Conector reto 100">
            <a:extLst>
              <a:ext uri="{FF2B5EF4-FFF2-40B4-BE49-F238E27FC236}">
                <a16:creationId xmlns:a16="http://schemas.microsoft.com/office/drawing/2014/main" id="{71235E50-B834-9663-895E-98518D01E6E9}"/>
              </a:ext>
            </a:extLst>
          </xdr:cNvPr>
          <xdr:cNvCxnSpPr/>
        </xdr:nvCxnSpPr>
        <xdr:spPr>
          <a:xfrm>
            <a:off x="6305550" y="3136900"/>
            <a:ext cx="0" cy="215863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Conector reto 101">
            <a:extLst>
              <a:ext uri="{FF2B5EF4-FFF2-40B4-BE49-F238E27FC236}">
                <a16:creationId xmlns:a16="http://schemas.microsoft.com/office/drawing/2014/main" id="{0D358E47-51D7-C0AE-AEBF-4971AF960B97}"/>
              </a:ext>
            </a:extLst>
          </xdr:cNvPr>
          <xdr:cNvCxnSpPr/>
        </xdr:nvCxnSpPr>
        <xdr:spPr>
          <a:xfrm>
            <a:off x="6591300" y="3136900"/>
            <a:ext cx="0" cy="3168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880717</xdr:colOff>
      <xdr:row>37</xdr:row>
      <xdr:rowOff>63500</xdr:rowOff>
    </xdr:from>
    <xdr:to>
      <xdr:col>7</xdr:col>
      <xdr:colOff>322067</xdr:colOff>
      <xdr:row>37</xdr:row>
      <xdr:rowOff>63500</xdr:rowOff>
    </xdr:to>
    <xdr:cxnSp macro="">
      <xdr:nvCxnSpPr>
        <xdr:cNvPr id="103" name="Conector reto 102">
          <a:extLst>
            <a:ext uri="{FF2B5EF4-FFF2-40B4-BE49-F238E27FC236}">
              <a16:creationId xmlns:a16="http://schemas.microsoft.com/office/drawing/2014/main" id="{CECD6752-CE85-421E-BDF8-4A5138DBAA7F}"/>
            </a:ext>
          </a:extLst>
        </xdr:cNvPr>
        <xdr:cNvCxnSpPr/>
      </xdr:nvCxnSpPr>
      <xdr:spPr>
        <a:xfrm flipV="1">
          <a:off x="5852767" y="45974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43</xdr:row>
      <xdr:rowOff>69850</xdr:rowOff>
    </xdr:from>
    <xdr:to>
      <xdr:col>8</xdr:col>
      <xdr:colOff>322217</xdr:colOff>
      <xdr:row>43</xdr:row>
      <xdr:rowOff>69850</xdr:rowOff>
    </xdr:to>
    <xdr:cxnSp macro="">
      <xdr:nvCxnSpPr>
        <xdr:cNvPr id="104" name="Conector reto 103">
          <a:extLst>
            <a:ext uri="{FF2B5EF4-FFF2-40B4-BE49-F238E27FC236}">
              <a16:creationId xmlns:a16="http://schemas.microsoft.com/office/drawing/2014/main" id="{BAD8F69A-ED5B-49E2-8B67-E927C08DB6D5}"/>
            </a:ext>
          </a:extLst>
        </xdr:cNvPr>
        <xdr:cNvCxnSpPr/>
      </xdr:nvCxnSpPr>
      <xdr:spPr>
        <a:xfrm flipV="1">
          <a:off x="5852767" y="5403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69</xdr:row>
      <xdr:rowOff>69850</xdr:rowOff>
    </xdr:from>
    <xdr:to>
      <xdr:col>8</xdr:col>
      <xdr:colOff>150</xdr:colOff>
      <xdr:row>69</xdr:row>
      <xdr:rowOff>69850</xdr:rowOff>
    </xdr:to>
    <xdr:cxnSp macro="">
      <xdr:nvCxnSpPr>
        <xdr:cNvPr id="105" name="Conector reto 104">
          <a:extLst>
            <a:ext uri="{FF2B5EF4-FFF2-40B4-BE49-F238E27FC236}">
              <a16:creationId xmlns:a16="http://schemas.microsoft.com/office/drawing/2014/main" id="{3A1751AE-2B19-494B-ADB6-E1C901A485AB}"/>
            </a:ext>
          </a:extLst>
        </xdr:cNvPr>
        <xdr:cNvCxnSpPr/>
      </xdr:nvCxnSpPr>
      <xdr:spPr>
        <a:xfrm flipV="1">
          <a:off x="5854700" y="8470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76</xdr:row>
      <xdr:rowOff>69850</xdr:rowOff>
    </xdr:from>
    <xdr:to>
      <xdr:col>9</xdr:col>
      <xdr:colOff>3384</xdr:colOff>
      <xdr:row>76</xdr:row>
      <xdr:rowOff>69850</xdr:rowOff>
    </xdr:to>
    <xdr:cxnSp macro="">
      <xdr:nvCxnSpPr>
        <xdr:cNvPr id="106" name="Conector reto 105">
          <a:extLst>
            <a:ext uri="{FF2B5EF4-FFF2-40B4-BE49-F238E27FC236}">
              <a16:creationId xmlns:a16="http://schemas.microsoft.com/office/drawing/2014/main" id="{4A1B018E-B7A5-4FF7-8725-92249E68F7B7}"/>
            </a:ext>
          </a:extLst>
        </xdr:cNvPr>
        <xdr:cNvCxnSpPr/>
      </xdr:nvCxnSpPr>
      <xdr:spPr>
        <a:xfrm flipV="1">
          <a:off x="5857784" y="94043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102</xdr:row>
      <xdr:rowOff>69850</xdr:rowOff>
    </xdr:from>
    <xdr:to>
      <xdr:col>8</xdr:col>
      <xdr:colOff>150</xdr:colOff>
      <xdr:row>102</xdr:row>
      <xdr:rowOff>69850</xdr:rowOff>
    </xdr:to>
    <xdr:cxnSp macro="">
      <xdr:nvCxnSpPr>
        <xdr:cNvPr id="107" name="Conector reto 106">
          <a:extLst>
            <a:ext uri="{FF2B5EF4-FFF2-40B4-BE49-F238E27FC236}">
              <a16:creationId xmlns:a16="http://schemas.microsoft.com/office/drawing/2014/main" id="{085DE432-BCE2-411B-AFEA-403CC4536D00}"/>
            </a:ext>
          </a:extLst>
        </xdr:cNvPr>
        <xdr:cNvCxnSpPr/>
      </xdr:nvCxnSpPr>
      <xdr:spPr>
        <a:xfrm flipV="1">
          <a:off x="5854700" y="124714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109</xdr:row>
      <xdr:rowOff>63500</xdr:rowOff>
    </xdr:from>
    <xdr:to>
      <xdr:col>9</xdr:col>
      <xdr:colOff>3384</xdr:colOff>
      <xdr:row>109</xdr:row>
      <xdr:rowOff>63500</xdr:rowOff>
    </xdr:to>
    <xdr:cxnSp macro="">
      <xdr:nvCxnSpPr>
        <xdr:cNvPr id="108" name="Conector reto 107">
          <a:extLst>
            <a:ext uri="{FF2B5EF4-FFF2-40B4-BE49-F238E27FC236}">
              <a16:creationId xmlns:a16="http://schemas.microsoft.com/office/drawing/2014/main" id="{C37E0C1C-F430-40DF-A2B9-B45FC26C1DDA}"/>
            </a:ext>
          </a:extLst>
        </xdr:cNvPr>
        <xdr:cNvCxnSpPr/>
      </xdr:nvCxnSpPr>
      <xdr:spPr>
        <a:xfrm flipV="1">
          <a:off x="5857784" y="133985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69850</xdr:rowOff>
    </xdr:from>
    <xdr:to>
      <xdr:col>8</xdr:col>
      <xdr:colOff>150</xdr:colOff>
      <xdr:row>135</xdr:row>
      <xdr:rowOff>69850</xdr:rowOff>
    </xdr:to>
    <xdr:cxnSp macro="">
      <xdr:nvCxnSpPr>
        <xdr:cNvPr id="109" name="Conector reto 108">
          <a:extLst>
            <a:ext uri="{FF2B5EF4-FFF2-40B4-BE49-F238E27FC236}">
              <a16:creationId xmlns:a16="http://schemas.microsoft.com/office/drawing/2014/main" id="{D34CA8AF-FC71-4325-AE39-6E4010F5B79E}"/>
            </a:ext>
          </a:extLst>
        </xdr:cNvPr>
        <xdr:cNvCxnSpPr/>
      </xdr:nvCxnSpPr>
      <xdr:spPr>
        <a:xfrm flipV="1">
          <a:off x="5854700" y="1647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142</xdr:row>
      <xdr:rowOff>69850</xdr:rowOff>
    </xdr:from>
    <xdr:to>
      <xdr:col>9</xdr:col>
      <xdr:colOff>3384</xdr:colOff>
      <xdr:row>142</xdr:row>
      <xdr:rowOff>69850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0DC3212A-0F23-4D2C-AE2A-4B89819E2A7A}"/>
            </a:ext>
          </a:extLst>
        </xdr:cNvPr>
        <xdr:cNvCxnSpPr/>
      </xdr:nvCxnSpPr>
      <xdr:spPr>
        <a:xfrm flipV="1">
          <a:off x="5857784" y="174053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171</xdr:row>
      <xdr:rowOff>69850</xdr:rowOff>
    </xdr:from>
    <xdr:to>
      <xdr:col>8</xdr:col>
      <xdr:colOff>150</xdr:colOff>
      <xdr:row>171</xdr:row>
      <xdr:rowOff>69850</xdr:rowOff>
    </xdr:to>
    <xdr:cxnSp macro="">
      <xdr:nvCxnSpPr>
        <xdr:cNvPr id="111" name="Conector reto 110">
          <a:extLst>
            <a:ext uri="{FF2B5EF4-FFF2-40B4-BE49-F238E27FC236}">
              <a16:creationId xmlns:a16="http://schemas.microsoft.com/office/drawing/2014/main" id="{422B4BA5-D6FC-4AAB-8C4F-D80204536399}"/>
            </a:ext>
          </a:extLst>
        </xdr:cNvPr>
        <xdr:cNvCxnSpPr/>
      </xdr:nvCxnSpPr>
      <xdr:spPr>
        <a:xfrm flipV="1">
          <a:off x="5854700" y="208724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179</xdr:row>
      <xdr:rowOff>69850</xdr:rowOff>
    </xdr:from>
    <xdr:to>
      <xdr:col>9</xdr:col>
      <xdr:colOff>3384</xdr:colOff>
      <xdr:row>179</xdr:row>
      <xdr:rowOff>69850</xdr:rowOff>
    </xdr:to>
    <xdr:cxnSp macro="">
      <xdr:nvCxnSpPr>
        <xdr:cNvPr id="112" name="Conector reto 111">
          <a:extLst>
            <a:ext uri="{FF2B5EF4-FFF2-40B4-BE49-F238E27FC236}">
              <a16:creationId xmlns:a16="http://schemas.microsoft.com/office/drawing/2014/main" id="{06FE19F9-D8D6-4255-99FC-470295DD178D}"/>
            </a:ext>
          </a:extLst>
        </xdr:cNvPr>
        <xdr:cNvCxnSpPr/>
      </xdr:nvCxnSpPr>
      <xdr:spPr>
        <a:xfrm flipV="1">
          <a:off x="5857784" y="21939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17117</xdr:colOff>
      <xdr:row>23</xdr:row>
      <xdr:rowOff>63500</xdr:rowOff>
    </xdr:from>
    <xdr:to>
      <xdr:col>17</xdr:col>
      <xdr:colOff>152917</xdr:colOff>
      <xdr:row>43</xdr:row>
      <xdr:rowOff>9550</xdr:rowOff>
    </xdr:to>
    <xdr:grpSp>
      <xdr:nvGrpSpPr>
        <xdr:cNvPr id="148" name="Agrupar 147">
          <a:extLst>
            <a:ext uri="{FF2B5EF4-FFF2-40B4-BE49-F238E27FC236}">
              <a16:creationId xmlns:a16="http://schemas.microsoft.com/office/drawing/2014/main" id="{A6299328-8731-4942-B999-AD5CE2B65ADB}"/>
            </a:ext>
          </a:extLst>
        </xdr:cNvPr>
        <xdr:cNvGrpSpPr/>
      </xdr:nvGrpSpPr>
      <xdr:grpSpPr>
        <a:xfrm>
          <a:off x="9650067" y="2787650"/>
          <a:ext cx="770800" cy="2346350"/>
          <a:chOff x="5871817" y="3130550"/>
          <a:chExt cx="720000" cy="2346350"/>
        </a:xfrm>
      </xdr:grpSpPr>
      <xdr:cxnSp macro="">
        <xdr:nvCxnSpPr>
          <xdr:cNvPr id="149" name="Conector reto 148">
            <a:extLst>
              <a:ext uri="{FF2B5EF4-FFF2-40B4-BE49-F238E27FC236}">
                <a16:creationId xmlns:a16="http://schemas.microsoft.com/office/drawing/2014/main" id="{82F9CE9B-4126-571E-E73B-848F064C5B5C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Conector reto 149">
            <a:extLst>
              <a:ext uri="{FF2B5EF4-FFF2-40B4-BE49-F238E27FC236}">
                <a16:creationId xmlns:a16="http://schemas.microsoft.com/office/drawing/2014/main" id="{09AA7961-40EA-B576-D604-1A45255C9CDE}"/>
              </a:ext>
            </a:extLst>
          </xdr:cNvPr>
          <xdr:cNvCxnSpPr/>
        </xdr:nvCxnSpPr>
        <xdr:spPr>
          <a:xfrm>
            <a:off x="6019724" y="3136900"/>
            <a:ext cx="0" cy="646513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Conector reto 150">
            <a:extLst>
              <a:ext uri="{FF2B5EF4-FFF2-40B4-BE49-F238E27FC236}">
                <a16:creationId xmlns:a16="http://schemas.microsoft.com/office/drawing/2014/main" id="{3C048991-8BC7-43B1-E377-5883D6C79849}"/>
              </a:ext>
            </a:extLst>
          </xdr:cNvPr>
          <xdr:cNvCxnSpPr/>
        </xdr:nvCxnSpPr>
        <xdr:spPr>
          <a:xfrm>
            <a:off x="6305550" y="3136899"/>
            <a:ext cx="0" cy="1616284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Conector reto 151">
            <a:extLst>
              <a:ext uri="{FF2B5EF4-FFF2-40B4-BE49-F238E27FC236}">
                <a16:creationId xmlns:a16="http://schemas.microsoft.com/office/drawing/2014/main" id="{BC8D001F-4B48-600B-8E50-9DDCCC5A911C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53</xdr:row>
      <xdr:rowOff>63500</xdr:rowOff>
    </xdr:from>
    <xdr:to>
      <xdr:col>17</xdr:col>
      <xdr:colOff>133867</xdr:colOff>
      <xdr:row>76</xdr:row>
      <xdr:rowOff>5500</xdr:rowOff>
    </xdr:to>
    <xdr:grpSp>
      <xdr:nvGrpSpPr>
        <xdr:cNvPr id="153" name="Agrupar 152">
          <a:extLst>
            <a:ext uri="{FF2B5EF4-FFF2-40B4-BE49-F238E27FC236}">
              <a16:creationId xmlns:a16="http://schemas.microsoft.com/office/drawing/2014/main" id="{3E211561-E113-4B48-8131-AEB1EC3814BC}"/>
            </a:ext>
          </a:extLst>
        </xdr:cNvPr>
        <xdr:cNvGrpSpPr/>
      </xdr:nvGrpSpPr>
      <xdr:grpSpPr>
        <a:xfrm>
          <a:off x="9631017" y="6388100"/>
          <a:ext cx="770800" cy="2685200"/>
          <a:chOff x="5871817" y="3130550"/>
          <a:chExt cx="720000" cy="2742350"/>
        </a:xfrm>
      </xdr:grpSpPr>
      <xdr:cxnSp macro="">
        <xdr:nvCxnSpPr>
          <xdr:cNvPr id="154" name="Conector reto 153">
            <a:extLst>
              <a:ext uri="{FF2B5EF4-FFF2-40B4-BE49-F238E27FC236}">
                <a16:creationId xmlns:a16="http://schemas.microsoft.com/office/drawing/2014/main" id="{7CC5467F-A9F7-C105-19E7-57EBAADC15E3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Conector reto 154">
            <a:extLst>
              <a:ext uri="{FF2B5EF4-FFF2-40B4-BE49-F238E27FC236}">
                <a16:creationId xmlns:a16="http://schemas.microsoft.com/office/drawing/2014/main" id="{A93D0ACB-AFA4-7BF2-C277-31FF3AD7A01D}"/>
              </a:ext>
            </a:extLst>
          </xdr:cNvPr>
          <xdr:cNvCxnSpPr/>
        </xdr:nvCxnSpPr>
        <xdr:spPr>
          <a:xfrm>
            <a:off x="6019724" y="3136900"/>
            <a:ext cx="0" cy="754612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Conector reto 155">
            <a:extLst>
              <a:ext uri="{FF2B5EF4-FFF2-40B4-BE49-F238E27FC236}">
                <a16:creationId xmlns:a16="http://schemas.microsoft.com/office/drawing/2014/main" id="{A797B488-82BF-758F-D7FF-A2995A08CEAA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Conector reto 156">
            <a:extLst>
              <a:ext uri="{FF2B5EF4-FFF2-40B4-BE49-F238E27FC236}">
                <a16:creationId xmlns:a16="http://schemas.microsoft.com/office/drawing/2014/main" id="{AAF3BFB8-C8D8-8E01-059D-F5A8245763A2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86</xdr:row>
      <xdr:rowOff>50800</xdr:rowOff>
    </xdr:from>
    <xdr:to>
      <xdr:col>17</xdr:col>
      <xdr:colOff>135800</xdr:colOff>
      <xdr:row>108</xdr:row>
      <xdr:rowOff>126150</xdr:rowOff>
    </xdr:to>
    <xdr:grpSp>
      <xdr:nvGrpSpPr>
        <xdr:cNvPr id="158" name="Agrupar 157">
          <a:extLst>
            <a:ext uri="{FF2B5EF4-FFF2-40B4-BE49-F238E27FC236}">
              <a16:creationId xmlns:a16="http://schemas.microsoft.com/office/drawing/2014/main" id="{1C0F228F-70DB-436E-B37D-EF040175536C}"/>
            </a:ext>
          </a:extLst>
        </xdr:cNvPr>
        <xdr:cNvGrpSpPr/>
      </xdr:nvGrpSpPr>
      <xdr:grpSpPr>
        <a:xfrm>
          <a:off x="9632950" y="10318750"/>
          <a:ext cx="770800" cy="2691550"/>
          <a:chOff x="5871817" y="3130550"/>
          <a:chExt cx="720000" cy="2742350"/>
        </a:xfrm>
      </xdr:grpSpPr>
      <xdr:cxnSp macro="">
        <xdr:nvCxnSpPr>
          <xdr:cNvPr id="159" name="Conector reto 158">
            <a:extLst>
              <a:ext uri="{FF2B5EF4-FFF2-40B4-BE49-F238E27FC236}">
                <a16:creationId xmlns:a16="http://schemas.microsoft.com/office/drawing/2014/main" id="{72C6D606-71A2-EA0C-164E-CE21A8DE0E61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Conector reto 159">
            <a:extLst>
              <a:ext uri="{FF2B5EF4-FFF2-40B4-BE49-F238E27FC236}">
                <a16:creationId xmlns:a16="http://schemas.microsoft.com/office/drawing/2014/main" id="{25BA80BD-0E8D-FD13-93DE-B01B2EAC4014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Conector reto 160">
            <a:extLst>
              <a:ext uri="{FF2B5EF4-FFF2-40B4-BE49-F238E27FC236}">
                <a16:creationId xmlns:a16="http://schemas.microsoft.com/office/drawing/2014/main" id="{68A74594-9B03-7A79-CCCE-5303BF1E4CE5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Conector reto 161">
            <a:extLst>
              <a:ext uri="{FF2B5EF4-FFF2-40B4-BE49-F238E27FC236}">
                <a16:creationId xmlns:a16="http://schemas.microsoft.com/office/drawing/2014/main" id="{3B772E62-811B-9857-CBE8-B94D2864F0BB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119</xdr:row>
      <xdr:rowOff>57150</xdr:rowOff>
    </xdr:from>
    <xdr:to>
      <xdr:col>17</xdr:col>
      <xdr:colOff>135800</xdr:colOff>
      <xdr:row>141</xdr:row>
      <xdr:rowOff>132500</xdr:rowOff>
    </xdr:to>
    <xdr:grpSp>
      <xdr:nvGrpSpPr>
        <xdr:cNvPr id="241" name="Agrupar 240">
          <a:extLst>
            <a:ext uri="{FF2B5EF4-FFF2-40B4-BE49-F238E27FC236}">
              <a16:creationId xmlns:a16="http://schemas.microsoft.com/office/drawing/2014/main" id="{4F9EF88F-6590-47EB-922A-545B8A5A4C13}"/>
            </a:ext>
          </a:extLst>
        </xdr:cNvPr>
        <xdr:cNvGrpSpPr/>
      </xdr:nvGrpSpPr>
      <xdr:grpSpPr>
        <a:xfrm>
          <a:off x="9632950" y="14268450"/>
          <a:ext cx="770800" cy="2685200"/>
          <a:chOff x="5871817" y="3130550"/>
          <a:chExt cx="720000" cy="2742350"/>
        </a:xfrm>
      </xdr:grpSpPr>
      <xdr:cxnSp macro="">
        <xdr:nvCxnSpPr>
          <xdr:cNvPr id="242" name="Conector reto 241">
            <a:extLst>
              <a:ext uri="{FF2B5EF4-FFF2-40B4-BE49-F238E27FC236}">
                <a16:creationId xmlns:a16="http://schemas.microsoft.com/office/drawing/2014/main" id="{CC206AFC-6CE8-A8EF-6B58-2A8874338C3C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Conector reto 242">
            <a:extLst>
              <a:ext uri="{FF2B5EF4-FFF2-40B4-BE49-F238E27FC236}">
                <a16:creationId xmlns:a16="http://schemas.microsoft.com/office/drawing/2014/main" id="{C06DEAD4-1089-8E5C-F2C9-464B6D18664D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4" name="Conector reto 243">
            <a:extLst>
              <a:ext uri="{FF2B5EF4-FFF2-40B4-BE49-F238E27FC236}">
                <a16:creationId xmlns:a16="http://schemas.microsoft.com/office/drawing/2014/main" id="{3086C9BB-4B65-0974-A6AC-5319CE14E229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Conector reto 244">
            <a:extLst>
              <a:ext uri="{FF2B5EF4-FFF2-40B4-BE49-F238E27FC236}">
                <a16:creationId xmlns:a16="http://schemas.microsoft.com/office/drawing/2014/main" id="{A7564C92-6AE1-7191-A4B5-A0675C4D6589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153</xdr:row>
      <xdr:rowOff>38100</xdr:rowOff>
    </xdr:from>
    <xdr:to>
      <xdr:col>17</xdr:col>
      <xdr:colOff>135800</xdr:colOff>
      <xdr:row>179</xdr:row>
      <xdr:rowOff>12050</xdr:rowOff>
    </xdr:to>
    <xdr:grpSp>
      <xdr:nvGrpSpPr>
        <xdr:cNvPr id="246" name="Agrupar 245">
          <a:extLst>
            <a:ext uri="{FF2B5EF4-FFF2-40B4-BE49-F238E27FC236}">
              <a16:creationId xmlns:a16="http://schemas.microsoft.com/office/drawing/2014/main" id="{C0407ACE-D659-4EB9-899C-9A279FB3E69A}"/>
            </a:ext>
          </a:extLst>
        </xdr:cNvPr>
        <xdr:cNvGrpSpPr/>
      </xdr:nvGrpSpPr>
      <xdr:grpSpPr>
        <a:xfrm>
          <a:off x="9632950" y="18307050"/>
          <a:ext cx="770800" cy="3060050"/>
          <a:chOff x="5871817" y="3130550"/>
          <a:chExt cx="720000" cy="3174350"/>
        </a:xfrm>
      </xdr:grpSpPr>
      <xdr:cxnSp macro="">
        <xdr:nvCxnSpPr>
          <xdr:cNvPr id="247" name="Conector reto 246">
            <a:extLst>
              <a:ext uri="{FF2B5EF4-FFF2-40B4-BE49-F238E27FC236}">
                <a16:creationId xmlns:a16="http://schemas.microsoft.com/office/drawing/2014/main" id="{AD201E0A-A5DC-630C-2B97-CF3D2399DACF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Conector reto 247">
            <a:extLst>
              <a:ext uri="{FF2B5EF4-FFF2-40B4-BE49-F238E27FC236}">
                <a16:creationId xmlns:a16="http://schemas.microsoft.com/office/drawing/2014/main" id="{59888C58-DC88-D5EF-5305-513E6A18C372}"/>
              </a:ext>
            </a:extLst>
          </xdr:cNvPr>
          <xdr:cNvCxnSpPr/>
        </xdr:nvCxnSpPr>
        <xdr:spPr>
          <a:xfrm>
            <a:off x="6019724" y="3136900"/>
            <a:ext cx="0" cy="93361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Conector reto 248">
            <a:extLst>
              <a:ext uri="{FF2B5EF4-FFF2-40B4-BE49-F238E27FC236}">
                <a16:creationId xmlns:a16="http://schemas.microsoft.com/office/drawing/2014/main" id="{6054D687-246B-B979-B578-8B64B6FFED79}"/>
              </a:ext>
            </a:extLst>
          </xdr:cNvPr>
          <xdr:cNvCxnSpPr/>
        </xdr:nvCxnSpPr>
        <xdr:spPr>
          <a:xfrm>
            <a:off x="6305550" y="3136900"/>
            <a:ext cx="0" cy="215863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Conector reto 249">
            <a:extLst>
              <a:ext uri="{FF2B5EF4-FFF2-40B4-BE49-F238E27FC236}">
                <a16:creationId xmlns:a16="http://schemas.microsoft.com/office/drawing/2014/main" id="{0F2C01D8-2293-C519-5469-D7EABFA86B7D}"/>
              </a:ext>
            </a:extLst>
          </xdr:cNvPr>
          <xdr:cNvCxnSpPr/>
        </xdr:nvCxnSpPr>
        <xdr:spPr>
          <a:xfrm>
            <a:off x="6591300" y="3136900"/>
            <a:ext cx="0" cy="3168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37</xdr:row>
      <xdr:rowOff>69850</xdr:rowOff>
    </xdr:from>
    <xdr:to>
      <xdr:col>15</xdr:col>
      <xdr:colOff>322067</xdr:colOff>
      <xdr:row>37</xdr:row>
      <xdr:rowOff>69850</xdr:rowOff>
    </xdr:to>
    <xdr:cxnSp macro="">
      <xdr:nvCxnSpPr>
        <xdr:cNvPr id="251" name="Conector reto 250">
          <a:extLst>
            <a:ext uri="{FF2B5EF4-FFF2-40B4-BE49-F238E27FC236}">
              <a16:creationId xmlns:a16="http://schemas.microsoft.com/office/drawing/2014/main" id="{50C7AEFD-A069-4242-8043-8F35527E2E61}"/>
            </a:ext>
          </a:extLst>
        </xdr:cNvPr>
        <xdr:cNvCxnSpPr/>
      </xdr:nvCxnSpPr>
      <xdr:spPr>
        <a:xfrm flipV="1">
          <a:off x="9764367" y="4603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43</xdr:row>
      <xdr:rowOff>69850</xdr:rowOff>
    </xdr:from>
    <xdr:to>
      <xdr:col>16</xdr:col>
      <xdr:colOff>322217</xdr:colOff>
      <xdr:row>43</xdr:row>
      <xdr:rowOff>69850</xdr:rowOff>
    </xdr:to>
    <xdr:cxnSp macro="">
      <xdr:nvCxnSpPr>
        <xdr:cNvPr id="252" name="Conector reto 251">
          <a:extLst>
            <a:ext uri="{FF2B5EF4-FFF2-40B4-BE49-F238E27FC236}">
              <a16:creationId xmlns:a16="http://schemas.microsoft.com/office/drawing/2014/main" id="{48782BB4-6EF9-4BDF-9124-15F1F3F2BE2B}"/>
            </a:ext>
          </a:extLst>
        </xdr:cNvPr>
        <xdr:cNvCxnSpPr/>
      </xdr:nvCxnSpPr>
      <xdr:spPr>
        <a:xfrm flipV="1">
          <a:off x="9764367" y="5403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69</xdr:row>
      <xdr:rowOff>69850</xdr:rowOff>
    </xdr:from>
    <xdr:to>
      <xdr:col>16</xdr:col>
      <xdr:colOff>150</xdr:colOff>
      <xdr:row>69</xdr:row>
      <xdr:rowOff>69850</xdr:rowOff>
    </xdr:to>
    <xdr:cxnSp macro="">
      <xdr:nvCxnSpPr>
        <xdr:cNvPr id="253" name="Conector reto 252">
          <a:extLst>
            <a:ext uri="{FF2B5EF4-FFF2-40B4-BE49-F238E27FC236}">
              <a16:creationId xmlns:a16="http://schemas.microsoft.com/office/drawing/2014/main" id="{64ACC0C1-CE60-44AC-A806-97303A3DDB90}"/>
            </a:ext>
          </a:extLst>
        </xdr:cNvPr>
        <xdr:cNvCxnSpPr/>
      </xdr:nvCxnSpPr>
      <xdr:spPr>
        <a:xfrm flipV="1">
          <a:off x="9766300" y="8470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76</xdr:row>
      <xdr:rowOff>69850</xdr:rowOff>
    </xdr:from>
    <xdr:to>
      <xdr:col>17</xdr:col>
      <xdr:colOff>3384</xdr:colOff>
      <xdr:row>76</xdr:row>
      <xdr:rowOff>69850</xdr:rowOff>
    </xdr:to>
    <xdr:cxnSp macro="">
      <xdr:nvCxnSpPr>
        <xdr:cNvPr id="254" name="Conector reto 253">
          <a:extLst>
            <a:ext uri="{FF2B5EF4-FFF2-40B4-BE49-F238E27FC236}">
              <a16:creationId xmlns:a16="http://schemas.microsoft.com/office/drawing/2014/main" id="{47D4B473-6F7C-4B81-AC57-2618CF5A97ED}"/>
            </a:ext>
          </a:extLst>
        </xdr:cNvPr>
        <xdr:cNvCxnSpPr/>
      </xdr:nvCxnSpPr>
      <xdr:spPr>
        <a:xfrm flipV="1">
          <a:off x="9769384" y="94043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102</xdr:row>
      <xdr:rowOff>69850</xdr:rowOff>
    </xdr:from>
    <xdr:to>
      <xdr:col>16</xdr:col>
      <xdr:colOff>150</xdr:colOff>
      <xdr:row>102</xdr:row>
      <xdr:rowOff>69850</xdr:rowOff>
    </xdr:to>
    <xdr:cxnSp macro="">
      <xdr:nvCxnSpPr>
        <xdr:cNvPr id="255" name="Conector reto 254">
          <a:extLst>
            <a:ext uri="{FF2B5EF4-FFF2-40B4-BE49-F238E27FC236}">
              <a16:creationId xmlns:a16="http://schemas.microsoft.com/office/drawing/2014/main" id="{C1B951A8-2614-4052-A53B-E4DEB9DA1D40}"/>
            </a:ext>
          </a:extLst>
        </xdr:cNvPr>
        <xdr:cNvCxnSpPr/>
      </xdr:nvCxnSpPr>
      <xdr:spPr>
        <a:xfrm flipV="1">
          <a:off x="9766300" y="124714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109</xdr:row>
      <xdr:rowOff>63500</xdr:rowOff>
    </xdr:from>
    <xdr:to>
      <xdr:col>17</xdr:col>
      <xdr:colOff>3384</xdr:colOff>
      <xdr:row>109</xdr:row>
      <xdr:rowOff>63500</xdr:rowOff>
    </xdr:to>
    <xdr:cxnSp macro="">
      <xdr:nvCxnSpPr>
        <xdr:cNvPr id="256" name="Conector reto 255">
          <a:extLst>
            <a:ext uri="{FF2B5EF4-FFF2-40B4-BE49-F238E27FC236}">
              <a16:creationId xmlns:a16="http://schemas.microsoft.com/office/drawing/2014/main" id="{A123F30C-E6F7-47B3-9677-BE160C23A3C5}"/>
            </a:ext>
          </a:extLst>
        </xdr:cNvPr>
        <xdr:cNvCxnSpPr/>
      </xdr:nvCxnSpPr>
      <xdr:spPr>
        <a:xfrm flipV="1">
          <a:off x="9769384" y="133985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135</xdr:row>
      <xdr:rowOff>69850</xdr:rowOff>
    </xdr:from>
    <xdr:to>
      <xdr:col>16</xdr:col>
      <xdr:colOff>150</xdr:colOff>
      <xdr:row>135</xdr:row>
      <xdr:rowOff>69850</xdr:rowOff>
    </xdr:to>
    <xdr:cxnSp macro="">
      <xdr:nvCxnSpPr>
        <xdr:cNvPr id="257" name="Conector reto 256">
          <a:extLst>
            <a:ext uri="{FF2B5EF4-FFF2-40B4-BE49-F238E27FC236}">
              <a16:creationId xmlns:a16="http://schemas.microsoft.com/office/drawing/2014/main" id="{B11426FE-7377-4259-BBEA-22AEA91EF01D}"/>
            </a:ext>
          </a:extLst>
        </xdr:cNvPr>
        <xdr:cNvCxnSpPr/>
      </xdr:nvCxnSpPr>
      <xdr:spPr>
        <a:xfrm flipV="1">
          <a:off x="9766300" y="164719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142</xdr:row>
      <xdr:rowOff>69850</xdr:rowOff>
    </xdr:from>
    <xdr:to>
      <xdr:col>17</xdr:col>
      <xdr:colOff>3384</xdr:colOff>
      <xdr:row>142</xdr:row>
      <xdr:rowOff>69850</xdr:rowOff>
    </xdr:to>
    <xdr:cxnSp macro="">
      <xdr:nvCxnSpPr>
        <xdr:cNvPr id="258" name="Conector reto 257">
          <a:extLst>
            <a:ext uri="{FF2B5EF4-FFF2-40B4-BE49-F238E27FC236}">
              <a16:creationId xmlns:a16="http://schemas.microsoft.com/office/drawing/2014/main" id="{5F353E74-8A75-425B-A3B7-59A056E16899}"/>
            </a:ext>
          </a:extLst>
        </xdr:cNvPr>
        <xdr:cNvCxnSpPr/>
      </xdr:nvCxnSpPr>
      <xdr:spPr>
        <a:xfrm flipV="1">
          <a:off x="9769384" y="174053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171</xdr:row>
      <xdr:rowOff>69850</xdr:rowOff>
    </xdr:from>
    <xdr:to>
      <xdr:col>16</xdr:col>
      <xdr:colOff>150</xdr:colOff>
      <xdr:row>171</xdr:row>
      <xdr:rowOff>69850</xdr:rowOff>
    </xdr:to>
    <xdr:cxnSp macro="">
      <xdr:nvCxnSpPr>
        <xdr:cNvPr id="259" name="Conector reto 258">
          <a:extLst>
            <a:ext uri="{FF2B5EF4-FFF2-40B4-BE49-F238E27FC236}">
              <a16:creationId xmlns:a16="http://schemas.microsoft.com/office/drawing/2014/main" id="{E2BB5B2E-3449-48F1-8E5F-DD40B10043E5}"/>
            </a:ext>
          </a:extLst>
        </xdr:cNvPr>
        <xdr:cNvCxnSpPr/>
      </xdr:nvCxnSpPr>
      <xdr:spPr>
        <a:xfrm flipV="1">
          <a:off x="9766300" y="208724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179</xdr:row>
      <xdr:rowOff>69850</xdr:rowOff>
    </xdr:from>
    <xdr:to>
      <xdr:col>17</xdr:col>
      <xdr:colOff>3384</xdr:colOff>
      <xdr:row>179</xdr:row>
      <xdr:rowOff>69850</xdr:rowOff>
    </xdr:to>
    <xdr:cxnSp macro="">
      <xdr:nvCxnSpPr>
        <xdr:cNvPr id="260" name="Conector reto 259">
          <a:extLst>
            <a:ext uri="{FF2B5EF4-FFF2-40B4-BE49-F238E27FC236}">
              <a16:creationId xmlns:a16="http://schemas.microsoft.com/office/drawing/2014/main" id="{86B2B53F-59B3-4F14-8AAD-F4C86EAB4CFF}"/>
            </a:ext>
          </a:extLst>
        </xdr:cNvPr>
        <xdr:cNvCxnSpPr/>
      </xdr:nvCxnSpPr>
      <xdr:spPr>
        <a:xfrm flipV="1">
          <a:off x="9769384" y="219392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23</xdr:row>
      <xdr:rowOff>127000</xdr:rowOff>
    </xdr:from>
    <xdr:to>
      <xdr:col>13</xdr:col>
      <xdr:colOff>95250</xdr:colOff>
      <xdr:row>43</xdr:row>
      <xdr:rowOff>95250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5E30D20-1FB8-7409-E11D-59A31EE4DEC1}"/>
            </a:ext>
          </a:extLst>
        </xdr:cNvPr>
        <xdr:cNvGrpSpPr/>
      </xdr:nvGrpSpPr>
      <xdr:grpSpPr>
        <a:xfrm>
          <a:off x="6064250" y="2838450"/>
          <a:ext cx="1911350" cy="2381250"/>
          <a:chOff x="6083300" y="3194050"/>
          <a:chExt cx="1924050" cy="2635250"/>
        </a:xfrm>
      </xdr:grpSpPr>
      <xdr:cxnSp macro="">
        <xdr:nvCxnSpPr>
          <xdr:cNvPr id="10" name="Conector de Seta Reta 9">
            <a:extLst>
              <a:ext uri="{FF2B5EF4-FFF2-40B4-BE49-F238E27FC236}">
                <a16:creationId xmlns:a16="http://schemas.microsoft.com/office/drawing/2014/main" id="{2CD9288B-0822-61E0-E843-4B5C9F639700}"/>
              </a:ext>
            </a:extLst>
          </xdr:cNvPr>
          <xdr:cNvCxnSpPr/>
        </xdr:nvCxnSpPr>
        <xdr:spPr>
          <a:xfrm>
            <a:off x="6083300" y="3194050"/>
            <a:ext cx="1924050" cy="7366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de Seta Reta 15">
            <a:extLst>
              <a:ext uri="{FF2B5EF4-FFF2-40B4-BE49-F238E27FC236}">
                <a16:creationId xmlns:a16="http://schemas.microsoft.com/office/drawing/2014/main" id="{A2AA4439-4271-440C-89F6-B0DCD5B50559}"/>
              </a:ext>
            </a:extLst>
          </xdr:cNvPr>
          <xdr:cNvCxnSpPr/>
        </xdr:nvCxnSpPr>
        <xdr:spPr>
          <a:xfrm>
            <a:off x="6108700" y="3206750"/>
            <a:ext cx="1879600" cy="26225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53</xdr:row>
      <xdr:rowOff>107950</xdr:rowOff>
    </xdr:from>
    <xdr:to>
      <xdr:col>13</xdr:col>
      <xdr:colOff>101600</xdr:colOff>
      <xdr:row>76</xdr:row>
      <xdr:rowOff>88900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470023BE-618A-4172-990E-55BAA7A4009D}"/>
            </a:ext>
          </a:extLst>
        </xdr:cNvPr>
        <xdr:cNvGrpSpPr/>
      </xdr:nvGrpSpPr>
      <xdr:grpSpPr>
        <a:xfrm>
          <a:off x="6057900" y="6432550"/>
          <a:ext cx="1924050" cy="2724150"/>
          <a:chOff x="6083300" y="3194050"/>
          <a:chExt cx="1936750" cy="3003364"/>
        </a:xfrm>
      </xdr:grpSpPr>
      <xdr:cxnSp macro="">
        <xdr:nvCxnSpPr>
          <xdr:cNvPr id="21" name="Conector de Seta Reta 20">
            <a:extLst>
              <a:ext uri="{FF2B5EF4-FFF2-40B4-BE49-F238E27FC236}">
                <a16:creationId xmlns:a16="http://schemas.microsoft.com/office/drawing/2014/main" id="{8433C7DD-580F-6861-335F-D99655ED755C}"/>
              </a:ext>
            </a:extLst>
          </xdr:cNvPr>
          <xdr:cNvCxnSpPr/>
        </xdr:nvCxnSpPr>
        <xdr:spPr>
          <a:xfrm>
            <a:off x="6083300" y="3194050"/>
            <a:ext cx="1936750" cy="87598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de Seta Reta 21">
            <a:extLst>
              <a:ext uri="{FF2B5EF4-FFF2-40B4-BE49-F238E27FC236}">
                <a16:creationId xmlns:a16="http://schemas.microsoft.com/office/drawing/2014/main" id="{27444F21-D3C9-951E-5F24-8C08216C4239}"/>
              </a:ext>
            </a:extLst>
          </xdr:cNvPr>
          <xdr:cNvCxnSpPr/>
        </xdr:nvCxnSpPr>
        <xdr:spPr>
          <a:xfrm>
            <a:off x="6108700" y="3206750"/>
            <a:ext cx="1885950" cy="299066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876300</xdr:colOff>
      <xdr:row>86</xdr:row>
      <xdr:rowOff>127000</xdr:rowOff>
    </xdr:from>
    <xdr:to>
      <xdr:col>13</xdr:col>
      <xdr:colOff>95250</xdr:colOff>
      <xdr:row>109</xdr:row>
      <xdr:rowOff>88900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F362530-EFFB-4FA4-8E16-277A83FCA10E}"/>
            </a:ext>
          </a:extLst>
        </xdr:cNvPr>
        <xdr:cNvGrpSpPr/>
      </xdr:nvGrpSpPr>
      <xdr:grpSpPr>
        <a:xfrm>
          <a:off x="6057900" y="10382250"/>
          <a:ext cx="1917700" cy="2717800"/>
          <a:chOff x="6083300" y="3194050"/>
          <a:chExt cx="1936750" cy="2984593"/>
        </a:xfrm>
      </xdr:grpSpPr>
      <xdr:cxnSp macro="">
        <xdr:nvCxnSpPr>
          <xdr:cNvPr id="29" name="Conector de Seta Reta 28">
            <a:extLst>
              <a:ext uri="{FF2B5EF4-FFF2-40B4-BE49-F238E27FC236}">
                <a16:creationId xmlns:a16="http://schemas.microsoft.com/office/drawing/2014/main" id="{77A28E3B-CB8D-3DE4-4A86-E2D5377ADA0B}"/>
              </a:ext>
            </a:extLst>
          </xdr:cNvPr>
          <xdr:cNvCxnSpPr/>
        </xdr:nvCxnSpPr>
        <xdr:spPr>
          <a:xfrm>
            <a:off x="6083300" y="3194050"/>
            <a:ext cx="1936750" cy="85721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ctor de Seta Reta 29">
            <a:extLst>
              <a:ext uri="{FF2B5EF4-FFF2-40B4-BE49-F238E27FC236}">
                <a16:creationId xmlns:a16="http://schemas.microsoft.com/office/drawing/2014/main" id="{820ECACF-3F6B-821A-618F-1BB9BBC03DF6}"/>
              </a:ext>
            </a:extLst>
          </xdr:cNvPr>
          <xdr:cNvCxnSpPr/>
        </xdr:nvCxnSpPr>
        <xdr:spPr>
          <a:xfrm>
            <a:off x="6108700" y="3206750"/>
            <a:ext cx="1879600" cy="297189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876300</xdr:colOff>
      <xdr:row>119</xdr:row>
      <xdr:rowOff>120650</xdr:rowOff>
    </xdr:from>
    <xdr:to>
      <xdr:col>13</xdr:col>
      <xdr:colOff>101600</xdr:colOff>
      <xdr:row>142</xdr:row>
      <xdr:rowOff>82550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6BC232F-FB7E-4E9A-9956-EC2EB797C583}"/>
            </a:ext>
          </a:extLst>
        </xdr:cNvPr>
        <xdr:cNvGrpSpPr/>
      </xdr:nvGrpSpPr>
      <xdr:grpSpPr>
        <a:xfrm>
          <a:off x="6057900" y="14325600"/>
          <a:ext cx="1924050" cy="2711450"/>
          <a:chOff x="6083300" y="3194050"/>
          <a:chExt cx="1943100" cy="2984593"/>
        </a:xfrm>
      </xdr:grpSpPr>
      <xdr:cxnSp macro="">
        <xdr:nvCxnSpPr>
          <xdr:cNvPr id="32" name="Conector de Seta Reta 31">
            <a:extLst>
              <a:ext uri="{FF2B5EF4-FFF2-40B4-BE49-F238E27FC236}">
                <a16:creationId xmlns:a16="http://schemas.microsoft.com/office/drawing/2014/main" id="{9DDC6E1B-72DA-E783-C998-E480655C2258}"/>
              </a:ext>
            </a:extLst>
          </xdr:cNvPr>
          <xdr:cNvCxnSpPr/>
        </xdr:nvCxnSpPr>
        <xdr:spPr>
          <a:xfrm>
            <a:off x="6083300" y="3194050"/>
            <a:ext cx="1943100" cy="86972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de Seta Reta 32">
            <a:extLst>
              <a:ext uri="{FF2B5EF4-FFF2-40B4-BE49-F238E27FC236}">
                <a16:creationId xmlns:a16="http://schemas.microsoft.com/office/drawing/2014/main" id="{12605395-BD72-763A-8557-D70C8BB14252}"/>
              </a:ext>
            </a:extLst>
          </xdr:cNvPr>
          <xdr:cNvCxnSpPr/>
        </xdr:nvCxnSpPr>
        <xdr:spPr>
          <a:xfrm>
            <a:off x="6108700" y="3206750"/>
            <a:ext cx="1892300" cy="297189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876300</xdr:colOff>
      <xdr:row>153</xdr:row>
      <xdr:rowOff>127000</xdr:rowOff>
    </xdr:from>
    <xdr:to>
      <xdr:col>13</xdr:col>
      <xdr:colOff>88900</xdr:colOff>
      <xdr:row>179</xdr:row>
      <xdr:rowOff>76200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B140357D-39E0-47ED-8679-70706ABE5B14}"/>
            </a:ext>
          </a:extLst>
        </xdr:cNvPr>
        <xdr:cNvGrpSpPr/>
      </xdr:nvGrpSpPr>
      <xdr:grpSpPr>
        <a:xfrm>
          <a:off x="6057900" y="18383250"/>
          <a:ext cx="1911350" cy="3048000"/>
          <a:chOff x="6083300" y="3194050"/>
          <a:chExt cx="1930400" cy="3366270"/>
        </a:xfrm>
      </xdr:grpSpPr>
      <xdr:cxnSp macro="">
        <xdr:nvCxnSpPr>
          <xdr:cNvPr id="35" name="Conector de Seta Reta 34">
            <a:extLst>
              <a:ext uri="{FF2B5EF4-FFF2-40B4-BE49-F238E27FC236}">
                <a16:creationId xmlns:a16="http://schemas.microsoft.com/office/drawing/2014/main" id="{6E53A414-5A12-239D-CA59-3AB4245EDCD5}"/>
              </a:ext>
            </a:extLst>
          </xdr:cNvPr>
          <xdr:cNvCxnSpPr/>
        </xdr:nvCxnSpPr>
        <xdr:spPr>
          <a:xfrm>
            <a:off x="6083300" y="3194050"/>
            <a:ext cx="1930400" cy="99486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de Seta Reta 35">
            <a:extLst>
              <a:ext uri="{FF2B5EF4-FFF2-40B4-BE49-F238E27FC236}">
                <a16:creationId xmlns:a16="http://schemas.microsoft.com/office/drawing/2014/main" id="{F85FBC64-B8AA-433B-F300-5A2D9086040B}"/>
              </a:ext>
            </a:extLst>
          </xdr:cNvPr>
          <xdr:cNvCxnSpPr/>
        </xdr:nvCxnSpPr>
        <xdr:spPr>
          <a:xfrm>
            <a:off x="6108700" y="3206750"/>
            <a:ext cx="1879600" cy="335357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17116</xdr:colOff>
      <xdr:row>25</xdr:row>
      <xdr:rowOff>63500</xdr:rowOff>
    </xdr:from>
    <xdr:to>
      <xdr:col>9</xdr:col>
      <xdr:colOff>171449</xdr:colOff>
      <xdr:row>45</xdr:row>
      <xdr:rowOff>9550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A5DF6E-7C0C-42E8-8286-2ED123636CD1}"/>
            </a:ext>
          </a:extLst>
        </xdr:cNvPr>
        <xdr:cNvGrpSpPr/>
      </xdr:nvGrpSpPr>
      <xdr:grpSpPr>
        <a:xfrm>
          <a:off x="6075016" y="2978150"/>
          <a:ext cx="789333" cy="2346350"/>
          <a:chOff x="5871817" y="3130550"/>
          <a:chExt cx="720000" cy="2346350"/>
        </a:xfrm>
      </xdr:grpSpPr>
      <xdr:cxnSp macro="">
        <xdr:nvCxnSpPr>
          <xdr:cNvPr id="3" name="Conector reto 2">
            <a:extLst>
              <a:ext uri="{FF2B5EF4-FFF2-40B4-BE49-F238E27FC236}">
                <a16:creationId xmlns:a16="http://schemas.microsoft.com/office/drawing/2014/main" id="{BFCABBD8-AE5D-2EB8-BDF6-0DCC89495049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706BFB4A-73A9-750B-4B59-703ED217061E}"/>
              </a:ext>
            </a:extLst>
          </xdr:cNvPr>
          <xdr:cNvCxnSpPr/>
        </xdr:nvCxnSpPr>
        <xdr:spPr>
          <a:xfrm>
            <a:off x="6019724" y="3136900"/>
            <a:ext cx="0" cy="646513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4AA2891B-A172-8F91-0D1A-8281660074E6}"/>
              </a:ext>
            </a:extLst>
          </xdr:cNvPr>
          <xdr:cNvCxnSpPr/>
        </xdr:nvCxnSpPr>
        <xdr:spPr>
          <a:xfrm>
            <a:off x="6305550" y="3136899"/>
            <a:ext cx="0" cy="1616284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52431EEB-AD32-6778-7A5F-8A74F84E572E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880716</xdr:colOff>
      <xdr:row>55</xdr:row>
      <xdr:rowOff>63500</xdr:rowOff>
    </xdr:from>
    <xdr:to>
      <xdr:col>9</xdr:col>
      <xdr:colOff>171449</xdr:colOff>
      <xdr:row>78</xdr:row>
      <xdr:rowOff>5500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C01A65B-F294-449E-9EC9-FEA0D00BE484}"/>
            </a:ext>
          </a:extLst>
        </xdr:cNvPr>
        <xdr:cNvGrpSpPr/>
      </xdr:nvGrpSpPr>
      <xdr:grpSpPr>
        <a:xfrm>
          <a:off x="6055966" y="6578600"/>
          <a:ext cx="808383" cy="2685200"/>
          <a:chOff x="5871817" y="3130550"/>
          <a:chExt cx="720000" cy="2742350"/>
        </a:xfrm>
      </xdr:grpSpPr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FEBDAE58-1629-2F28-5131-6D2E4928C40D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20D4621F-4829-A3F4-6B29-2C190F6A9607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6CE7D401-1D84-4AEF-3351-6F48658A2990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3375F19E-A063-E891-F2B3-C9C72D07E110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88</xdr:row>
      <xdr:rowOff>50800</xdr:rowOff>
    </xdr:from>
    <xdr:to>
      <xdr:col>9</xdr:col>
      <xdr:colOff>158750</xdr:colOff>
      <xdr:row>110</xdr:row>
      <xdr:rowOff>126150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E3DF0A5-205F-43EE-9F1B-3E7A69407FFF}"/>
            </a:ext>
          </a:extLst>
        </xdr:cNvPr>
        <xdr:cNvGrpSpPr/>
      </xdr:nvGrpSpPr>
      <xdr:grpSpPr>
        <a:xfrm>
          <a:off x="6057900" y="10509250"/>
          <a:ext cx="793750" cy="2691550"/>
          <a:chOff x="5871817" y="3130550"/>
          <a:chExt cx="720000" cy="2742350"/>
        </a:xfrm>
      </xdr:grpSpPr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89DC26E4-553A-9CBE-9B29-37E72B34481F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B5C597AF-AAAD-C58B-A34D-077F9E107D1B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1850D055-0957-4B8A-5FC6-D7725BEC72CD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F12116CC-6519-2F32-2F8F-9A89BAA9CE33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121</xdr:row>
      <xdr:rowOff>57150</xdr:rowOff>
    </xdr:from>
    <xdr:to>
      <xdr:col>9</xdr:col>
      <xdr:colOff>135800</xdr:colOff>
      <xdr:row>143</xdr:row>
      <xdr:rowOff>132500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FB3015E-85ED-4937-8962-855C047C3B1C}"/>
            </a:ext>
          </a:extLst>
        </xdr:cNvPr>
        <xdr:cNvGrpSpPr/>
      </xdr:nvGrpSpPr>
      <xdr:grpSpPr>
        <a:xfrm>
          <a:off x="6057900" y="14458950"/>
          <a:ext cx="770800" cy="2685200"/>
          <a:chOff x="5871817" y="3130550"/>
          <a:chExt cx="720000" cy="2742350"/>
        </a:xfrm>
      </xdr:grpSpPr>
      <xdr:cxnSp macro="">
        <xdr:nvCxnSpPr>
          <xdr:cNvPr id="18" name="Conector reto 17">
            <a:extLst>
              <a:ext uri="{FF2B5EF4-FFF2-40B4-BE49-F238E27FC236}">
                <a16:creationId xmlns:a16="http://schemas.microsoft.com/office/drawing/2014/main" id="{55234EAF-B1CA-0452-7415-F35B6513B59C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7A8204B5-835D-EF08-EB9E-D97C2FD864F9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09678816-F7B5-5D9C-10EC-963B5384A919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398CC4F1-B455-15C6-71A6-1A9EFECF44AE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155</xdr:row>
      <xdr:rowOff>38100</xdr:rowOff>
    </xdr:from>
    <xdr:to>
      <xdr:col>9</xdr:col>
      <xdr:colOff>135800</xdr:colOff>
      <xdr:row>181</xdr:row>
      <xdr:rowOff>12050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A52F011-800F-4EDC-B807-E7EF73024E01}"/>
            </a:ext>
          </a:extLst>
        </xdr:cNvPr>
        <xdr:cNvGrpSpPr/>
      </xdr:nvGrpSpPr>
      <xdr:grpSpPr>
        <a:xfrm>
          <a:off x="6057900" y="18497550"/>
          <a:ext cx="770800" cy="3060050"/>
          <a:chOff x="5871817" y="3130550"/>
          <a:chExt cx="720000" cy="3174350"/>
        </a:xfrm>
      </xdr:grpSpPr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6604267E-31A6-1E9D-3FDD-84DF46E7D2C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to 23">
            <a:extLst>
              <a:ext uri="{FF2B5EF4-FFF2-40B4-BE49-F238E27FC236}">
                <a16:creationId xmlns:a16="http://schemas.microsoft.com/office/drawing/2014/main" id="{F8E6FE9A-52FB-5652-32F9-DACCA8FD7826}"/>
              </a:ext>
            </a:extLst>
          </xdr:cNvPr>
          <xdr:cNvCxnSpPr/>
        </xdr:nvCxnSpPr>
        <xdr:spPr>
          <a:xfrm>
            <a:off x="6019724" y="3136900"/>
            <a:ext cx="0" cy="929875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FAFBF585-85C4-A177-62BA-C720A072838F}"/>
              </a:ext>
            </a:extLst>
          </xdr:cNvPr>
          <xdr:cNvCxnSpPr/>
        </xdr:nvCxnSpPr>
        <xdr:spPr>
          <a:xfrm>
            <a:off x="6305550" y="3136900"/>
            <a:ext cx="0" cy="215863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B933E83A-AD7B-D578-8228-92A18C883D3E}"/>
              </a:ext>
            </a:extLst>
          </xdr:cNvPr>
          <xdr:cNvCxnSpPr/>
        </xdr:nvCxnSpPr>
        <xdr:spPr>
          <a:xfrm>
            <a:off x="6591300" y="3136900"/>
            <a:ext cx="0" cy="3168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880717</xdr:colOff>
      <xdr:row>39</xdr:row>
      <xdr:rowOff>63500</xdr:rowOff>
    </xdr:from>
    <xdr:to>
      <xdr:col>7</xdr:col>
      <xdr:colOff>322067</xdr:colOff>
      <xdr:row>39</xdr:row>
      <xdr:rowOff>63500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E5DBADE-A4D2-4051-AB7D-96B98097A3AF}"/>
            </a:ext>
          </a:extLst>
        </xdr:cNvPr>
        <xdr:cNvCxnSpPr/>
      </xdr:nvCxnSpPr>
      <xdr:spPr>
        <a:xfrm flipV="1">
          <a:off x="6075017" y="4730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880717</xdr:colOff>
      <xdr:row>45</xdr:row>
      <xdr:rowOff>69850</xdr:rowOff>
    </xdr:from>
    <xdr:to>
      <xdr:col>8</xdr:col>
      <xdr:colOff>322217</xdr:colOff>
      <xdr:row>45</xdr:row>
      <xdr:rowOff>69850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8C0F5593-67DF-4B6A-8E9E-DC34E463C60D}"/>
            </a:ext>
          </a:extLst>
        </xdr:cNvPr>
        <xdr:cNvCxnSpPr/>
      </xdr:nvCxnSpPr>
      <xdr:spPr>
        <a:xfrm flipV="1">
          <a:off x="6075017" y="553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69850</xdr:rowOff>
    </xdr:from>
    <xdr:to>
      <xdr:col>8</xdr:col>
      <xdr:colOff>150</xdr:colOff>
      <xdr:row>71</xdr:row>
      <xdr:rowOff>69850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371D7773-8916-41EA-90FF-5EF1F950FBF0}"/>
            </a:ext>
          </a:extLst>
        </xdr:cNvPr>
        <xdr:cNvCxnSpPr/>
      </xdr:nvCxnSpPr>
      <xdr:spPr>
        <a:xfrm flipV="1">
          <a:off x="6076950" y="8604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78</xdr:row>
      <xdr:rowOff>69850</xdr:rowOff>
    </xdr:from>
    <xdr:to>
      <xdr:col>9</xdr:col>
      <xdr:colOff>3384</xdr:colOff>
      <xdr:row>78</xdr:row>
      <xdr:rowOff>69850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DFEC2E09-F5B4-44BA-ADA2-BB9E66B485D8}"/>
            </a:ext>
          </a:extLst>
        </xdr:cNvPr>
        <xdr:cNvCxnSpPr/>
      </xdr:nvCxnSpPr>
      <xdr:spPr>
        <a:xfrm flipV="1">
          <a:off x="6080034" y="9537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104</xdr:row>
      <xdr:rowOff>69850</xdr:rowOff>
    </xdr:from>
    <xdr:to>
      <xdr:col>8</xdr:col>
      <xdr:colOff>150</xdr:colOff>
      <xdr:row>104</xdr:row>
      <xdr:rowOff>69850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7E586418-DC40-4EAE-AB0C-53499C9183A8}"/>
            </a:ext>
          </a:extLst>
        </xdr:cNvPr>
        <xdr:cNvCxnSpPr/>
      </xdr:nvCxnSpPr>
      <xdr:spPr>
        <a:xfrm flipV="1">
          <a:off x="6076950" y="12604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111</xdr:row>
      <xdr:rowOff>63500</xdr:rowOff>
    </xdr:from>
    <xdr:to>
      <xdr:col>9</xdr:col>
      <xdr:colOff>3384</xdr:colOff>
      <xdr:row>111</xdr:row>
      <xdr:rowOff>63500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8604D890-71BA-4BF0-9789-370ADB19A0F9}"/>
            </a:ext>
          </a:extLst>
        </xdr:cNvPr>
        <xdr:cNvCxnSpPr/>
      </xdr:nvCxnSpPr>
      <xdr:spPr>
        <a:xfrm flipV="1">
          <a:off x="6080034" y="13531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69850</xdr:rowOff>
    </xdr:from>
    <xdr:to>
      <xdr:col>8</xdr:col>
      <xdr:colOff>150</xdr:colOff>
      <xdr:row>137</xdr:row>
      <xdr:rowOff>69850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BBEFA096-A55C-4995-A4FE-D96940623C68}"/>
            </a:ext>
          </a:extLst>
        </xdr:cNvPr>
        <xdr:cNvCxnSpPr/>
      </xdr:nvCxnSpPr>
      <xdr:spPr>
        <a:xfrm flipV="1">
          <a:off x="6076950" y="16605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144</xdr:row>
      <xdr:rowOff>69850</xdr:rowOff>
    </xdr:from>
    <xdr:to>
      <xdr:col>9</xdr:col>
      <xdr:colOff>3384</xdr:colOff>
      <xdr:row>144</xdr:row>
      <xdr:rowOff>69850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2C4C2404-1CE4-4430-B9EE-8B2D01C62379}"/>
            </a:ext>
          </a:extLst>
        </xdr:cNvPr>
        <xdr:cNvCxnSpPr/>
      </xdr:nvCxnSpPr>
      <xdr:spPr>
        <a:xfrm flipV="1">
          <a:off x="6080034" y="1753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173</xdr:row>
      <xdr:rowOff>69850</xdr:rowOff>
    </xdr:from>
    <xdr:to>
      <xdr:col>8</xdr:col>
      <xdr:colOff>150</xdr:colOff>
      <xdr:row>173</xdr:row>
      <xdr:rowOff>69850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C9314F62-8C58-44A4-B081-C1DA5596B7FE}"/>
            </a:ext>
          </a:extLst>
        </xdr:cNvPr>
        <xdr:cNvCxnSpPr/>
      </xdr:nvCxnSpPr>
      <xdr:spPr>
        <a:xfrm flipV="1">
          <a:off x="6076950" y="210058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</xdr:colOff>
      <xdr:row>181</xdr:row>
      <xdr:rowOff>69850</xdr:rowOff>
    </xdr:from>
    <xdr:to>
      <xdr:col>9</xdr:col>
      <xdr:colOff>3384</xdr:colOff>
      <xdr:row>181</xdr:row>
      <xdr:rowOff>69850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B949B0B9-38C0-43EB-9625-CD4E23142728}"/>
            </a:ext>
          </a:extLst>
        </xdr:cNvPr>
        <xdr:cNvCxnSpPr/>
      </xdr:nvCxnSpPr>
      <xdr:spPr>
        <a:xfrm flipV="1">
          <a:off x="6080034" y="220726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17117</xdr:colOff>
      <xdr:row>25</xdr:row>
      <xdr:rowOff>63500</xdr:rowOff>
    </xdr:from>
    <xdr:to>
      <xdr:col>17</xdr:col>
      <xdr:colOff>152917</xdr:colOff>
      <xdr:row>45</xdr:row>
      <xdr:rowOff>9550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3F6743F-07B8-4C3D-BD2A-9BAC428707BD}"/>
            </a:ext>
          </a:extLst>
        </xdr:cNvPr>
        <xdr:cNvGrpSpPr/>
      </xdr:nvGrpSpPr>
      <xdr:grpSpPr>
        <a:xfrm>
          <a:off x="9650067" y="2978150"/>
          <a:ext cx="770800" cy="2346350"/>
          <a:chOff x="5871817" y="3130550"/>
          <a:chExt cx="720000" cy="2346350"/>
        </a:xfrm>
      </xdr:grpSpPr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2E846BF5-F056-3251-1819-4F80707CBB8A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827355D6-2E72-C8DD-6FDB-4727DFB7CECC}"/>
              </a:ext>
            </a:extLst>
          </xdr:cNvPr>
          <xdr:cNvCxnSpPr/>
        </xdr:nvCxnSpPr>
        <xdr:spPr>
          <a:xfrm>
            <a:off x="6019724" y="3136900"/>
            <a:ext cx="0" cy="646513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to 39">
            <a:extLst>
              <a:ext uri="{FF2B5EF4-FFF2-40B4-BE49-F238E27FC236}">
                <a16:creationId xmlns:a16="http://schemas.microsoft.com/office/drawing/2014/main" id="{A62F1DB2-E50F-5FB9-4C57-38E81D809284}"/>
              </a:ext>
            </a:extLst>
          </xdr:cNvPr>
          <xdr:cNvCxnSpPr/>
        </xdr:nvCxnSpPr>
        <xdr:spPr>
          <a:xfrm>
            <a:off x="6305550" y="3136899"/>
            <a:ext cx="0" cy="1616284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ctor reto 40">
            <a:extLst>
              <a:ext uri="{FF2B5EF4-FFF2-40B4-BE49-F238E27FC236}">
                <a16:creationId xmlns:a16="http://schemas.microsoft.com/office/drawing/2014/main" id="{614C3BDC-61FB-FEA7-E9F8-23CC2A3DF428}"/>
              </a:ext>
            </a:extLst>
          </xdr:cNvPr>
          <xdr:cNvCxnSpPr/>
        </xdr:nvCxnSpPr>
        <xdr:spPr>
          <a:xfrm>
            <a:off x="6591300" y="3136900"/>
            <a:ext cx="0" cy="2340000"/>
          </a:xfrm>
          <a:prstGeom prst="line">
            <a:avLst/>
          </a:prstGeom>
          <a:ln w="63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55</xdr:row>
      <xdr:rowOff>63500</xdr:rowOff>
    </xdr:from>
    <xdr:to>
      <xdr:col>17</xdr:col>
      <xdr:colOff>133867</xdr:colOff>
      <xdr:row>78</xdr:row>
      <xdr:rowOff>5500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B06FC4A7-FEA1-4636-8A72-3E3708E781FC}"/>
            </a:ext>
          </a:extLst>
        </xdr:cNvPr>
        <xdr:cNvGrpSpPr/>
      </xdr:nvGrpSpPr>
      <xdr:grpSpPr>
        <a:xfrm>
          <a:off x="9631017" y="6578600"/>
          <a:ext cx="770800" cy="2685200"/>
          <a:chOff x="5871817" y="3130550"/>
          <a:chExt cx="720000" cy="2742350"/>
        </a:xfrm>
      </xdr:grpSpPr>
      <xdr:cxnSp macro="">
        <xdr:nvCxnSpPr>
          <xdr:cNvPr id="43" name="Conector reto 42">
            <a:extLst>
              <a:ext uri="{FF2B5EF4-FFF2-40B4-BE49-F238E27FC236}">
                <a16:creationId xmlns:a16="http://schemas.microsoft.com/office/drawing/2014/main" id="{256DB556-9804-019A-C0CC-7CB19CCAAF68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ctor reto 43">
            <a:extLst>
              <a:ext uri="{FF2B5EF4-FFF2-40B4-BE49-F238E27FC236}">
                <a16:creationId xmlns:a16="http://schemas.microsoft.com/office/drawing/2014/main" id="{AC68528F-130F-CB4B-BF07-E1C3463F167E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7742325B-1D48-5480-D50E-95BEBAFA1076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to 45">
            <a:extLst>
              <a:ext uri="{FF2B5EF4-FFF2-40B4-BE49-F238E27FC236}">
                <a16:creationId xmlns:a16="http://schemas.microsoft.com/office/drawing/2014/main" id="{929787DA-22BE-72F2-8FB6-542A4E84460B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88</xdr:row>
      <xdr:rowOff>50800</xdr:rowOff>
    </xdr:from>
    <xdr:to>
      <xdr:col>17</xdr:col>
      <xdr:colOff>135800</xdr:colOff>
      <xdr:row>110</xdr:row>
      <xdr:rowOff>126150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A457160E-153C-4D2A-82F0-44BB70489D89}"/>
            </a:ext>
          </a:extLst>
        </xdr:cNvPr>
        <xdr:cNvGrpSpPr/>
      </xdr:nvGrpSpPr>
      <xdr:grpSpPr>
        <a:xfrm>
          <a:off x="9632950" y="10509250"/>
          <a:ext cx="770800" cy="2691550"/>
          <a:chOff x="5871817" y="3130550"/>
          <a:chExt cx="720000" cy="2742350"/>
        </a:xfrm>
      </xdr:grpSpPr>
      <xdr:cxnSp macro="">
        <xdr:nvCxnSpPr>
          <xdr:cNvPr id="48" name="Conector reto 47">
            <a:extLst>
              <a:ext uri="{FF2B5EF4-FFF2-40B4-BE49-F238E27FC236}">
                <a16:creationId xmlns:a16="http://schemas.microsoft.com/office/drawing/2014/main" id="{DD4E2B31-152F-7AA0-F038-923CF4835C6F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 reto 48">
            <a:extLst>
              <a:ext uri="{FF2B5EF4-FFF2-40B4-BE49-F238E27FC236}">
                <a16:creationId xmlns:a16="http://schemas.microsoft.com/office/drawing/2014/main" id="{23A93BEB-AD1E-1AA8-AC46-FA2CE2321433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to 49">
            <a:extLst>
              <a:ext uri="{FF2B5EF4-FFF2-40B4-BE49-F238E27FC236}">
                <a16:creationId xmlns:a16="http://schemas.microsoft.com/office/drawing/2014/main" id="{74B68710-04CD-DA29-AE8D-EF67AF288E77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Conector reto 50">
            <a:extLst>
              <a:ext uri="{FF2B5EF4-FFF2-40B4-BE49-F238E27FC236}">
                <a16:creationId xmlns:a16="http://schemas.microsoft.com/office/drawing/2014/main" id="{B07F7113-6E37-4773-EA0B-5BD40D5D58BA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121</xdr:row>
      <xdr:rowOff>57150</xdr:rowOff>
    </xdr:from>
    <xdr:to>
      <xdr:col>17</xdr:col>
      <xdr:colOff>135800</xdr:colOff>
      <xdr:row>143</xdr:row>
      <xdr:rowOff>132500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63C5C9C8-B1C1-4653-B091-E47487FDD627}"/>
            </a:ext>
          </a:extLst>
        </xdr:cNvPr>
        <xdr:cNvGrpSpPr/>
      </xdr:nvGrpSpPr>
      <xdr:grpSpPr>
        <a:xfrm>
          <a:off x="9632950" y="14458950"/>
          <a:ext cx="770800" cy="2685200"/>
          <a:chOff x="5871817" y="3130550"/>
          <a:chExt cx="720000" cy="2742350"/>
        </a:xfrm>
      </xdr:grpSpPr>
      <xdr:cxnSp macro="">
        <xdr:nvCxnSpPr>
          <xdr:cNvPr id="53" name="Conector reto 52">
            <a:extLst>
              <a:ext uri="{FF2B5EF4-FFF2-40B4-BE49-F238E27FC236}">
                <a16:creationId xmlns:a16="http://schemas.microsoft.com/office/drawing/2014/main" id="{CAEB7E16-CF23-3AD2-0F58-665AA15DB8EE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ctor reto 53">
            <a:extLst>
              <a:ext uri="{FF2B5EF4-FFF2-40B4-BE49-F238E27FC236}">
                <a16:creationId xmlns:a16="http://schemas.microsoft.com/office/drawing/2014/main" id="{754F9E07-28A5-0BCE-8EC2-55DAEFA18488}"/>
              </a:ext>
            </a:extLst>
          </xdr:cNvPr>
          <xdr:cNvCxnSpPr/>
        </xdr:nvCxnSpPr>
        <xdr:spPr>
          <a:xfrm>
            <a:off x="6019724" y="3136900"/>
            <a:ext cx="0" cy="787421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to 54">
            <a:extLst>
              <a:ext uri="{FF2B5EF4-FFF2-40B4-BE49-F238E27FC236}">
                <a16:creationId xmlns:a16="http://schemas.microsoft.com/office/drawing/2014/main" id="{6FEF0B9A-2263-B5EF-7A4C-2BF240DBE6A2}"/>
              </a:ext>
            </a:extLst>
          </xdr:cNvPr>
          <xdr:cNvCxnSpPr/>
        </xdr:nvCxnSpPr>
        <xdr:spPr>
          <a:xfrm>
            <a:off x="6305550" y="3136899"/>
            <a:ext cx="0" cy="1870126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 reto 55">
            <a:extLst>
              <a:ext uri="{FF2B5EF4-FFF2-40B4-BE49-F238E27FC236}">
                <a16:creationId xmlns:a16="http://schemas.microsoft.com/office/drawing/2014/main" id="{3B0B38E4-CB17-92D1-D0A4-803B6D310D1C}"/>
              </a:ext>
            </a:extLst>
          </xdr:cNvPr>
          <xdr:cNvCxnSpPr/>
        </xdr:nvCxnSpPr>
        <xdr:spPr>
          <a:xfrm>
            <a:off x="6591300" y="3136900"/>
            <a:ext cx="0" cy="2736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155</xdr:row>
      <xdr:rowOff>38100</xdr:rowOff>
    </xdr:from>
    <xdr:to>
      <xdr:col>17</xdr:col>
      <xdr:colOff>135800</xdr:colOff>
      <xdr:row>181</xdr:row>
      <xdr:rowOff>12050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0806CCB2-D0CE-4F47-9728-39605D0859EE}"/>
            </a:ext>
          </a:extLst>
        </xdr:cNvPr>
        <xdr:cNvGrpSpPr/>
      </xdr:nvGrpSpPr>
      <xdr:grpSpPr>
        <a:xfrm>
          <a:off x="9632950" y="18497550"/>
          <a:ext cx="770800" cy="3060050"/>
          <a:chOff x="5871817" y="3130550"/>
          <a:chExt cx="720000" cy="3174350"/>
        </a:xfrm>
      </xdr:grpSpPr>
      <xdr:cxnSp macro="">
        <xdr:nvCxnSpPr>
          <xdr:cNvPr id="58" name="Conector reto 57">
            <a:extLst>
              <a:ext uri="{FF2B5EF4-FFF2-40B4-BE49-F238E27FC236}">
                <a16:creationId xmlns:a16="http://schemas.microsoft.com/office/drawing/2014/main" id="{AA446A63-1721-56EF-8E75-619594605387}"/>
              </a:ext>
            </a:extLst>
          </xdr:cNvPr>
          <xdr:cNvCxnSpPr/>
        </xdr:nvCxnSpPr>
        <xdr:spPr>
          <a:xfrm flipV="1">
            <a:off x="5871817" y="3130550"/>
            <a:ext cx="720000" cy="0"/>
          </a:xfrm>
          <a:prstGeom prst="line">
            <a:avLst/>
          </a:prstGeom>
          <a:ln w="63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Conector reto 58">
            <a:extLst>
              <a:ext uri="{FF2B5EF4-FFF2-40B4-BE49-F238E27FC236}">
                <a16:creationId xmlns:a16="http://schemas.microsoft.com/office/drawing/2014/main" id="{AC848858-49F1-6A8A-FC47-DDC27EF5929E}"/>
              </a:ext>
            </a:extLst>
          </xdr:cNvPr>
          <xdr:cNvCxnSpPr/>
        </xdr:nvCxnSpPr>
        <xdr:spPr>
          <a:xfrm>
            <a:off x="6019724" y="3136900"/>
            <a:ext cx="0" cy="929875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ctor reto 59">
            <a:extLst>
              <a:ext uri="{FF2B5EF4-FFF2-40B4-BE49-F238E27FC236}">
                <a16:creationId xmlns:a16="http://schemas.microsoft.com/office/drawing/2014/main" id="{5F6CF308-F92B-5151-53DB-1ABEF48D819C}"/>
              </a:ext>
            </a:extLst>
          </xdr:cNvPr>
          <xdr:cNvCxnSpPr/>
        </xdr:nvCxnSpPr>
        <xdr:spPr>
          <a:xfrm>
            <a:off x="6305550" y="3136900"/>
            <a:ext cx="0" cy="2158637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to 60">
            <a:extLst>
              <a:ext uri="{FF2B5EF4-FFF2-40B4-BE49-F238E27FC236}">
                <a16:creationId xmlns:a16="http://schemas.microsoft.com/office/drawing/2014/main" id="{AC5E5A2C-476A-0424-29FE-72BE85DDA800}"/>
              </a:ext>
            </a:extLst>
          </xdr:cNvPr>
          <xdr:cNvCxnSpPr/>
        </xdr:nvCxnSpPr>
        <xdr:spPr>
          <a:xfrm>
            <a:off x="6591300" y="3136900"/>
            <a:ext cx="0" cy="3168000"/>
          </a:xfrm>
          <a:prstGeom prst="line">
            <a:avLst/>
          </a:prstGeom>
          <a:ln w="6350"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880717</xdr:colOff>
      <xdr:row>39</xdr:row>
      <xdr:rowOff>69850</xdr:rowOff>
    </xdr:from>
    <xdr:to>
      <xdr:col>15</xdr:col>
      <xdr:colOff>322067</xdr:colOff>
      <xdr:row>39</xdr:row>
      <xdr:rowOff>69850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99E645C5-54B0-4C98-A5D7-14A21AD3A99F}"/>
            </a:ext>
          </a:extLst>
        </xdr:cNvPr>
        <xdr:cNvCxnSpPr/>
      </xdr:nvCxnSpPr>
      <xdr:spPr>
        <a:xfrm flipV="1">
          <a:off x="9675467" y="47371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880717</xdr:colOff>
      <xdr:row>45</xdr:row>
      <xdr:rowOff>69850</xdr:rowOff>
    </xdr:from>
    <xdr:to>
      <xdr:col>16</xdr:col>
      <xdr:colOff>322217</xdr:colOff>
      <xdr:row>45</xdr:row>
      <xdr:rowOff>69850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D2EC374E-B3A1-4E4F-A8D8-AD6A6CDA8672}"/>
            </a:ext>
          </a:extLst>
        </xdr:cNvPr>
        <xdr:cNvCxnSpPr/>
      </xdr:nvCxnSpPr>
      <xdr:spPr>
        <a:xfrm flipV="1">
          <a:off x="9675467" y="55372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71</xdr:row>
      <xdr:rowOff>69850</xdr:rowOff>
    </xdr:from>
    <xdr:to>
      <xdr:col>16</xdr:col>
      <xdr:colOff>150</xdr:colOff>
      <xdr:row>71</xdr:row>
      <xdr:rowOff>69850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F7AA796B-A766-40E5-A600-2D6951E4664F}"/>
            </a:ext>
          </a:extLst>
        </xdr:cNvPr>
        <xdr:cNvCxnSpPr/>
      </xdr:nvCxnSpPr>
      <xdr:spPr>
        <a:xfrm flipV="1">
          <a:off x="9677400" y="8604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78</xdr:row>
      <xdr:rowOff>69850</xdr:rowOff>
    </xdr:from>
    <xdr:to>
      <xdr:col>17</xdr:col>
      <xdr:colOff>3384</xdr:colOff>
      <xdr:row>78</xdr:row>
      <xdr:rowOff>69850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A196815D-A575-457C-9822-C648A57AC8E5}"/>
            </a:ext>
          </a:extLst>
        </xdr:cNvPr>
        <xdr:cNvCxnSpPr/>
      </xdr:nvCxnSpPr>
      <xdr:spPr>
        <a:xfrm flipV="1">
          <a:off x="9680484" y="9537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104</xdr:row>
      <xdr:rowOff>69850</xdr:rowOff>
    </xdr:from>
    <xdr:to>
      <xdr:col>16</xdr:col>
      <xdr:colOff>150</xdr:colOff>
      <xdr:row>104</xdr:row>
      <xdr:rowOff>69850</xdr:rowOff>
    </xdr:to>
    <xdr:cxnSp macro="">
      <xdr:nvCxnSpPr>
        <xdr:cNvPr id="66" name="Conector reto 65">
          <a:extLst>
            <a:ext uri="{FF2B5EF4-FFF2-40B4-BE49-F238E27FC236}">
              <a16:creationId xmlns:a16="http://schemas.microsoft.com/office/drawing/2014/main" id="{B4D0A96F-9FF9-470A-B0E6-F29B5860E5CD}"/>
            </a:ext>
          </a:extLst>
        </xdr:cNvPr>
        <xdr:cNvCxnSpPr/>
      </xdr:nvCxnSpPr>
      <xdr:spPr>
        <a:xfrm flipV="1">
          <a:off x="9677400" y="126047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111</xdr:row>
      <xdr:rowOff>63500</xdr:rowOff>
    </xdr:from>
    <xdr:to>
      <xdr:col>17</xdr:col>
      <xdr:colOff>3384</xdr:colOff>
      <xdr:row>111</xdr:row>
      <xdr:rowOff>63500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2FE1D080-4A1D-4E08-A103-17B31900A45E}"/>
            </a:ext>
          </a:extLst>
        </xdr:cNvPr>
        <xdr:cNvCxnSpPr/>
      </xdr:nvCxnSpPr>
      <xdr:spPr>
        <a:xfrm flipV="1">
          <a:off x="9680484" y="1353185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137</xdr:row>
      <xdr:rowOff>69850</xdr:rowOff>
    </xdr:from>
    <xdr:to>
      <xdr:col>16</xdr:col>
      <xdr:colOff>150</xdr:colOff>
      <xdr:row>137</xdr:row>
      <xdr:rowOff>69850</xdr:rowOff>
    </xdr:to>
    <xdr:cxnSp macro="">
      <xdr:nvCxnSpPr>
        <xdr:cNvPr id="68" name="Conector reto 67">
          <a:extLst>
            <a:ext uri="{FF2B5EF4-FFF2-40B4-BE49-F238E27FC236}">
              <a16:creationId xmlns:a16="http://schemas.microsoft.com/office/drawing/2014/main" id="{2BF8BAA8-006B-47AB-A8DC-C1CC06D8542E}"/>
            </a:ext>
          </a:extLst>
        </xdr:cNvPr>
        <xdr:cNvCxnSpPr/>
      </xdr:nvCxnSpPr>
      <xdr:spPr>
        <a:xfrm flipV="1">
          <a:off x="9677400" y="1660525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144</xdr:row>
      <xdr:rowOff>69850</xdr:rowOff>
    </xdr:from>
    <xdr:to>
      <xdr:col>17</xdr:col>
      <xdr:colOff>3384</xdr:colOff>
      <xdr:row>144</xdr:row>
      <xdr:rowOff>69850</xdr:rowOff>
    </xdr:to>
    <xdr:cxnSp macro="">
      <xdr:nvCxnSpPr>
        <xdr:cNvPr id="69" name="Conector reto 68">
          <a:extLst>
            <a:ext uri="{FF2B5EF4-FFF2-40B4-BE49-F238E27FC236}">
              <a16:creationId xmlns:a16="http://schemas.microsoft.com/office/drawing/2014/main" id="{019DEA82-3839-467D-B093-86EC206B1FA3}"/>
            </a:ext>
          </a:extLst>
        </xdr:cNvPr>
        <xdr:cNvCxnSpPr/>
      </xdr:nvCxnSpPr>
      <xdr:spPr>
        <a:xfrm flipV="1">
          <a:off x="9680484" y="175387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173</xdr:row>
      <xdr:rowOff>69850</xdr:rowOff>
    </xdr:from>
    <xdr:to>
      <xdr:col>16</xdr:col>
      <xdr:colOff>150</xdr:colOff>
      <xdr:row>173</xdr:row>
      <xdr:rowOff>69850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A3AA31DA-20A8-487A-9A6C-A2626A3139E2}"/>
            </a:ext>
          </a:extLst>
        </xdr:cNvPr>
        <xdr:cNvCxnSpPr/>
      </xdr:nvCxnSpPr>
      <xdr:spPr>
        <a:xfrm flipV="1">
          <a:off x="9677400" y="21005800"/>
          <a:ext cx="324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3084</xdr:colOff>
      <xdr:row>181</xdr:row>
      <xdr:rowOff>69850</xdr:rowOff>
    </xdr:from>
    <xdr:to>
      <xdr:col>17</xdr:col>
      <xdr:colOff>3384</xdr:colOff>
      <xdr:row>181</xdr:row>
      <xdr:rowOff>69850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AE5A8C94-D8B6-495E-A1B6-3BC9D9D82771}"/>
            </a:ext>
          </a:extLst>
        </xdr:cNvPr>
        <xdr:cNvCxnSpPr/>
      </xdr:nvCxnSpPr>
      <xdr:spPr>
        <a:xfrm flipV="1">
          <a:off x="9680484" y="22072600"/>
          <a:ext cx="648000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876300</xdr:colOff>
      <xdr:row>25</xdr:row>
      <xdr:rowOff>107950</xdr:rowOff>
    </xdr:from>
    <xdr:to>
      <xdr:col>13</xdr:col>
      <xdr:colOff>101600</xdr:colOff>
      <xdr:row>45</xdr:row>
      <xdr:rowOff>76200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C4BBF19B-25F3-4B3A-8D00-4BA6A7E9DD52}"/>
            </a:ext>
          </a:extLst>
        </xdr:cNvPr>
        <xdr:cNvGrpSpPr/>
      </xdr:nvGrpSpPr>
      <xdr:grpSpPr>
        <a:xfrm>
          <a:off x="6057900" y="3022600"/>
          <a:ext cx="1924050" cy="2368550"/>
          <a:chOff x="6083300" y="3194050"/>
          <a:chExt cx="1943100" cy="2635250"/>
        </a:xfrm>
      </xdr:grpSpPr>
      <xdr:cxnSp macro="">
        <xdr:nvCxnSpPr>
          <xdr:cNvPr id="73" name="Conector de Seta Reta 72">
            <a:extLst>
              <a:ext uri="{FF2B5EF4-FFF2-40B4-BE49-F238E27FC236}">
                <a16:creationId xmlns:a16="http://schemas.microsoft.com/office/drawing/2014/main" id="{71F84687-6B3A-8188-007C-DBEE309C59E9}"/>
              </a:ext>
            </a:extLst>
          </xdr:cNvPr>
          <xdr:cNvCxnSpPr/>
        </xdr:nvCxnSpPr>
        <xdr:spPr>
          <a:xfrm>
            <a:off x="6083300" y="3194050"/>
            <a:ext cx="1943100" cy="742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de Seta Reta 73">
            <a:extLst>
              <a:ext uri="{FF2B5EF4-FFF2-40B4-BE49-F238E27FC236}">
                <a16:creationId xmlns:a16="http://schemas.microsoft.com/office/drawing/2014/main" id="{F4A62BAD-5B52-5A6E-FAAE-42585BE90B47}"/>
              </a:ext>
            </a:extLst>
          </xdr:cNvPr>
          <xdr:cNvCxnSpPr/>
        </xdr:nvCxnSpPr>
        <xdr:spPr>
          <a:xfrm>
            <a:off x="6108700" y="3206750"/>
            <a:ext cx="1885950" cy="26225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55</xdr:row>
      <xdr:rowOff>120650</xdr:rowOff>
    </xdr:from>
    <xdr:to>
      <xdr:col>13</xdr:col>
      <xdr:colOff>95250</xdr:colOff>
      <xdr:row>78</xdr:row>
      <xdr:rowOff>82550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7C3D6D05-C6E0-4BBA-A2DA-BFEA7606EDB6}"/>
            </a:ext>
          </a:extLst>
        </xdr:cNvPr>
        <xdr:cNvGrpSpPr/>
      </xdr:nvGrpSpPr>
      <xdr:grpSpPr>
        <a:xfrm>
          <a:off x="6057900" y="6629400"/>
          <a:ext cx="1917700" cy="2711450"/>
          <a:chOff x="6083300" y="3194050"/>
          <a:chExt cx="1930400" cy="3028950"/>
        </a:xfrm>
      </xdr:grpSpPr>
      <xdr:cxnSp macro="">
        <xdr:nvCxnSpPr>
          <xdr:cNvPr id="78" name="Conector de Seta Reta 77">
            <a:extLst>
              <a:ext uri="{FF2B5EF4-FFF2-40B4-BE49-F238E27FC236}">
                <a16:creationId xmlns:a16="http://schemas.microsoft.com/office/drawing/2014/main" id="{6ED62269-5957-15F6-DBB5-86A5D8B0718D}"/>
              </a:ext>
            </a:extLst>
          </xdr:cNvPr>
          <xdr:cNvCxnSpPr/>
        </xdr:nvCxnSpPr>
        <xdr:spPr>
          <a:xfrm>
            <a:off x="6083300" y="3194050"/>
            <a:ext cx="1930400" cy="869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de Seta Reta 78">
            <a:extLst>
              <a:ext uri="{FF2B5EF4-FFF2-40B4-BE49-F238E27FC236}">
                <a16:creationId xmlns:a16="http://schemas.microsoft.com/office/drawing/2014/main" id="{2DD6FF46-6A97-1A63-678A-DE130E79AEB2}"/>
              </a:ext>
            </a:extLst>
          </xdr:cNvPr>
          <xdr:cNvCxnSpPr/>
        </xdr:nvCxnSpPr>
        <xdr:spPr>
          <a:xfrm>
            <a:off x="6108700" y="3206750"/>
            <a:ext cx="1879600" cy="30162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88</xdr:row>
      <xdr:rowOff>127000</xdr:rowOff>
    </xdr:from>
    <xdr:to>
      <xdr:col>13</xdr:col>
      <xdr:colOff>95250</xdr:colOff>
      <xdr:row>111</xdr:row>
      <xdr:rowOff>88900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2D2A9F7F-5D56-4534-AA04-99ECD0B7F3AB}"/>
            </a:ext>
          </a:extLst>
        </xdr:cNvPr>
        <xdr:cNvGrpSpPr/>
      </xdr:nvGrpSpPr>
      <xdr:grpSpPr>
        <a:xfrm>
          <a:off x="6057900" y="10572750"/>
          <a:ext cx="1917700" cy="2717800"/>
          <a:chOff x="6083300" y="3194050"/>
          <a:chExt cx="1930400" cy="3028950"/>
        </a:xfrm>
      </xdr:grpSpPr>
      <xdr:cxnSp macro="">
        <xdr:nvCxnSpPr>
          <xdr:cNvPr id="84" name="Conector de Seta Reta 83">
            <a:extLst>
              <a:ext uri="{FF2B5EF4-FFF2-40B4-BE49-F238E27FC236}">
                <a16:creationId xmlns:a16="http://schemas.microsoft.com/office/drawing/2014/main" id="{F40DD3DF-DA02-AD58-F6F5-5DA0F55419F2}"/>
              </a:ext>
            </a:extLst>
          </xdr:cNvPr>
          <xdr:cNvCxnSpPr/>
        </xdr:nvCxnSpPr>
        <xdr:spPr>
          <a:xfrm>
            <a:off x="6083300" y="3194050"/>
            <a:ext cx="1930400" cy="869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de Seta Reta 84">
            <a:extLst>
              <a:ext uri="{FF2B5EF4-FFF2-40B4-BE49-F238E27FC236}">
                <a16:creationId xmlns:a16="http://schemas.microsoft.com/office/drawing/2014/main" id="{65AFDD72-15C3-480E-E240-4435CD74710C}"/>
              </a:ext>
            </a:extLst>
          </xdr:cNvPr>
          <xdr:cNvCxnSpPr/>
        </xdr:nvCxnSpPr>
        <xdr:spPr>
          <a:xfrm>
            <a:off x="6108700" y="3206750"/>
            <a:ext cx="1879600" cy="30162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121</xdr:row>
      <xdr:rowOff>120650</xdr:rowOff>
    </xdr:from>
    <xdr:to>
      <xdr:col>13</xdr:col>
      <xdr:colOff>95250</xdr:colOff>
      <xdr:row>144</xdr:row>
      <xdr:rowOff>82550</xdr:rowOff>
    </xdr:to>
    <xdr:grpSp>
      <xdr:nvGrpSpPr>
        <xdr:cNvPr id="86" name="Agrupar 85">
          <a:extLst>
            <a:ext uri="{FF2B5EF4-FFF2-40B4-BE49-F238E27FC236}">
              <a16:creationId xmlns:a16="http://schemas.microsoft.com/office/drawing/2014/main" id="{ECFE3379-9269-4B8B-981E-C68371986622}"/>
            </a:ext>
          </a:extLst>
        </xdr:cNvPr>
        <xdr:cNvGrpSpPr/>
      </xdr:nvGrpSpPr>
      <xdr:grpSpPr>
        <a:xfrm>
          <a:off x="6057900" y="14516100"/>
          <a:ext cx="1917700" cy="2711450"/>
          <a:chOff x="6083300" y="3194050"/>
          <a:chExt cx="1930400" cy="3028950"/>
        </a:xfrm>
      </xdr:grpSpPr>
      <xdr:cxnSp macro="">
        <xdr:nvCxnSpPr>
          <xdr:cNvPr id="87" name="Conector de Seta Reta 86">
            <a:extLst>
              <a:ext uri="{FF2B5EF4-FFF2-40B4-BE49-F238E27FC236}">
                <a16:creationId xmlns:a16="http://schemas.microsoft.com/office/drawing/2014/main" id="{3EEEA5CD-AC1A-1199-16B4-9211FE7F39F4}"/>
              </a:ext>
            </a:extLst>
          </xdr:cNvPr>
          <xdr:cNvCxnSpPr/>
        </xdr:nvCxnSpPr>
        <xdr:spPr>
          <a:xfrm>
            <a:off x="6083300" y="3194050"/>
            <a:ext cx="1930400" cy="869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Conector de Seta Reta 87">
            <a:extLst>
              <a:ext uri="{FF2B5EF4-FFF2-40B4-BE49-F238E27FC236}">
                <a16:creationId xmlns:a16="http://schemas.microsoft.com/office/drawing/2014/main" id="{FDF17036-20F2-83EC-F3B5-FF69918160A2}"/>
              </a:ext>
            </a:extLst>
          </xdr:cNvPr>
          <xdr:cNvCxnSpPr/>
        </xdr:nvCxnSpPr>
        <xdr:spPr>
          <a:xfrm>
            <a:off x="6108700" y="3206750"/>
            <a:ext cx="1879600" cy="30162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876300</xdr:colOff>
      <xdr:row>156</xdr:row>
      <xdr:rowOff>0</xdr:rowOff>
    </xdr:from>
    <xdr:to>
      <xdr:col>13</xdr:col>
      <xdr:colOff>107950</xdr:colOff>
      <xdr:row>181</xdr:row>
      <xdr:rowOff>95250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FC6808FE-62A1-4E03-84F5-479316598675}"/>
            </a:ext>
          </a:extLst>
        </xdr:cNvPr>
        <xdr:cNvGrpSpPr/>
      </xdr:nvGrpSpPr>
      <xdr:grpSpPr>
        <a:xfrm>
          <a:off x="6057900" y="18573750"/>
          <a:ext cx="1930400" cy="3067050"/>
          <a:chOff x="6083300" y="3194050"/>
          <a:chExt cx="1949450" cy="3429000"/>
        </a:xfrm>
      </xdr:grpSpPr>
      <xdr:cxnSp macro="">
        <xdr:nvCxnSpPr>
          <xdr:cNvPr id="90" name="Conector de Seta Reta 89">
            <a:extLst>
              <a:ext uri="{FF2B5EF4-FFF2-40B4-BE49-F238E27FC236}">
                <a16:creationId xmlns:a16="http://schemas.microsoft.com/office/drawing/2014/main" id="{96C67856-9342-501E-67E7-847B40560A74}"/>
              </a:ext>
            </a:extLst>
          </xdr:cNvPr>
          <xdr:cNvCxnSpPr/>
        </xdr:nvCxnSpPr>
        <xdr:spPr>
          <a:xfrm>
            <a:off x="6083300" y="3194050"/>
            <a:ext cx="1949450" cy="996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Conector de Seta Reta 90">
            <a:extLst>
              <a:ext uri="{FF2B5EF4-FFF2-40B4-BE49-F238E27FC236}">
                <a16:creationId xmlns:a16="http://schemas.microsoft.com/office/drawing/2014/main" id="{BB6FA69D-4D31-6EAB-B4EE-F16450903E6B}"/>
              </a:ext>
            </a:extLst>
          </xdr:cNvPr>
          <xdr:cNvCxnSpPr/>
        </xdr:nvCxnSpPr>
        <xdr:spPr>
          <a:xfrm>
            <a:off x="6108700" y="3206750"/>
            <a:ext cx="1898650" cy="34163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7C00-C6B5-401F-9AEE-D3F9874DC891}">
  <sheetPr>
    <tabColor theme="4"/>
  </sheetPr>
  <dimension ref="A1:V298"/>
  <sheetViews>
    <sheetView tabSelected="1" zoomScaleNormal="100" workbookViewId="0">
      <selection activeCell="J14" sqref="J14:J18"/>
    </sheetView>
  </sheetViews>
  <sheetFormatPr defaultColWidth="8.7265625" defaultRowHeight="10.5" x14ac:dyDescent="0.35"/>
  <cols>
    <col min="1" max="1" width="4.54296875" style="2" customWidth="1"/>
    <col min="2" max="2" width="22.81640625" style="114" customWidth="1"/>
    <col min="3" max="3" width="10.6328125" style="2" customWidth="1"/>
    <col min="4" max="7" width="12.6328125" style="23" customWidth="1"/>
    <col min="8" max="8" width="4.6328125" style="23" customWidth="1"/>
    <col min="9" max="10" width="4.6328125" style="15" customWidth="1"/>
    <col min="11" max="11" width="0.81640625" style="3" customWidth="1"/>
    <col min="12" max="12" width="13.90625" style="15" customWidth="1"/>
    <col min="13" max="13" width="13.453125" style="23" bestFit="1" customWidth="1"/>
    <col min="14" max="15" width="12.54296875" style="23" customWidth="1"/>
    <col min="16" max="16" width="4.6328125" style="23" customWidth="1"/>
    <col min="17" max="18" width="4.6328125" style="15" customWidth="1"/>
    <col min="19" max="19" width="0.81640625" style="3" customWidth="1"/>
    <col min="20" max="20" width="31.7265625" style="23" customWidth="1"/>
    <col min="21" max="16384" width="8.7265625" style="2"/>
  </cols>
  <sheetData>
    <row r="1" spans="1:20" ht="20" customHeight="1" x14ac:dyDescent="0.35">
      <c r="B1" s="357" t="s">
        <v>121</v>
      </c>
      <c r="C1" s="358"/>
      <c r="D1" s="358"/>
      <c r="E1" s="358"/>
      <c r="F1" s="359"/>
      <c r="P1" s="57"/>
    </row>
    <row r="2" spans="1:20" ht="10.5" customHeight="1" x14ac:dyDescent="0.35">
      <c r="B2" s="186" t="s">
        <v>10</v>
      </c>
      <c r="C2" s="361" t="s">
        <v>86</v>
      </c>
      <c r="D2" s="361" t="s">
        <v>12</v>
      </c>
      <c r="E2" s="361" t="s">
        <v>92</v>
      </c>
      <c r="F2" s="361" t="s">
        <v>23</v>
      </c>
      <c r="J2" s="2"/>
      <c r="K2" s="2"/>
      <c r="L2" s="2"/>
      <c r="M2" s="2"/>
      <c r="N2" s="2"/>
      <c r="O2" s="2"/>
      <c r="P2" s="57"/>
    </row>
    <row r="3" spans="1:20" ht="10.5" customHeight="1" x14ac:dyDescent="0.35">
      <c r="B3" s="186" t="s">
        <v>8</v>
      </c>
      <c r="C3" s="242" t="s">
        <v>9</v>
      </c>
      <c r="D3" s="242" t="s">
        <v>9</v>
      </c>
      <c r="E3" s="71" t="s">
        <v>11</v>
      </c>
      <c r="F3" s="71" t="s">
        <v>11</v>
      </c>
      <c r="G3" s="2"/>
      <c r="H3" s="2"/>
      <c r="I3" s="2"/>
      <c r="J3" s="2"/>
      <c r="K3" s="2"/>
      <c r="L3" s="2"/>
      <c r="M3" s="2"/>
      <c r="N3" s="2"/>
      <c r="O3" s="2"/>
      <c r="P3" s="57"/>
    </row>
    <row r="4" spans="1:20" ht="10.5" customHeight="1" x14ac:dyDescent="0.35">
      <c r="B4" s="241" t="s">
        <v>0</v>
      </c>
      <c r="C4" s="243">
        <v>46296</v>
      </c>
      <c r="D4" s="243">
        <v>46296</v>
      </c>
      <c r="E4" s="243">
        <v>46296</v>
      </c>
      <c r="F4" s="243">
        <v>46296</v>
      </c>
      <c r="G4" s="7"/>
      <c r="H4" s="2"/>
      <c r="I4" s="2"/>
      <c r="J4" s="2"/>
      <c r="K4" s="2"/>
      <c r="L4" s="2"/>
      <c r="M4" s="2"/>
      <c r="N4" s="2"/>
      <c r="O4" s="2"/>
      <c r="P4" s="57"/>
    </row>
    <row r="5" spans="1:20" ht="10.5" customHeight="1" x14ac:dyDescent="0.35">
      <c r="B5" s="241" t="s">
        <v>1</v>
      </c>
      <c r="C5" s="243">
        <v>46512</v>
      </c>
      <c r="D5" s="243">
        <v>46512</v>
      </c>
      <c r="E5" s="243">
        <v>46512</v>
      </c>
      <c r="F5" s="243">
        <v>46512</v>
      </c>
      <c r="G5" s="7"/>
      <c r="H5" s="2"/>
      <c r="I5" s="2"/>
      <c r="J5" s="2"/>
      <c r="K5" s="2"/>
      <c r="L5" s="2"/>
      <c r="M5" s="2"/>
      <c r="N5" s="2"/>
      <c r="O5" s="2"/>
      <c r="P5" s="57"/>
    </row>
    <row r="6" spans="1:20" ht="10.5" customHeight="1" x14ac:dyDescent="0.35">
      <c r="B6" s="186" t="s">
        <v>2</v>
      </c>
      <c r="C6" s="41">
        <f>C5-C4</f>
        <v>216</v>
      </c>
      <c r="D6" s="41">
        <f>D5-D4</f>
        <v>216</v>
      </c>
      <c r="E6" s="34">
        <f>E5-E4</f>
        <v>216</v>
      </c>
      <c r="F6" s="34">
        <f>F5-F4</f>
        <v>216</v>
      </c>
      <c r="G6" s="2"/>
      <c r="H6" s="2"/>
      <c r="I6" s="2"/>
      <c r="J6" s="2"/>
      <c r="K6" s="2"/>
      <c r="L6" s="2"/>
      <c r="M6" s="2"/>
      <c r="N6" s="2"/>
      <c r="O6" s="2"/>
      <c r="P6" s="57"/>
    </row>
    <row r="7" spans="1:20" ht="10.5" customHeight="1" x14ac:dyDescent="0.35">
      <c r="B7" s="186" t="s">
        <v>3</v>
      </c>
      <c r="C7" s="39">
        <v>1.85</v>
      </c>
      <c r="D7" s="39">
        <v>1.45</v>
      </c>
      <c r="E7" s="23">
        <v>1.2</v>
      </c>
      <c r="F7" s="23">
        <v>0.7</v>
      </c>
      <c r="G7" s="2"/>
      <c r="H7" s="2"/>
      <c r="I7" s="2"/>
      <c r="J7" s="2"/>
      <c r="K7" s="2"/>
      <c r="L7" s="2"/>
      <c r="M7" s="2"/>
      <c r="N7" s="2"/>
      <c r="O7" s="2"/>
      <c r="P7" s="57"/>
    </row>
    <row r="8" spans="1:20" ht="10.5" customHeight="1" x14ac:dyDescent="0.35">
      <c r="B8" s="186" t="s">
        <v>4</v>
      </c>
      <c r="C8" s="167">
        <f>SUM(C7/30)*C6/100+1</f>
        <v>1.1332</v>
      </c>
      <c r="D8" s="167">
        <f>SUM(D7/30)*D6/100+1</f>
        <v>1.1044</v>
      </c>
      <c r="E8" s="37">
        <f>SUM(E7/30)*E6/100+1</f>
        <v>1.0864</v>
      </c>
      <c r="F8" s="37">
        <f>SUM(F7/30)*F6/100+1</f>
        <v>1.0504</v>
      </c>
      <c r="G8" s="2"/>
      <c r="H8" s="2"/>
      <c r="I8" s="2"/>
      <c r="J8" s="2"/>
      <c r="K8" s="2"/>
      <c r="L8" s="2"/>
      <c r="M8" s="2"/>
      <c r="N8" s="2"/>
      <c r="O8" s="2"/>
      <c r="P8" s="57"/>
    </row>
    <row r="9" spans="1:20" ht="10.5" customHeight="1" x14ac:dyDescent="0.35">
      <c r="B9" s="186" t="s">
        <v>13</v>
      </c>
      <c r="C9" s="167"/>
      <c r="D9" s="180">
        <f>SUM(C8-D8)</f>
        <v>2.8799999999999937E-2</v>
      </c>
      <c r="E9" s="37"/>
      <c r="F9" s="180">
        <f>SUM(E8-F8)</f>
        <v>3.6000000000000032E-2</v>
      </c>
      <c r="G9" s="92"/>
      <c r="H9" s="92"/>
      <c r="I9" s="92"/>
      <c r="J9" s="92"/>
      <c r="K9" s="2"/>
      <c r="L9" s="2"/>
      <c r="M9" s="2"/>
      <c r="N9" s="2"/>
      <c r="O9" s="2"/>
      <c r="P9" s="57"/>
    </row>
    <row r="10" spans="1:20" ht="10.5" customHeight="1" x14ac:dyDescent="0.35">
      <c r="B10" s="186" t="s">
        <v>68</v>
      </c>
      <c r="C10" s="39">
        <v>0.99070000000000003</v>
      </c>
      <c r="E10" s="23">
        <v>0.99070000000000003</v>
      </c>
      <c r="F10" s="23">
        <v>0.99070000000000003</v>
      </c>
      <c r="G10" s="92"/>
      <c r="H10" s="92"/>
      <c r="I10" s="92"/>
      <c r="J10" s="92"/>
      <c r="K10" s="2"/>
      <c r="L10" s="2"/>
      <c r="M10" s="2"/>
      <c r="N10" s="2"/>
      <c r="O10" s="2"/>
      <c r="P10" s="57"/>
    </row>
    <row r="11" spans="1:20" ht="10.5" customHeight="1" x14ac:dyDescent="0.35">
      <c r="B11" s="186" t="s">
        <v>6</v>
      </c>
      <c r="C11" s="52">
        <v>5.7</v>
      </c>
      <c r="D11" s="51"/>
      <c r="E11" s="185"/>
      <c r="F11" s="185"/>
      <c r="G11" s="185"/>
      <c r="H11" s="185"/>
      <c r="I11" s="185"/>
      <c r="J11" s="185"/>
      <c r="K11" s="7"/>
      <c r="L11" s="2"/>
      <c r="M11" s="2"/>
      <c r="N11" s="2"/>
      <c r="O11" s="2"/>
      <c r="P11" s="57"/>
    </row>
    <row r="12" spans="1:20" ht="10.5" customHeight="1" x14ac:dyDescent="0.35">
      <c r="A12" s="3"/>
      <c r="B12" s="179"/>
      <c r="C12" s="361" t="s">
        <v>64</v>
      </c>
      <c r="D12" s="361" t="s">
        <v>65</v>
      </c>
      <c r="E12" s="185"/>
      <c r="F12" s="185"/>
      <c r="G12" s="185"/>
      <c r="H12" s="185"/>
      <c r="I12" s="185"/>
      <c r="J12" s="185"/>
      <c r="K12" s="7"/>
      <c r="L12" s="2"/>
      <c r="M12" s="2"/>
      <c r="N12" s="2"/>
      <c r="O12" s="2"/>
      <c r="P12" s="57"/>
      <c r="Q12" s="16"/>
      <c r="R12" s="16"/>
      <c r="S12" s="6"/>
    </row>
    <row r="13" spans="1:20" ht="10.5" customHeight="1" x14ac:dyDescent="0.35">
      <c r="A13" s="360" t="s">
        <v>79</v>
      </c>
      <c r="B13" s="187" t="s">
        <v>45</v>
      </c>
      <c r="C13" s="143">
        <v>115</v>
      </c>
      <c r="D13" s="181"/>
      <c r="E13" s="185"/>
      <c r="F13" s="185"/>
      <c r="G13" s="185"/>
      <c r="H13" s="185"/>
      <c r="I13" s="185"/>
      <c r="J13" s="185"/>
      <c r="K13" s="7"/>
      <c r="L13" s="2"/>
      <c r="M13" s="2"/>
      <c r="N13" s="2"/>
      <c r="O13" s="2"/>
      <c r="P13" s="57"/>
      <c r="Q13" s="16"/>
      <c r="R13" s="16"/>
      <c r="S13" s="6"/>
    </row>
    <row r="14" spans="1:20" ht="10.5" customHeight="1" x14ac:dyDescent="0.35">
      <c r="A14" s="360"/>
      <c r="B14" s="188" t="s">
        <v>46</v>
      </c>
      <c r="C14" s="160"/>
      <c r="D14" s="182">
        <v>21</v>
      </c>
      <c r="E14" s="185"/>
      <c r="F14" s="185"/>
      <c r="G14" s="185"/>
      <c r="H14" s="185"/>
      <c r="I14" s="185"/>
      <c r="J14" s="92" t="s">
        <v>117</v>
      </c>
      <c r="K14" s="184"/>
      <c r="M14" s="92"/>
      <c r="N14" s="92"/>
      <c r="O14" s="92"/>
      <c r="P14" s="139"/>
      <c r="Q14" s="16"/>
      <c r="R14" s="16"/>
      <c r="S14" s="6"/>
    </row>
    <row r="15" spans="1:20" ht="10.5" customHeight="1" x14ac:dyDescent="0.35">
      <c r="A15" s="360"/>
      <c r="B15" s="189" t="s">
        <v>54</v>
      </c>
      <c r="C15" s="217">
        <f>G40</f>
        <v>6.5178397458524481E-2</v>
      </c>
      <c r="D15" s="217">
        <f>G56</f>
        <v>7.2828792341678966E-2</v>
      </c>
      <c r="E15" s="185"/>
      <c r="F15" s="185"/>
      <c r="G15" s="185"/>
      <c r="H15" s="185"/>
      <c r="I15" s="185"/>
      <c r="J15" s="2" t="s">
        <v>116</v>
      </c>
      <c r="K15" s="7"/>
      <c r="M15" s="2"/>
      <c r="N15" s="2"/>
      <c r="O15" s="2"/>
      <c r="Q15" s="16"/>
    </row>
    <row r="16" spans="1:20" s="92" customFormat="1" ht="10.5" customHeight="1" x14ac:dyDescent="0.35">
      <c r="A16" s="360"/>
      <c r="B16" s="190" t="s">
        <v>78</v>
      </c>
      <c r="C16" s="175">
        <v>0.04</v>
      </c>
      <c r="D16" s="175">
        <v>0.04</v>
      </c>
      <c r="E16" s="185"/>
      <c r="F16" s="185"/>
      <c r="G16" s="185"/>
      <c r="H16" s="185"/>
      <c r="I16" s="185"/>
      <c r="J16" s="2" t="s">
        <v>119</v>
      </c>
      <c r="K16" s="7"/>
      <c r="M16" s="2"/>
      <c r="N16" s="2"/>
      <c r="O16" s="2"/>
      <c r="P16" s="23"/>
      <c r="Q16" s="59"/>
      <c r="R16" s="19"/>
      <c r="S16" s="8"/>
      <c r="T16" s="58"/>
    </row>
    <row r="17" spans="1:21" s="92" customFormat="1" ht="10.5" customHeight="1" x14ac:dyDescent="0.35">
      <c r="A17" s="360"/>
      <c r="B17" s="191" t="s">
        <v>70</v>
      </c>
      <c r="C17" s="176">
        <f>SUM(C13*C15)+C13</f>
        <v>122.49551570773032</v>
      </c>
      <c r="D17" s="183">
        <f>SUM(D14*D15)+D14</f>
        <v>22.529404639175258</v>
      </c>
      <c r="E17" s="185"/>
      <c r="F17" s="185"/>
      <c r="G17" s="185"/>
      <c r="H17" s="185"/>
      <c r="I17" s="185"/>
      <c r="J17" s="2" t="s">
        <v>118</v>
      </c>
      <c r="K17" s="7"/>
      <c r="M17" s="2"/>
      <c r="N17" s="2"/>
      <c r="O17" s="2"/>
      <c r="P17" s="23"/>
      <c r="Q17" s="59"/>
      <c r="R17" s="19"/>
      <c r="S17" s="8"/>
      <c r="T17" s="58"/>
    </row>
    <row r="18" spans="1:21" s="92" customFormat="1" ht="10.5" customHeight="1" x14ac:dyDescent="0.35">
      <c r="A18" s="360"/>
      <c r="B18" s="191" t="s">
        <v>85</v>
      </c>
      <c r="C18" s="217">
        <f>$G$77</f>
        <v>7.5178397458524476E-2</v>
      </c>
      <c r="D18" s="217">
        <f>G95</f>
        <v>8.2828792341678961E-2</v>
      </c>
      <c r="E18" s="185"/>
      <c r="F18" s="185"/>
      <c r="G18" s="185"/>
      <c r="H18" s="185"/>
      <c r="I18" s="185"/>
      <c r="J18" s="185"/>
      <c r="K18" s="7"/>
      <c r="L18" s="2"/>
      <c r="M18" s="2"/>
      <c r="N18" s="2"/>
      <c r="O18" s="2"/>
      <c r="P18" s="23"/>
      <c r="Q18" s="59"/>
      <c r="R18" s="19"/>
      <c r="S18" s="8"/>
      <c r="T18" s="58"/>
    </row>
    <row r="19" spans="1:21" s="92" customFormat="1" ht="10.5" customHeight="1" x14ac:dyDescent="0.35">
      <c r="A19" s="360"/>
      <c r="B19" s="190" t="s">
        <v>78</v>
      </c>
      <c r="C19" s="175">
        <v>0.05</v>
      </c>
      <c r="D19" s="175">
        <v>0.05</v>
      </c>
      <c r="E19" s="185"/>
      <c r="F19" s="185"/>
      <c r="G19" s="185"/>
      <c r="H19" s="185"/>
      <c r="I19" s="185"/>
      <c r="J19" s="185"/>
      <c r="K19" s="7"/>
      <c r="L19" s="2"/>
      <c r="M19" s="2"/>
      <c r="N19" s="2"/>
      <c r="O19" s="2"/>
      <c r="P19" s="23"/>
      <c r="Q19" s="59"/>
      <c r="R19" s="19"/>
      <c r="S19" s="8"/>
      <c r="T19" s="58"/>
    </row>
    <row r="20" spans="1:21" s="92" customFormat="1" ht="10.5" customHeight="1" x14ac:dyDescent="0.35">
      <c r="A20" s="360"/>
      <c r="B20" s="191" t="s">
        <v>85</v>
      </c>
      <c r="C20" s="176">
        <f>SUM(C13*C18)+C13</f>
        <v>123.64551570773031</v>
      </c>
      <c r="D20" s="183">
        <f>SUM(D14*D18)+D14</f>
        <v>22.739404639175259</v>
      </c>
      <c r="E20" s="185"/>
      <c r="F20" s="185"/>
      <c r="G20" s="185"/>
      <c r="H20" s="185"/>
      <c r="I20" s="185"/>
      <c r="J20" s="185"/>
      <c r="K20" s="7"/>
      <c r="L20" s="2"/>
      <c r="M20" s="2"/>
      <c r="N20" s="2"/>
      <c r="O20" s="2"/>
      <c r="P20" s="23"/>
      <c r="Q20" s="59"/>
      <c r="R20" s="19"/>
      <c r="S20" s="8"/>
      <c r="T20" s="58"/>
    </row>
    <row r="21" spans="1:21" s="92" customFormat="1" ht="10.5" customHeight="1" x14ac:dyDescent="0.35">
      <c r="A21" s="2"/>
      <c r="B21" s="192" t="s">
        <v>21</v>
      </c>
      <c r="C21" s="81">
        <v>1.04</v>
      </c>
      <c r="D21" s="81">
        <v>1.04</v>
      </c>
      <c r="E21" s="34"/>
      <c r="F21" s="83"/>
      <c r="G21" s="83"/>
      <c r="H21" s="34"/>
      <c r="I21" s="17"/>
      <c r="J21" s="17"/>
      <c r="K21" s="3"/>
      <c r="L21" s="15"/>
      <c r="M21" s="23"/>
      <c r="N21" s="2"/>
      <c r="O21" s="23"/>
      <c r="P21" s="23"/>
      <c r="Q21" s="59"/>
      <c r="R21" s="19"/>
      <c r="S21" s="8"/>
      <c r="T21" s="58"/>
    </row>
    <row r="22" spans="1:21" s="8" customFormat="1" ht="10.5" customHeight="1" x14ac:dyDescent="0.35">
      <c r="A22" s="3"/>
      <c r="B22" s="193"/>
      <c r="C22" s="177"/>
      <c r="D22" s="178"/>
      <c r="E22" s="17"/>
      <c r="F22" s="12"/>
      <c r="G22" s="12"/>
      <c r="H22" s="17"/>
      <c r="I22" s="17"/>
      <c r="J22" s="17"/>
      <c r="K22" s="12"/>
      <c r="L22" s="17"/>
      <c r="M22" s="17"/>
      <c r="N22" s="12"/>
      <c r="O22" s="17"/>
      <c r="P22" s="17"/>
      <c r="Q22" s="59"/>
      <c r="R22" s="19"/>
      <c r="T22" s="19"/>
    </row>
    <row r="23" spans="1:21" s="8" customFormat="1" ht="10.5" customHeight="1" x14ac:dyDescent="0.35">
      <c r="A23" s="3"/>
      <c r="B23" s="193"/>
      <c r="C23" s="177"/>
      <c r="D23" s="178"/>
      <c r="E23" s="17"/>
      <c r="F23" s="12"/>
      <c r="G23" s="12"/>
      <c r="H23" s="17"/>
      <c r="I23" s="17"/>
      <c r="J23" s="17"/>
      <c r="K23" s="12"/>
      <c r="L23" s="17"/>
      <c r="M23" s="17"/>
      <c r="N23" s="12"/>
      <c r="O23" s="17"/>
      <c r="P23" s="17"/>
      <c r="Q23" s="59"/>
      <c r="R23" s="19"/>
      <c r="T23" s="19"/>
    </row>
    <row r="24" spans="1:21" s="3" customFormat="1" ht="10.5" customHeight="1" x14ac:dyDescent="0.35">
      <c r="B24" s="194"/>
      <c r="C24" s="15"/>
      <c r="D24" s="17"/>
      <c r="E24" s="17"/>
      <c r="F24" s="17"/>
      <c r="G24" s="17"/>
      <c r="H24" s="17"/>
      <c r="I24" s="17"/>
      <c r="J24" s="17"/>
      <c r="K24" s="12"/>
      <c r="L24" s="17"/>
      <c r="M24" s="17"/>
      <c r="N24" s="17"/>
      <c r="O24" s="17"/>
      <c r="P24" s="17"/>
      <c r="Q24" s="15"/>
      <c r="R24" s="15"/>
      <c r="T24" s="15"/>
    </row>
    <row r="25" spans="1:21" s="83" customFormat="1" ht="10.5" customHeight="1" x14ac:dyDescent="0.35">
      <c r="A25" s="2"/>
      <c r="B25" s="195"/>
      <c r="C25" s="2"/>
      <c r="D25" s="23"/>
      <c r="E25" s="244" t="s">
        <v>103</v>
      </c>
      <c r="F25" s="57"/>
      <c r="G25" s="39"/>
      <c r="H25" s="15"/>
      <c r="I25" s="15"/>
      <c r="J25" s="15"/>
      <c r="K25" s="3"/>
      <c r="L25" s="15"/>
      <c r="M25" s="244" t="s">
        <v>104</v>
      </c>
      <c r="N25" s="39"/>
      <c r="P25" s="34"/>
      <c r="Q25" s="17"/>
      <c r="R25" s="17"/>
      <c r="S25" s="12"/>
      <c r="T25" s="34"/>
    </row>
    <row r="26" spans="1:21" ht="10.5" customHeight="1" x14ac:dyDescent="0.35">
      <c r="E26" s="30">
        <f>$C$4</f>
        <v>46296</v>
      </c>
      <c r="F26" s="24" t="s">
        <v>20</v>
      </c>
      <c r="G26" s="30">
        <f>$C$5</f>
        <v>46512</v>
      </c>
      <c r="M26" s="30">
        <f>$C$4</f>
        <v>46296</v>
      </c>
      <c r="N26" s="24" t="s">
        <v>20</v>
      </c>
      <c r="O26" s="30">
        <f>$C$5</f>
        <v>46512</v>
      </c>
      <c r="Q26" s="170"/>
      <c r="R26" s="168"/>
    </row>
    <row r="27" spans="1:21" ht="10.5" customHeight="1" x14ac:dyDescent="0.35">
      <c r="A27" s="294" t="s">
        <v>108</v>
      </c>
      <c r="B27" s="297" t="s">
        <v>100</v>
      </c>
      <c r="C27" s="24" t="s">
        <v>17</v>
      </c>
      <c r="D27" s="98" t="s">
        <v>44</v>
      </c>
      <c r="E27" s="24" t="s">
        <v>69</v>
      </c>
      <c r="F27" s="25">
        <v>0.04</v>
      </c>
      <c r="G27" s="24" t="s">
        <v>19</v>
      </c>
      <c r="K27" s="8"/>
      <c r="L27" s="24" t="s">
        <v>17</v>
      </c>
      <c r="M27" s="249" t="s">
        <v>111</v>
      </c>
      <c r="N27" s="25">
        <v>0.04</v>
      </c>
      <c r="O27" s="24" t="s">
        <v>19</v>
      </c>
      <c r="S27" s="8"/>
    </row>
    <row r="28" spans="1:21" ht="10.5" customHeight="1" x14ac:dyDescent="0.35">
      <c r="A28" s="295"/>
      <c r="B28" s="297"/>
      <c r="C28" s="5" t="s">
        <v>66</v>
      </c>
      <c r="D28" s="82">
        <v>100</v>
      </c>
      <c r="E28" s="166">
        <f>33.6*$C$11</f>
        <v>191.52</v>
      </c>
      <c r="F28" s="26">
        <f>E28/$C$10/$C$21</f>
        <v>185.88255390516417</v>
      </c>
      <c r="G28" s="31">
        <f>E28/$C$10*$C$8</f>
        <v>219.06779448874534</v>
      </c>
      <c r="K28" s="9"/>
      <c r="L28" s="5" t="s">
        <v>66</v>
      </c>
      <c r="M28" s="163">
        <f>31.16*$C$11</f>
        <v>177.61199999999999</v>
      </c>
      <c r="N28" s="94">
        <f>M28/$C$10/$C$21</f>
        <v>172.38393987157485</v>
      </c>
      <c r="O28" s="31">
        <f>M28/$C$10*$C$8</f>
        <v>203.15929988896738</v>
      </c>
      <c r="Q28" s="169"/>
      <c r="S28" s="9"/>
      <c r="T28" s="58"/>
    </row>
    <row r="29" spans="1:21" ht="10.5" customHeight="1" x14ac:dyDescent="0.35">
      <c r="A29" s="295"/>
      <c r="B29" s="297"/>
      <c r="C29" s="5" t="s">
        <v>67</v>
      </c>
      <c r="D29" s="82">
        <v>200</v>
      </c>
      <c r="E29" s="166">
        <f>42.7*$C$11</f>
        <v>243.39000000000001</v>
      </c>
      <c r="F29" s="26">
        <f>E29/$C$10/$C$21</f>
        <v>236.22574558781281</v>
      </c>
      <c r="G29" s="31">
        <f>E29/$C$10*$C$8</f>
        <v>278.39865549611386</v>
      </c>
      <c r="K29" s="9"/>
      <c r="L29" s="5" t="s">
        <v>67</v>
      </c>
      <c r="M29" s="163">
        <f>33.33*$C$11</f>
        <v>189.98099999999999</v>
      </c>
      <c r="N29" s="94">
        <f>M29/$C$10/$C$21</f>
        <v>184.38885481128338</v>
      </c>
      <c r="O29" s="31">
        <f>M29/$C$10*$C$8</f>
        <v>217.30742828303218</v>
      </c>
      <c r="Q29" s="168"/>
      <c r="S29" s="65"/>
      <c r="T29" s="68" t="s">
        <v>37</v>
      </c>
      <c r="U29" s="7"/>
    </row>
    <row r="30" spans="1:21" ht="10.5" customHeight="1" x14ac:dyDescent="0.35">
      <c r="A30" s="295"/>
      <c r="B30" s="297"/>
      <c r="C30" s="4" t="s">
        <v>94</v>
      </c>
      <c r="D30" s="34"/>
      <c r="E30" s="163">
        <f>SUMPRODUCT(E28:E29,D28:D29)</f>
        <v>67830</v>
      </c>
      <c r="F30" s="163">
        <f>SUMPRODUCT(F28:F29,D28:D29)</f>
        <v>65833.40450807898</v>
      </c>
      <c r="G30" s="164">
        <f>SUMPRODUCT(G28:G29,D28:D29)</f>
        <v>77586.510548097314</v>
      </c>
      <c r="K30" s="9"/>
      <c r="L30" s="4" t="s">
        <v>94</v>
      </c>
      <c r="M30" s="163">
        <f>SUMPRODUCT(M28:M29,D28:D29)</f>
        <v>55757.399999999994</v>
      </c>
      <c r="N30" s="163">
        <f>SUMPRODUCT(N28:N29,D28:D29)</f>
        <v>54116.16494941416</v>
      </c>
      <c r="O30" s="164">
        <f>SUMPRODUCT(O28:O29,D28:D29)</f>
        <v>63777.415645503177</v>
      </c>
      <c r="S30" s="65"/>
      <c r="T30" s="69" t="s">
        <v>83</v>
      </c>
      <c r="U30" s="7"/>
    </row>
    <row r="31" spans="1:21" ht="10.5" customHeight="1" x14ac:dyDescent="0.35">
      <c r="A31" s="295"/>
      <c r="B31" s="297"/>
      <c r="C31" s="4" t="s">
        <v>93</v>
      </c>
      <c r="F31" s="28"/>
      <c r="G31" s="203">
        <f>G30/$C$13</f>
        <v>674.66530911388963</v>
      </c>
      <c r="H31" s="57"/>
      <c r="I31" s="16"/>
      <c r="J31" s="16"/>
      <c r="K31" s="10"/>
      <c r="L31" s="4" t="s">
        <v>93</v>
      </c>
      <c r="M31" s="2"/>
      <c r="N31" s="28"/>
      <c r="O31" s="86">
        <f>O30/$C$13</f>
        <v>554.58622300437548</v>
      </c>
      <c r="P31" s="57"/>
      <c r="Q31" s="16"/>
      <c r="R31" s="16"/>
      <c r="S31" s="66"/>
      <c r="T31" s="70">
        <f>O31/G31-1</f>
        <v>-0.17798319327731094</v>
      </c>
      <c r="U31" s="7"/>
    </row>
    <row r="32" spans="1:21" ht="10.5" customHeight="1" x14ac:dyDescent="0.35">
      <c r="A32" s="295"/>
      <c r="B32" s="267"/>
      <c r="C32" s="92"/>
      <c r="D32" s="58"/>
      <c r="E32" s="58"/>
      <c r="F32" s="58"/>
      <c r="G32" s="90"/>
      <c r="K32" s="8"/>
      <c r="L32" s="19"/>
      <c r="O32" s="34"/>
      <c r="S32" s="8"/>
      <c r="T32" s="67"/>
    </row>
    <row r="33" spans="1:21" ht="10.5" customHeight="1" x14ac:dyDescent="0.35">
      <c r="A33" s="295"/>
      <c r="B33" s="286" t="s">
        <v>12</v>
      </c>
      <c r="C33" s="24" t="s">
        <v>17</v>
      </c>
      <c r="D33" s="24" t="s">
        <v>16</v>
      </c>
      <c r="E33" s="24" t="s">
        <v>18</v>
      </c>
      <c r="F33" s="24" t="s">
        <v>21</v>
      </c>
      <c r="G33" s="89" t="s">
        <v>19</v>
      </c>
      <c r="K33" s="8"/>
      <c r="L33" s="24" t="s">
        <v>17</v>
      </c>
      <c r="M33" s="249" t="s">
        <v>111</v>
      </c>
      <c r="N33" s="24" t="s">
        <v>21</v>
      </c>
      <c r="O33" s="24" t="s">
        <v>19</v>
      </c>
      <c r="S33" s="8"/>
      <c r="T33" s="22"/>
    </row>
    <row r="34" spans="1:21" ht="10.5" customHeight="1" x14ac:dyDescent="0.35">
      <c r="A34" s="295"/>
      <c r="B34" s="287"/>
      <c r="C34" s="5" t="s">
        <v>66</v>
      </c>
      <c r="D34" s="84">
        <f>D28</f>
        <v>100</v>
      </c>
      <c r="E34" s="166">
        <f>33.6*$C$11</f>
        <v>191.52</v>
      </c>
      <c r="F34" s="26">
        <f>E34/$C$10/$C$21</f>
        <v>185.88255390516417</v>
      </c>
      <c r="G34" s="31">
        <f>E34/$C$10*$C$8</f>
        <v>219.06779448874534</v>
      </c>
      <c r="K34" s="9"/>
      <c r="L34" s="5" t="s">
        <v>66</v>
      </c>
      <c r="M34" s="163">
        <f>31.16*$C$11</f>
        <v>177.61199999999999</v>
      </c>
      <c r="N34" s="94">
        <f>M34/$C$10/$C$21</f>
        <v>172.38393987157485</v>
      </c>
      <c r="O34" s="31">
        <f>M34/$C$10*$C$8</f>
        <v>203.15929988896738</v>
      </c>
      <c r="P34" s="58"/>
      <c r="Q34" s="19"/>
      <c r="S34" s="9"/>
      <c r="T34" s="71"/>
    </row>
    <row r="35" spans="1:21" ht="10.5" customHeight="1" x14ac:dyDescent="0.35">
      <c r="A35" s="295"/>
      <c r="B35" s="287"/>
      <c r="C35" s="5" t="s">
        <v>67</v>
      </c>
      <c r="D35" s="84">
        <f>D29</f>
        <v>200</v>
      </c>
      <c r="E35" s="166">
        <f>42.7*$C$11</f>
        <v>243.39000000000001</v>
      </c>
      <c r="F35" s="26">
        <f>E35/$C$10/$C$21</f>
        <v>236.22574558781281</v>
      </c>
      <c r="G35" s="31">
        <f>E35/$C$10*$C$8</f>
        <v>278.39865549611386</v>
      </c>
      <c r="K35" s="9"/>
      <c r="L35" s="5" t="s">
        <v>67</v>
      </c>
      <c r="M35" s="163">
        <f>33.33*$C$11</f>
        <v>189.98099999999999</v>
      </c>
      <c r="N35" s="94">
        <f>M35/$C$10/$C$21</f>
        <v>184.38885481128338</v>
      </c>
      <c r="O35" s="55">
        <f>M35/$C$10*$C$8</f>
        <v>217.30742828303218</v>
      </c>
      <c r="R35" s="16"/>
      <c r="S35" s="65"/>
      <c r="T35" s="2"/>
      <c r="U35" s="7"/>
    </row>
    <row r="36" spans="1:21" ht="10.5" customHeight="1" x14ac:dyDescent="0.35">
      <c r="A36" s="295"/>
      <c r="B36" s="287"/>
      <c r="C36" s="4" t="s">
        <v>52</v>
      </c>
      <c r="E36" s="165">
        <f>SUMPRODUCT(E34:E35,D34:D35)</f>
        <v>67830</v>
      </c>
      <c r="F36" s="163">
        <f>SUMPRODUCT(F34:F35,D34:D35)</f>
        <v>65833.40450807898</v>
      </c>
      <c r="G36" s="165">
        <f>SUMPRODUCT(G34:G35,D34:D35)</f>
        <v>77586.510548097314</v>
      </c>
      <c r="H36" s="58"/>
      <c r="I36" s="19"/>
      <c r="J36" s="19"/>
      <c r="K36" s="9"/>
      <c r="L36" s="4" t="s">
        <v>52</v>
      </c>
      <c r="M36" s="164">
        <f>SUMPRODUCT(M34:M35,D34:D35)</f>
        <v>55757.399999999994</v>
      </c>
      <c r="N36" s="164">
        <f>SUMPRODUCT(N34:N35,D34:D35)</f>
        <v>54116.16494941416</v>
      </c>
      <c r="O36" s="171">
        <f>SUMPRODUCT(O34:O35,D34:D35)</f>
        <v>63777.415645503177</v>
      </c>
      <c r="R36" s="59"/>
      <c r="S36" s="65"/>
      <c r="T36" s="2"/>
      <c r="U36" s="7"/>
    </row>
    <row r="37" spans="1:21" ht="10.5" customHeight="1" x14ac:dyDescent="0.35">
      <c r="A37" s="295"/>
      <c r="B37" s="287"/>
      <c r="C37" s="4" t="s">
        <v>97</v>
      </c>
      <c r="E37" s="165"/>
      <c r="F37" s="214"/>
      <c r="G37" s="236">
        <f>G36/$C$13</f>
        <v>674.66530911388963</v>
      </c>
      <c r="H37" s="57"/>
      <c r="I37" s="215"/>
      <c r="J37" s="215"/>
      <c r="K37" s="207"/>
      <c r="L37" s="4" t="s">
        <v>97</v>
      </c>
      <c r="M37" s="4"/>
      <c r="N37" s="171"/>
      <c r="O37" s="236">
        <f>O36/$C$13</f>
        <v>554.58622300437548</v>
      </c>
      <c r="P37" s="57"/>
      <c r="R37" s="215"/>
      <c r="S37" s="207"/>
      <c r="T37" s="2"/>
      <c r="U37" s="7"/>
    </row>
    <row r="38" spans="1:21" ht="10.5" customHeight="1" x14ac:dyDescent="0.35">
      <c r="A38" s="295"/>
      <c r="B38" s="287"/>
      <c r="C38" s="2" t="s">
        <v>87</v>
      </c>
      <c r="E38" s="165"/>
      <c r="F38" s="214"/>
      <c r="G38" s="221">
        <f>G36*$C$16</f>
        <v>3103.4604219238927</v>
      </c>
      <c r="I38" s="215"/>
      <c r="J38" s="215"/>
      <c r="K38" s="207"/>
      <c r="L38" s="2" t="s">
        <v>87</v>
      </c>
      <c r="M38" s="4"/>
      <c r="N38" s="171"/>
      <c r="O38" s="224">
        <f>O36*$C$16</f>
        <v>2551.096625820127</v>
      </c>
      <c r="R38" s="215"/>
      <c r="S38" s="207"/>
      <c r="T38" s="92"/>
      <c r="U38" s="7"/>
    </row>
    <row r="39" spans="1:21" ht="10.5" customHeight="1" x14ac:dyDescent="0.35">
      <c r="A39" s="295"/>
      <c r="B39" s="287"/>
      <c r="C39" s="2" t="s">
        <v>88</v>
      </c>
      <c r="E39" s="165"/>
      <c r="F39" s="214"/>
      <c r="G39" s="163">
        <f>E36*$D$9</f>
        <v>1953.5039999999958</v>
      </c>
      <c r="I39" s="215"/>
      <c r="J39" s="215"/>
      <c r="K39" s="207"/>
      <c r="L39" s="2" t="s">
        <v>88</v>
      </c>
      <c r="M39" s="4"/>
      <c r="N39" s="171"/>
      <c r="O39" s="214">
        <f>M36*$D$9</f>
        <v>1605.8131199999964</v>
      </c>
      <c r="R39" s="215"/>
      <c r="S39" s="207"/>
      <c r="T39" s="68" t="s">
        <v>37</v>
      </c>
      <c r="U39" s="7"/>
    </row>
    <row r="40" spans="1:21" ht="10.5" customHeight="1" x14ac:dyDescent="0.35">
      <c r="A40" s="295"/>
      <c r="B40" s="287"/>
      <c r="C40" s="2" t="s">
        <v>90</v>
      </c>
      <c r="E40" s="165"/>
      <c r="F40" s="214"/>
      <c r="G40" s="220">
        <f>SUM(G38+G39)/G36</f>
        <v>6.5178397458524481E-2</v>
      </c>
      <c r="I40" s="215"/>
      <c r="J40" s="215"/>
      <c r="K40" s="207"/>
      <c r="L40" s="2" t="s">
        <v>90</v>
      </c>
      <c r="M40" s="4"/>
      <c r="N40" s="171"/>
      <c r="O40" s="225">
        <f>SUM(O38+O39)/O36</f>
        <v>6.5178397458524467E-2</v>
      </c>
      <c r="R40" s="215"/>
      <c r="S40" s="207"/>
      <c r="T40" s="69" t="s">
        <v>81</v>
      </c>
      <c r="U40" s="7"/>
    </row>
    <row r="41" spans="1:21" ht="10.5" customHeight="1" x14ac:dyDescent="0.35">
      <c r="A41" s="295"/>
      <c r="B41" s="288"/>
      <c r="C41" s="2" t="s">
        <v>98</v>
      </c>
      <c r="F41" s="28"/>
      <c r="G41" s="236">
        <f>G36/$C$17</f>
        <v>633.38245567466981</v>
      </c>
      <c r="H41" s="219">
        <f>G41/G31-1</f>
        <v>-6.1190123282670372E-2</v>
      </c>
      <c r="I41" s="18"/>
      <c r="J41" s="18"/>
      <c r="K41" s="11"/>
      <c r="L41" s="2" t="s">
        <v>98</v>
      </c>
      <c r="M41" s="4"/>
      <c r="N41" s="5"/>
      <c r="O41" s="86">
        <f>O36/$C$17</f>
        <v>520.65102364786708</v>
      </c>
      <c r="P41" s="219">
        <f>O41/O31-1</f>
        <v>-6.1190123282670594E-2</v>
      </c>
      <c r="Q41" s="18"/>
      <c r="R41" s="18"/>
      <c r="S41" s="11"/>
      <c r="T41" s="70">
        <f>O41/G41-1</f>
        <v>-0.17798319327731116</v>
      </c>
      <c r="U41" s="7"/>
    </row>
    <row r="42" spans="1:21" ht="10.5" customHeight="1" x14ac:dyDescent="0.35">
      <c r="A42" s="295"/>
      <c r="B42" s="266"/>
      <c r="G42" s="108"/>
      <c r="H42" s="109"/>
      <c r="I42" s="17"/>
      <c r="J42" s="17"/>
      <c r="K42" s="9"/>
      <c r="L42" s="111"/>
      <c r="O42" s="110"/>
      <c r="P42" s="109"/>
      <c r="Q42" s="17"/>
      <c r="R42" s="17"/>
      <c r="S42" s="9"/>
      <c r="T42" s="67"/>
    </row>
    <row r="43" spans="1:21" ht="10.5" customHeight="1" x14ac:dyDescent="0.35">
      <c r="A43" s="295"/>
      <c r="B43" s="279" t="s">
        <v>92</v>
      </c>
      <c r="C43" s="24" t="s">
        <v>17</v>
      </c>
      <c r="D43" s="24" t="s">
        <v>16</v>
      </c>
      <c r="E43" s="24" t="s">
        <v>18</v>
      </c>
      <c r="F43" s="24" t="s">
        <v>21</v>
      </c>
      <c r="G43" s="89" t="s">
        <v>19</v>
      </c>
      <c r="K43" s="8"/>
      <c r="L43" s="24" t="s">
        <v>17</v>
      </c>
      <c r="M43" s="249" t="s">
        <v>111</v>
      </c>
      <c r="N43" s="24" t="s">
        <v>21</v>
      </c>
      <c r="O43" s="24" t="s">
        <v>19</v>
      </c>
      <c r="S43" s="8"/>
      <c r="T43" s="22"/>
    </row>
    <row r="44" spans="1:21" ht="10.5" customHeight="1" x14ac:dyDescent="0.35">
      <c r="A44" s="295"/>
      <c r="B44" s="279"/>
      <c r="C44" s="5" t="s">
        <v>66</v>
      </c>
      <c r="D44" s="84">
        <f>D28</f>
        <v>100</v>
      </c>
      <c r="E44" s="49">
        <v>33.6</v>
      </c>
      <c r="F44" s="50">
        <f>E44/$E$10/$D$21</f>
        <v>32.610974369327046</v>
      </c>
      <c r="G44" s="50">
        <f>E44/$E$10*$E$8</f>
        <v>36.845705057030386</v>
      </c>
      <c r="K44" s="9"/>
      <c r="L44" s="5" t="s">
        <v>66</v>
      </c>
      <c r="M44" s="29">
        <v>31.16</v>
      </c>
      <c r="N44" s="50">
        <f>M44/$E$10/$D$21</f>
        <v>30.242796468697346</v>
      </c>
      <c r="O44" s="50">
        <f>M44/$E$10*$E$8</f>
        <v>34.17000504693651</v>
      </c>
      <c r="S44" s="9"/>
      <c r="T44" s="71"/>
    </row>
    <row r="45" spans="1:21" ht="10.5" customHeight="1" x14ac:dyDescent="0.35">
      <c r="A45" s="295"/>
      <c r="B45" s="279"/>
      <c r="C45" s="5" t="s">
        <v>67</v>
      </c>
      <c r="D45" s="84">
        <f>D29</f>
        <v>200</v>
      </c>
      <c r="E45" s="49">
        <v>42.7</v>
      </c>
      <c r="F45" s="50">
        <f>E45/$E$10/$D$21</f>
        <v>41.443113261019789</v>
      </c>
      <c r="G45" s="50">
        <f>E45/$E$10*$E$8</f>
        <v>46.82475017664278</v>
      </c>
      <c r="K45" s="9"/>
      <c r="L45" s="5" t="s">
        <v>67</v>
      </c>
      <c r="M45" s="50">
        <v>33.33</v>
      </c>
      <c r="N45" s="50">
        <f>M45/$E$10/$D$21</f>
        <v>32.348921896716377</v>
      </c>
      <c r="O45" s="50">
        <f>M45/$E$10*$E$8</f>
        <v>36.549623498536384</v>
      </c>
      <c r="S45" s="65"/>
      <c r="T45" s="68" t="s">
        <v>37</v>
      </c>
      <c r="U45" s="7"/>
    </row>
    <row r="46" spans="1:21" ht="10.5" customHeight="1" x14ac:dyDescent="0.35">
      <c r="A46" s="295"/>
      <c r="B46" s="279"/>
      <c r="C46" s="4" t="s">
        <v>95</v>
      </c>
      <c r="E46" s="132">
        <f>SUMPRODUCT(E44:E45,D44:D45)</f>
        <v>11900</v>
      </c>
      <c r="F46" s="132">
        <f>SUMPRODUCT(F44:F45,D44:D45)</f>
        <v>11549.720089136663</v>
      </c>
      <c r="G46" s="134">
        <f>SUMPRODUCT(G44:G45,D44:D45)</f>
        <v>13049.520541031596</v>
      </c>
      <c r="H46" s="58"/>
      <c r="I46" s="19"/>
      <c r="J46" s="19"/>
      <c r="K46" s="9"/>
      <c r="L46" s="4" t="s">
        <v>95</v>
      </c>
      <c r="M46" s="132">
        <f>SUMPRODUCT(M44:M45,D44:D45)</f>
        <v>9782</v>
      </c>
      <c r="N46" s="132">
        <f>SUMPRODUCT(N44:N45,D44:D45)</f>
        <v>9494.0640262130091</v>
      </c>
      <c r="O46" s="133">
        <f>SUMPRODUCT(O44:O45,D44:D45)</f>
        <v>10726.925204400928</v>
      </c>
      <c r="P46" s="58"/>
      <c r="Q46" s="19"/>
      <c r="R46" s="19"/>
      <c r="S46" s="65"/>
      <c r="T46" s="69" t="s">
        <v>82</v>
      </c>
      <c r="U46" s="7"/>
    </row>
    <row r="47" spans="1:21" s="92" customFormat="1" ht="10.5" customHeight="1" x14ac:dyDescent="0.35">
      <c r="A47" s="295"/>
      <c r="B47" s="279"/>
      <c r="C47" s="2" t="s">
        <v>96</v>
      </c>
      <c r="D47" s="58"/>
      <c r="E47" s="58"/>
      <c r="F47" s="204"/>
      <c r="G47" s="236">
        <f>G46/$D$14</f>
        <v>621.40574004912355</v>
      </c>
      <c r="H47" s="103"/>
      <c r="I47" s="205">
        <f>G47/G31-1</f>
        <v>-7.8942207855206892E-2</v>
      </c>
      <c r="J47" s="59"/>
      <c r="K47" s="206"/>
      <c r="L47" s="2" t="s">
        <v>96</v>
      </c>
      <c r="M47" s="4"/>
      <c r="N47" s="204"/>
      <c r="O47" s="86">
        <f>O46/$D$14</f>
        <v>510.80596211432993</v>
      </c>
      <c r="P47" s="103"/>
      <c r="Q47" s="205">
        <f>O47/O31-1</f>
        <v>-7.8942207855206892E-2</v>
      </c>
      <c r="R47" s="59"/>
      <c r="S47" s="207"/>
      <c r="T47" s="70">
        <f>O47/G47-1</f>
        <v>-0.17798319327731094</v>
      </c>
      <c r="U47" s="184"/>
    </row>
    <row r="48" spans="1:21" ht="10.5" customHeight="1" x14ac:dyDescent="0.35">
      <c r="A48" s="295"/>
      <c r="B48" s="268"/>
      <c r="G48" s="34"/>
      <c r="O48" s="34"/>
      <c r="T48" s="67"/>
    </row>
    <row r="49" spans="1:21" s="83" customFormat="1" ht="10.5" customHeight="1" x14ac:dyDescent="0.35">
      <c r="A49" s="295"/>
      <c r="B49" s="286" t="s">
        <v>23</v>
      </c>
      <c r="C49" s="201" t="s">
        <v>17</v>
      </c>
      <c r="D49" s="201" t="s">
        <v>16</v>
      </c>
      <c r="E49" s="201" t="s">
        <v>18</v>
      </c>
      <c r="F49" s="201" t="s">
        <v>21</v>
      </c>
      <c r="G49" s="223" t="s">
        <v>19</v>
      </c>
      <c r="H49" s="34"/>
      <c r="I49" s="17"/>
      <c r="J49" s="17"/>
      <c r="K49" s="9"/>
      <c r="L49" s="201" t="s">
        <v>17</v>
      </c>
      <c r="M49" s="249" t="s">
        <v>111</v>
      </c>
      <c r="N49" s="201" t="s">
        <v>21</v>
      </c>
      <c r="O49" s="201" t="s">
        <v>19</v>
      </c>
      <c r="P49" s="34"/>
      <c r="Q49" s="17"/>
      <c r="R49" s="17"/>
      <c r="S49" s="9"/>
      <c r="T49" s="67"/>
    </row>
    <row r="50" spans="1:21" ht="10.5" customHeight="1" x14ac:dyDescent="0.35">
      <c r="A50" s="295"/>
      <c r="B50" s="287"/>
      <c r="C50" s="5" t="s">
        <v>66</v>
      </c>
      <c r="D50" s="84">
        <f>D28</f>
        <v>100</v>
      </c>
      <c r="E50" s="49">
        <v>33.6</v>
      </c>
      <c r="F50" s="50">
        <f>E50/$E$10/$D$21</f>
        <v>32.610974369327046</v>
      </c>
      <c r="G50" s="50">
        <f>E50/$E$10*$E$8</f>
        <v>36.845705057030386</v>
      </c>
      <c r="K50" s="9"/>
      <c r="L50" s="5" t="s">
        <v>66</v>
      </c>
      <c r="M50" s="29">
        <v>31.16</v>
      </c>
      <c r="N50" s="50">
        <f>M50/$E$10/$D$21</f>
        <v>30.242796468697346</v>
      </c>
      <c r="O50" s="50">
        <f>M50/$E$10*$E$8</f>
        <v>34.17000504693651</v>
      </c>
      <c r="S50" s="9"/>
      <c r="T50" s="71"/>
    </row>
    <row r="51" spans="1:21" ht="10.5" customHeight="1" x14ac:dyDescent="0.35">
      <c r="A51" s="295"/>
      <c r="B51" s="287"/>
      <c r="C51" s="5" t="s">
        <v>67</v>
      </c>
      <c r="D51" s="84">
        <f>D29</f>
        <v>200</v>
      </c>
      <c r="E51" s="49">
        <v>42.7</v>
      </c>
      <c r="F51" s="50">
        <f>E51/$E$10/$D$21</f>
        <v>41.443113261019789</v>
      </c>
      <c r="G51" s="50">
        <f>E51/$E$10*$E$8</f>
        <v>46.82475017664278</v>
      </c>
      <c r="K51" s="9"/>
      <c r="L51" s="5" t="s">
        <v>67</v>
      </c>
      <c r="M51" s="50">
        <v>33.33</v>
      </c>
      <c r="N51" s="50">
        <f>M51/$E$10/$D$21</f>
        <v>32.348921896716377</v>
      </c>
      <c r="O51" s="50">
        <f>M51/$E$10*$E$8</f>
        <v>36.549623498536384</v>
      </c>
      <c r="S51" s="65"/>
      <c r="T51" s="2"/>
      <c r="U51" s="7"/>
    </row>
    <row r="52" spans="1:21" ht="10.5" customHeight="1" x14ac:dyDescent="0.35">
      <c r="A52" s="295"/>
      <c r="B52" s="287"/>
      <c r="C52" s="4" t="s">
        <v>53</v>
      </c>
      <c r="E52" s="132">
        <f>SUMPRODUCT(E50:E51,D50:D51)</f>
        <v>11900</v>
      </c>
      <c r="F52" s="132">
        <f>SUMPRODUCT(F50:F51,D50:D51)</f>
        <v>11549.720089136663</v>
      </c>
      <c r="G52" s="134">
        <f>SUMPRODUCT(G50:G51,D50:D51)</f>
        <v>13049.520541031596</v>
      </c>
      <c r="H52" s="58"/>
      <c r="I52" s="19"/>
      <c r="J52" s="19"/>
      <c r="K52" s="9"/>
      <c r="L52" s="4" t="s">
        <v>53</v>
      </c>
      <c r="M52" s="133">
        <f>SUMPRODUCT(M50:M51,D50:D51)</f>
        <v>9782</v>
      </c>
      <c r="N52" s="133">
        <f>SUMPRODUCT(N50:N51,D50:D51)</f>
        <v>9494.0640262130091</v>
      </c>
      <c r="O52" s="133">
        <f>SUMPRODUCT(O50:O51,D50:D51)</f>
        <v>10726.925204400928</v>
      </c>
      <c r="P52" s="58"/>
      <c r="Q52" s="19"/>
      <c r="R52" s="19"/>
      <c r="S52" s="65"/>
      <c r="T52" s="92"/>
      <c r="U52" s="7"/>
    </row>
    <row r="53" spans="1:21" ht="10.5" customHeight="1" x14ac:dyDescent="0.35">
      <c r="A53" s="295"/>
      <c r="B53" s="287"/>
      <c r="C53" s="4" t="s">
        <v>97</v>
      </c>
      <c r="E53" s="165"/>
      <c r="F53" s="214"/>
      <c r="G53" s="236">
        <f>G52/$D$14</f>
        <v>621.40574004912355</v>
      </c>
      <c r="H53" s="139"/>
      <c r="I53" s="215"/>
      <c r="J53" s="215"/>
      <c r="K53" s="207"/>
      <c r="L53" s="4" t="s">
        <v>89</v>
      </c>
      <c r="M53" s="118"/>
      <c r="N53" s="136"/>
      <c r="O53" s="236">
        <f>O52/$D$14</f>
        <v>510.80596211432993</v>
      </c>
      <c r="P53" s="139"/>
      <c r="Q53" s="215"/>
      <c r="R53" s="215"/>
      <c r="U53" s="7"/>
    </row>
    <row r="54" spans="1:21" ht="10.5" customHeight="1" x14ac:dyDescent="0.35">
      <c r="A54" s="295"/>
      <c r="B54" s="287"/>
      <c r="C54" s="2" t="s">
        <v>87</v>
      </c>
      <c r="E54" s="165"/>
      <c r="F54" s="214"/>
      <c r="G54" s="230">
        <f>G52*$D$16</f>
        <v>521.98082164126379</v>
      </c>
      <c r="H54" s="139"/>
      <c r="I54" s="215"/>
      <c r="J54" s="215"/>
      <c r="K54" s="207"/>
      <c r="L54" s="2" t="s">
        <v>87</v>
      </c>
      <c r="M54" s="118"/>
      <c r="N54" s="136"/>
      <c r="O54" s="230">
        <f>O52*$D$16</f>
        <v>429.07700817603711</v>
      </c>
      <c r="P54" s="139"/>
      <c r="Q54" s="215"/>
      <c r="R54" s="215"/>
      <c r="T54" s="58"/>
      <c r="U54" s="7"/>
    </row>
    <row r="55" spans="1:21" ht="10.5" customHeight="1" x14ac:dyDescent="0.35">
      <c r="A55" s="295"/>
      <c r="B55" s="287"/>
      <c r="C55" s="2" t="s">
        <v>88</v>
      </c>
      <c r="E55" s="165"/>
      <c r="F55" s="214"/>
      <c r="G55" s="29">
        <f>E52*$F$9</f>
        <v>428.40000000000038</v>
      </c>
      <c r="H55" s="139"/>
      <c r="I55" s="215"/>
      <c r="J55" s="215"/>
      <c r="K55" s="207"/>
      <c r="L55" s="2" t="s">
        <v>88</v>
      </c>
      <c r="M55" s="118"/>
      <c r="N55" s="136"/>
      <c r="O55" s="29">
        <f>M52*$F$9</f>
        <v>352.15200000000033</v>
      </c>
      <c r="P55" s="139"/>
      <c r="Q55" s="215"/>
      <c r="R55" s="215"/>
      <c r="S55" s="207"/>
      <c r="T55" s="68" t="s">
        <v>37</v>
      </c>
      <c r="U55" s="7"/>
    </row>
    <row r="56" spans="1:21" ht="10.5" customHeight="1" x14ac:dyDescent="0.35">
      <c r="A56" s="295"/>
      <c r="B56" s="287"/>
      <c r="C56" s="2" t="s">
        <v>90</v>
      </c>
      <c r="E56" s="165"/>
      <c r="F56" s="214"/>
      <c r="G56" s="220">
        <f>SUM(G54+G55)/G52</f>
        <v>7.2828792341678966E-2</v>
      </c>
      <c r="H56" s="139"/>
      <c r="I56" s="215"/>
      <c r="J56" s="215"/>
      <c r="K56" s="207"/>
      <c r="L56" s="2" t="s">
        <v>90</v>
      </c>
      <c r="M56" s="118"/>
      <c r="N56" s="136"/>
      <c r="O56" s="220">
        <f>SUM(O54+O55)/O52</f>
        <v>7.282879234167898E-2</v>
      </c>
      <c r="P56" s="139"/>
      <c r="Q56" s="215"/>
      <c r="R56" s="215"/>
      <c r="S56" s="207"/>
      <c r="T56" s="69" t="s">
        <v>84</v>
      </c>
      <c r="U56" s="7"/>
    </row>
    <row r="57" spans="1:21" ht="10.5" customHeight="1" x14ac:dyDescent="0.35">
      <c r="A57" s="295"/>
      <c r="B57" s="287"/>
      <c r="C57" s="2" t="s">
        <v>99</v>
      </c>
      <c r="F57" s="28"/>
      <c r="G57" s="236">
        <f>G52/$D$17</f>
        <v>579.22172156917259</v>
      </c>
      <c r="H57" s="57"/>
      <c r="I57" s="18"/>
      <c r="J57" s="127">
        <f>G57/G31-1</f>
        <v>-0.1414680527594836</v>
      </c>
      <c r="K57" s="11"/>
      <c r="L57" s="2" t="s">
        <v>99</v>
      </c>
      <c r="M57" s="118"/>
      <c r="N57" s="28"/>
      <c r="O57" s="236">
        <f>O52/$D$17</f>
        <v>476.12998994870964</v>
      </c>
      <c r="P57" s="57"/>
      <c r="Q57" s="18"/>
      <c r="R57" s="127">
        <f>O57/O31-1</f>
        <v>-0.14146805275948382</v>
      </c>
      <c r="S57" s="11"/>
      <c r="T57" s="70">
        <f>O57/G57-1</f>
        <v>-0.17798319327731116</v>
      </c>
      <c r="U57" s="7"/>
    </row>
    <row r="58" spans="1:21" ht="10.5" customHeight="1" x14ac:dyDescent="0.35">
      <c r="A58" s="296"/>
      <c r="B58" s="288"/>
      <c r="C58" s="112"/>
      <c r="D58" s="34"/>
      <c r="E58" s="34"/>
      <c r="F58" s="2"/>
      <c r="G58" s="125"/>
      <c r="H58" s="34"/>
      <c r="I58" s="17"/>
      <c r="J58" s="17"/>
      <c r="K58" s="12"/>
      <c r="L58" s="199"/>
      <c r="M58" s="112"/>
      <c r="N58" s="5"/>
      <c r="O58" s="210">
        <f>O57/G31-1</f>
        <v>-0.29427231025993872</v>
      </c>
      <c r="P58" s="90"/>
      <c r="Q58" s="17"/>
      <c r="R58" s="17"/>
      <c r="S58" s="12"/>
      <c r="T58" s="34"/>
    </row>
    <row r="59" spans="1:21" s="8" customFormat="1" ht="10.5" customHeight="1" x14ac:dyDescent="0.35">
      <c r="B59" s="196"/>
      <c r="C59" s="197"/>
      <c r="D59" s="111"/>
      <c r="E59" s="111"/>
      <c r="G59" s="198"/>
      <c r="H59" s="111"/>
      <c r="I59" s="111"/>
      <c r="J59" s="111"/>
      <c r="K59" s="9"/>
      <c r="L59" s="199"/>
      <c r="M59" s="197"/>
      <c r="O59" s="9"/>
      <c r="P59" s="111"/>
      <c r="Q59" s="111"/>
      <c r="R59" s="111"/>
      <c r="S59" s="9"/>
      <c r="T59" s="111"/>
    </row>
    <row r="60" spans="1:21" ht="10.5" customHeight="1" x14ac:dyDescent="0.35">
      <c r="B60" s="268"/>
      <c r="E60" s="244" t="s">
        <v>103</v>
      </c>
      <c r="F60" s="57"/>
      <c r="G60" s="39"/>
      <c r="H60" s="15"/>
      <c r="M60" s="244" t="s">
        <v>104</v>
      </c>
      <c r="O60" s="2"/>
    </row>
    <row r="61" spans="1:21" s="83" customFormat="1" ht="10.5" customHeight="1" x14ac:dyDescent="0.35">
      <c r="B61" s="269"/>
      <c r="C61" s="2"/>
      <c r="D61" s="23"/>
      <c r="E61" s="200">
        <f>$C$4</f>
        <v>46296</v>
      </c>
      <c r="F61" s="201" t="s">
        <v>20</v>
      </c>
      <c r="G61" s="202">
        <f>$C$5</f>
        <v>46512</v>
      </c>
      <c r="H61" s="34"/>
      <c r="I61" s="17"/>
      <c r="J61" s="17"/>
      <c r="K61" s="12"/>
      <c r="L61" s="17"/>
      <c r="M61" s="202">
        <f>$C$4</f>
        <v>46296</v>
      </c>
      <c r="N61" s="201" t="s">
        <v>20</v>
      </c>
      <c r="O61" s="202">
        <f>$C$5</f>
        <v>46512</v>
      </c>
      <c r="P61" s="34"/>
      <c r="Q61" s="17"/>
      <c r="R61" s="17"/>
      <c r="S61" s="12"/>
      <c r="T61" s="34"/>
    </row>
    <row r="62" spans="1:21" ht="10.5" customHeight="1" x14ac:dyDescent="0.35">
      <c r="A62" s="292" t="s">
        <v>109</v>
      </c>
      <c r="B62" s="276" t="s">
        <v>22</v>
      </c>
      <c r="C62" s="24" t="s">
        <v>17</v>
      </c>
      <c r="D62" s="98" t="s">
        <v>44</v>
      </c>
      <c r="E62" s="24" t="s">
        <v>18</v>
      </c>
      <c r="F62" s="93">
        <v>0.04</v>
      </c>
      <c r="G62" s="24" t="s">
        <v>19</v>
      </c>
      <c r="K62" s="8"/>
      <c r="L62" s="46" t="s">
        <v>17</v>
      </c>
      <c r="M62" s="249" t="s">
        <v>111</v>
      </c>
      <c r="N62" s="229">
        <v>0.04</v>
      </c>
      <c r="O62" s="24" t="s">
        <v>19</v>
      </c>
      <c r="S62" s="8"/>
    </row>
    <row r="63" spans="1:21" ht="10.5" customHeight="1" x14ac:dyDescent="0.35">
      <c r="A63" s="293"/>
      <c r="B63" s="276"/>
      <c r="C63" s="5" t="s">
        <v>66</v>
      </c>
      <c r="D63" s="82">
        <v>100</v>
      </c>
      <c r="E63" s="166">
        <f>33.6*$C$11</f>
        <v>191.52</v>
      </c>
      <c r="F63" s="26">
        <f>E63/$C$10/$C$21</f>
        <v>185.88255390516417</v>
      </c>
      <c r="G63" s="31">
        <f t="shared" ref="G63:G65" si="0">E63/$C$10*$C$8</f>
        <v>219.06779448874534</v>
      </c>
      <c r="K63" s="9"/>
      <c r="L63" s="2" t="s">
        <v>66</v>
      </c>
      <c r="M63" s="163">
        <f>31.16*$C$11</f>
        <v>177.61199999999999</v>
      </c>
      <c r="N63" s="26">
        <f>M63/$C$10/$C$21</f>
        <v>172.38393987157485</v>
      </c>
      <c r="O63" s="227">
        <f t="shared" ref="O63:O65" si="1">M63/$C$10*$C$8</f>
        <v>203.15929988896738</v>
      </c>
      <c r="S63" s="9"/>
    </row>
    <row r="64" spans="1:21" ht="10.5" customHeight="1" x14ac:dyDescent="0.35">
      <c r="A64" s="293"/>
      <c r="B64" s="276"/>
      <c r="C64" s="5" t="s">
        <v>67</v>
      </c>
      <c r="D64" s="82">
        <v>200</v>
      </c>
      <c r="E64" s="166">
        <f>42.7*$C$11</f>
        <v>243.39000000000001</v>
      </c>
      <c r="F64" s="26">
        <f>E64/$C$10/$C$21</f>
        <v>236.22574558781281</v>
      </c>
      <c r="G64" s="31">
        <f t="shared" si="0"/>
        <v>278.39865549611386</v>
      </c>
      <c r="K64" s="9"/>
      <c r="L64" s="2" t="s">
        <v>67</v>
      </c>
      <c r="M64" s="163">
        <f>33.33*$C$11</f>
        <v>189.98099999999999</v>
      </c>
      <c r="N64" s="26">
        <f>M64/$C$10/$C$21</f>
        <v>184.38885481128338</v>
      </c>
      <c r="O64" s="227">
        <f t="shared" si="1"/>
        <v>217.30742828303218</v>
      </c>
      <c r="S64" s="9"/>
      <c r="T64" s="58"/>
    </row>
    <row r="65" spans="1:21" ht="10.5" customHeight="1" x14ac:dyDescent="0.35">
      <c r="A65" s="293"/>
      <c r="B65" s="276"/>
      <c r="C65" s="5" t="s">
        <v>14</v>
      </c>
      <c r="D65" s="82">
        <v>100</v>
      </c>
      <c r="E65" s="166">
        <f>86.4*$C$11</f>
        <v>492.48000000000008</v>
      </c>
      <c r="F65" s="26">
        <f>E65/$C$10/$C$21</f>
        <v>477.98371004185077</v>
      </c>
      <c r="G65" s="31">
        <f t="shared" si="0"/>
        <v>563.31718582820235</v>
      </c>
      <c r="K65" s="9"/>
      <c r="L65" s="2" t="s">
        <v>14</v>
      </c>
      <c r="M65" s="163">
        <f>77*$C$11</f>
        <v>438.90000000000003</v>
      </c>
      <c r="N65" s="26">
        <f>M65/$C$10/$C$21</f>
        <v>425.98085269933455</v>
      </c>
      <c r="O65" s="227">
        <f t="shared" si="1"/>
        <v>502.03036237004136</v>
      </c>
      <c r="S65" s="65"/>
      <c r="T65" s="68" t="s">
        <v>37</v>
      </c>
      <c r="U65" s="7"/>
    </row>
    <row r="66" spans="1:21" ht="10.5" customHeight="1" x14ac:dyDescent="0.35">
      <c r="A66" s="293"/>
      <c r="B66" s="276"/>
      <c r="C66" s="4" t="s">
        <v>94</v>
      </c>
      <c r="D66" s="34"/>
      <c r="E66" s="164">
        <f>SUMPRODUCT(E63:E65,$D$63:$D$65)</f>
        <v>117078</v>
      </c>
      <c r="F66" s="164">
        <f>SUMPRODUCT(F63:F65,$D$63:$D$65)</f>
        <v>113631.77551226405</v>
      </c>
      <c r="G66" s="164">
        <f>SUMPRODUCT(G63:G65,$D$63:$D$65)</f>
        <v>133918.22913091755</v>
      </c>
      <c r="K66" s="12"/>
      <c r="L66" s="4" t="s">
        <v>94</v>
      </c>
      <c r="M66" s="221">
        <f>SUMPRODUCT(M63:M65,D63:D65)</f>
        <v>99647.4</v>
      </c>
      <c r="N66" s="221">
        <f>SUMPRODUCT(N63:N65,D63:D65)</f>
        <v>96714.250219347625</v>
      </c>
      <c r="O66" s="164">
        <f>SUMPRODUCT(O63:O65,D63:D65)</f>
        <v>113980.4518825073</v>
      </c>
      <c r="S66" s="74"/>
      <c r="T66" s="69" t="s">
        <v>83</v>
      </c>
      <c r="U66" s="7"/>
    </row>
    <row r="67" spans="1:21" ht="10.5" customHeight="1" x14ac:dyDescent="0.35">
      <c r="A67" s="293"/>
      <c r="B67" s="276"/>
      <c r="C67" s="4" t="s">
        <v>93</v>
      </c>
      <c r="F67" s="95"/>
      <c r="G67" s="203">
        <f>G66/$C$13</f>
        <v>1164.5063402688484</v>
      </c>
      <c r="H67" s="57"/>
      <c r="I67" s="16"/>
      <c r="J67" s="16"/>
      <c r="K67" s="6"/>
      <c r="L67" s="4" t="s">
        <v>93</v>
      </c>
      <c r="M67" s="4"/>
      <c r="N67" s="28"/>
      <c r="O67" s="86">
        <f>O66/$C$13</f>
        <v>991.13436419571565</v>
      </c>
      <c r="P67" s="57"/>
      <c r="Q67" s="16"/>
      <c r="R67" s="16"/>
      <c r="S67" s="13"/>
      <c r="T67" s="70">
        <f>O67/G67-1</f>
        <v>-0.14888023369036063</v>
      </c>
      <c r="U67" s="7"/>
    </row>
    <row r="68" spans="1:21" ht="10.5" customHeight="1" x14ac:dyDescent="0.35">
      <c r="A68" s="293"/>
      <c r="B68" s="266"/>
      <c r="F68" s="57"/>
      <c r="G68" s="34"/>
      <c r="L68" s="19"/>
      <c r="O68" s="34"/>
      <c r="T68" s="34"/>
    </row>
    <row r="69" spans="1:21" ht="10.5" customHeight="1" x14ac:dyDescent="0.35">
      <c r="A69" s="293"/>
      <c r="B69" s="286" t="s">
        <v>12</v>
      </c>
      <c r="C69" s="24" t="s">
        <v>17</v>
      </c>
      <c r="D69" s="46" t="s">
        <v>16</v>
      </c>
      <c r="E69" s="24" t="s">
        <v>18</v>
      </c>
      <c r="F69" s="89" t="s">
        <v>21</v>
      </c>
      <c r="G69" s="24" t="s">
        <v>19</v>
      </c>
      <c r="K69" s="73"/>
      <c r="L69" s="24" t="s">
        <v>17</v>
      </c>
      <c r="M69" s="249" t="s">
        <v>111</v>
      </c>
      <c r="N69" s="46" t="s">
        <v>21</v>
      </c>
      <c r="O69" s="24" t="s">
        <v>19</v>
      </c>
      <c r="S69" s="8"/>
    </row>
    <row r="70" spans="1:21" ht="10.5" customHeight="1" x14ac:dyDescent="0.35">
      <c r="A70" s="293"/>
      <c r="B70" s="287"/>
      <c r="C70" s="5" t="s">
        <v>66</v>
      </c>
      <c r="D70" s="173">
        <f>$D$63</f>
        <v>100</v>
      </c>
      <c r="E70" s="166">
        <f>33.6*$C$11</f>
        <v>191.52</v>
      </c>
      <c r="F70" s="26">
        <f>E70/$C$10/$C$21</f>
        <v>185.88255390516417</v>
      </c>
      <c r="G70" s="31">
        <f>E70/$C$10*$C$8</f>
        <v>219.06779448874534</v>
      </c>
      <c r="K70" s="65"/>
      <c r="L70" s="5" t="s">
        <v>66</v>
      </c>
      <c r="M70" s="163">
        <f>31.16*$C$11</f>
        <v>177.61199999999999</v>
      </c>
      <c r="N70" s="26">
        <f>M70/$C$10/$C$21</f>
        <v>172.38393987157485</v>
      </c>
      <c r="O70" s="227">
        <f>M70/$C$10*$C$8</f>
        <v>203.15929988896738</v>
      </c>
      <c r="S70" s="9"/>
    </row>
    <row r="71" spans="1:21" ht="10.5" customHeight="1" x14ac:dyDescent="0.35">
      <c r="A71" s="293"/>
      <c r="B71" s="287"/>
      <c r="C71" s="5" t="s">
        <v>67</v>
      </c>
      <c r="D71" s="173">
        <f>$D$64</f>
        <v>200</v>
      </c>
      <c r="E71" s="166">
        <f>42.7*$C$11</f>
        <v>243.39000000000001</v>
      </c>
      <c r="F71" s="26">
        <f>E71/$C$10/$C$21</f>
        <v>236.22574558781281</v>
      </c>
      <c r="G71" s="31">
        <f>E71/$C$10*$C$8</f>
        <v>278.39865549611386</v>
      </c>
      <c r="H71" s="58"/>
      <c r="K71" s="65"/>
      <c r="L71" s="5" t="s">
        <v>67</v>
      </c>
      <c r="M71" s="163">
        <f>33.33*$C$11</f>
        <v>189.98099999999999</v>
      </c>
      <c r="N71" s="26">
        <f>M71/$C$10/$C$21</f>
        <v>184.38885481128338</v>
      </c>
      <c r="O71" s="227">
        <f>M71/$C$10*$C$8</f>
        <v>217.30742828303218</v>
      </c>
      <c r="P71" s="58"/>
      <c r="S71" s="9"/>
      <c r="T71" s="58"/>
    </row>
    <row r="72" spans="1:21" ht="10.5" customHeight="1" x14ac:dyDescent="0.35">
      <c r="A72" s="293"/>
      <c r="B72" s="287"/>
      <c r="C72" s="5" t="s">
        <v>14</v>
      </c>
      <c r="D72" s="173">
        <f>$D$65</f>
        <v>100</v>
      </c>
      <c r="E72" s="166">
        <f>86.4*$C$11</f>
        <v>492.48000000000008</v>
      </c>
      <c r="F72" s="26">
        <f>E72/$C$10/$C$21</f>
        <v>477.98371004185077</v>
      </c>
      <c r="G72" s="31">
        <f>E72/$C$10*$C$8</f>
        <v>563.31718582820235</v>
      </c>
      <c r="H72" s="15"/>
      <c r="I72" s="59"/>
      <c r="J72" s="19"/>
      <c r="K72" s="65"/>
      <c r="L72" s="5" t="s">
        <v>14</v>
      </c>
      <c r="M72" s="163">
        <f>77*$C$11</f>
        <v>438.90000000000003</v>
      </c>
      <c r="N72" s="26">
        <f>M72/$C$10/$C$21</f>
        <v>425.98085269933455</v>
      </c>
      <c r="O72" s="227">
        <f>M72/$C$10*$C$8</f>
        <v>502.03036237004136</v>
      </c>
      <c r="P72" s="15"/>
      <c r="Q72" s="59"/>
      <c r="R72" s="19"/>
      <c r="S72" s="65"/>
      <c r="U72" s="7"/>
    </row>
    <row r="73" spans="1:21" ht="10.5" customHeight="1" x14ac:dyDescent="0.35">
      <c r="A73" s="293"/>
      <c r="B73" s="287"/>
      <c r="C73" s="4" t="s">
        <v>52</v>
      </c>
      <c r="D73" s="34"/>
      <c r="E73" s="165">
        <f>SUMPRODUCT(E70:E72,D70:D72)</f>
        <v>117078</v>
      </c>
      <c r="F73" s="163">
        <f>SUMPRODUCT(F70:F72,D70:D72)</f>
        <v>113631.77551226405</v>
      </c>
      <c r="G73" s="165">
        <f>SUMPRODUCT(G70:G72,D70:D72)</f>
        <v>133918.22913091755</v>
      </c>
      <c r="H73" s="19"/>
      <c r="I73" s="59"/>
      <c r="J73" s="19"/>
      <c r="K73" s="65"/>
      <c r="L73" s="4" t="s">
        <v>52</v>
      </c>
      <c r="M73" s="221">
        <f>SUMPRODUCT(M70:M72,D70:D72)</f>
        <v>99647.4</v>
      </c>
      <c r="N73" s="221">
        <f>SUMPRODUCT(N70:N72,D70:D72)</f>
        <v>96714.250219347625</v>
      </c>
      <c r="O73" s="165">
        <f>SUMPRODUCT(O70:O72,D70:D72)</f>
        <v>113980.4518825073</v>
      </c>
      <c r="P73" s="19"/>
      <c r="Q73" s="59"/>
      <c r="R73" s="19"/>
      <c r="S73" s="65"/>
      <c r="U73" s="7"/>
    </row>
    <row r="74" spans="1:21" ht="10.5" customHeight="1" x14ac:dyDescent="0.35">
      <c r="A74" s="293"/>
      <c r="B74" s="287"/>
      <c r="C74" s="4" t="s">
        <v>97</v>
      </c>
      <c r="E74" s="165"/>
      <c r="F74" s="214"/>
      <c r="G74" s="236">
        <f>G73/$C$13</f>
        <v>1164.5063402688484</v>
      </c>
      <c r="H74" s="7"/>
      <c r="I74" s="18"/>
      <c r="J74" s="18"/>
      <c r="K74" s="11"/>
      <c r="L74" s="4" t="s">
        <v>97</v>
      </c>
      <c r="M74" s="121"/>
      <c r="N74" s="214"/>
      <c r="O74" s="236">
        <f>O73/$C$13</f>
        <v>991.13436419571565</v>
      </c>
      <c r="P74" s="7"/>
      <c r="Q74" s="18"/>
      <c r="R74" s="18"/>
      <c r="S74" s="11"/>
      <c r="U74" s="7"/>
    </row>
    <row r="75" spans="1:21" ht="10.5" customHeight="1" x14ac:dyDescent="0.35">
      <c r="A75" s="293"/>
      <c r="B75" s="287"/>
      <c r="C75" s="2" t="s">
        <v>91</v>
      </c>
      <c r="E75" s="165"/>
      <c r="F75" s="214"/>
      <c r="G75" s="221">
        <f>G73*$C$19</f>
        <v>6695.9114565458776</v>
      </c>
      <c r="H75" s="228"/>
      <c r="I75" s="18"/>
      <c r="J75" s="18"/>
      <c r="K75" s="11"/>
      <c r="L75" s="2" t="s">
        <v>91</v>
      </c>
      <c r="M75" s="121"/>
      <c r="N75" s="214"/>
      <c r="O75" s="221">
        <f>O73*$C$19</f>
        <v>5699.0225941253657</v>
      </c>
      <c r="P75" s="228"/>
      <c r="Q75" s="18"/>
      <c r="R75" s="18"/>
      <c r="S75" s="11"/>
      <c r="T75" s="226"/>
      <c r="U75" s="7"/>
    </row>
    <row r="76" spans="1:21" ht="10.5" customHeight="1" x14ac:dyDescent="0.35">
      <c r="A76" s="293"/>
      <c r="B76" s="287"/>
      <c r="C76" s="2" t="s">
        <v>88</v>
      </c>
      <c r="E76" s="165"/>
      <c r="F76" s="214"/>
      <c r="G76" s="163">
        <f>E73*$D$9</f>
        <v>3371.8463999999926</v>
      </c>
      <c r="H76" s="228"/>
      <c r="I76" s="18"/>
      <c r="J76" s="18"/>
      <c r="K76" s="11"/>
      <c r="L76" s="2" t="s">
        <v>88</v>
      </c>
      <c r="M76" s="121"/>
      <c r="N76" s="214"/>
      <c r="O76" s="163">
        <f>M73*$D$9</f>
        <v>2869.8451199999936</v>
      </c>
      <c r="P76" s="228"/>
      <c r="Q76" s="18"/>
      <c r="R76" s="18"/>
      <c r="S76" s="11"/>
      <c r="T76" s="68" t="s">
        <v>37</v>
      </c>
      <c r="U76" s="7"/>
    </row>
    <row r="77" spans="1:21" ht="10.5" customHeight="1" x14ac:dyDescent="0.35">
      <c r="A77" s="293"/>
      <c r="B77" s="287"/>
      <c r="C77" s="2" t="s">
        <v>90</v>
      </c>
      <c r="E77" s="165"/>
      <c r="F77" s="214"/>
      <c r="G77" s="220">
        <f>SUM(G75+G76)/G73</f>
        <v>7.5178397458524476E-2</v>
      </c>
      <c r="H77" s="228"/>
      <c r="I77" s="18"/>
      <c r="J77" s="18"/>
      <c r="K77" s="11"/>
      <c r="L77" s="2" t="s">
        <v>90</v>
      </c>
      <c r="M77" s="121"/>
      <c r="N77" s="214"/>
      <c r="O77" s="220">
        <f>SUM(O75+O76)/O73</f>
        <v>7.517839745852449E-2</v>
      </c>
      <c r="P77" s="228"/>
      <c r="Q77" s="18"/>
      <c r="R77" s="18"/>
      <c r="S77" s="11"/>
      <c r="T77" s="69" t="s">
        <v>81</v>
      </c>
      <c r="U77" s="7"/>
    </row>
    <row r="78" spans="1:21" ht="10.5" customHeight="1" x14ac:dyDescent="0.35">
      <c r="A78" s="293"/>
      <c r="B78" s="288"/>
      <c r="C78" s="2" t="s">
        <v>98</v>
      </c>
      <c r="F78" s="28"/>
      <c r="G78" s="236">
        <f>G73/$C$17</f>
        <v>1093.2500537443459</v>
      </c>
      <c r="H78" s="126">
        <f>G78/G67-1</f>
        <v>-6.1190123282670705E-2</v>
      </c>
      <c r="I78" s="18"/>
      <c r="J78" s="18"/>
      <c r="K78" s="11"/>
      <c r="L78" s="2" t="s">
        <v>98</v>
      </c>
      <c r="M78" s="121"/>
      <c r="N78" s="28"/>
      <c r="O78" s="236">
        <f>O73/$C$17</f>
        <v>930.48673026088863</v>
      </c>
      <c r="P78" s="126">
        <f>O78/O67-1</f>
        <v>-6.1190123282670483E-2</v>
      </c>
      <c r="Q78" s="18"/>
      <c r="R78" s="18"/>
      <c r="S78" s="11"/>
      <c r="T78" s="70">
        <f>O78/G78-1</f>
        <v>-0.14888023369036041</v>
      </c>
      <c r="U78" s="7"/>
    </row>
    <row r="79" spans="1:21" ht="10.5" customHeight="1" x14ac:dyDescent="0.35">
      <c r="A79" s="293"/>
      <c r="B79" s="266"/>
      <c r="F79" s="57"/>
      <c r="G79" s="41"/>
      <c r="H79" s="17"/>
      <c r="I79" s="60"/>
      <c r="J79" s="17"/>
      <c r="K79" s="12"/>
      <c r="L79" s="111"/>
      <c r="O79" s="34"/>
      <c r="P79" s="17"/>
      <c r="Q79" s="60"/>
      <c r="R79" s="17"/>
      <c r="S79" s="12"/>
      <c r="T79" s="34"/>
    </row>
    <row r="80" spans="1:21" ht="10.5" customHeight="1" x14ac:dyDescent="0.35">
      <c r="A80" s="293"/>
      <c r="B80" s="279" t="s">
        <v>92</v>
      </c>
      <c r="C80" s="24" t="s">
        <v>17</v>
      </c>
      <c r="D80" s="46" t="s">
        <v>16</v>
      </c>
      <c r="E80" s="24" t="s">
        <v>18</v>
      </c>
      <c r="F80" s="89" t="s">
        <v>21</v>
      </c>
      <c r="G80" s="72" t="s">
        <v>19</v>
      </c>
      <c r="H80" s="15"/>
      <c r="I80" s="16"/>
      <c r="L80" s="24" t="s">
        <v>17</v>
      </c>
      <c r="M80" s="249" t="s">
        <v>111</v>
      </c>
      <c r="N80" s="24" t="s">
        <v>21</v>
      </c>
      <c r="O80" s="24" t="s">
        <v>19</v>
      </c>
      <c r="P80" s="15"/>
      <c r="Q80" s="16"/>
    </row>
    <row r="81" spans="1:22" ht="10.5" customHeight="1" x14ac:dyDescent="0.35">
      <c r="A81" s="293"/>
      <c r="B81" s="279"/>
      <c r="C81" s="5" t="s">
        <v>66</v>
      </c>
      <c r="D81" s="173">
        <f>$D$63</f>
        <v>100</v>
      </c>
      <c r="E81" s="49">
        <v>33.6</v>
      </c>
      <c r="F81" s="50">
        <f>E81/$E$10/$D$21</f>
        <v>32.610974369327046</v>
      </c>
      <c r="G81" s="50">
        <f>E81/$E$10*$E$8</f>
        <v>36.845705057030386</v>
      </c>
      <c r="H81" s="15"/>
      <c r="I81" s="16"/>
      <c r="L81" s="5" t="s">
        <v>66</v>
      </c>
      <c r="M81" s="29">
        <v>31.16</v>
      </c>
      <c r="N81" s="50">
        <f>M81/$E$10/$D$21</f>
        <v>30.242796468697346</v>
      </c>
      <c r="O81" s="50">
        <f>M81/$E$10*$E$8</f>
        <v>34.17000504693651</v>
      </c>
      <c r="P81" s="15"/>
      <c r="Q81" s="16"/>
    </row>
    <row r="82" spans="1:22" ht="10.5" customHeight="1" x14ac:dyDescent="0.35">
      <c r="A82" s="293"/>
      <c r="B82" s="279"/>
      <c r="C82" s="5" t="s">
        <v>67</v>
      </c>
      <c r="D82" s="173">
        <f>$D$64</f>
        <v>200</v>
      </c>
      <c r="E82" s="49">
        <v>42.7</v>
      </c>
      <c r="F82" s="50">
        <f>E82/$E$10/$D$21</f>
        <v>41.443113261019789</v>
      </c>
      <c r="G82" s="50">
        <f>E82/$E$10*$E$8</f>
        <v>46.82475017664278</v>
      </c>
      <c r="H82" s="15"/>
      <c r="I82" s="16"/>
      <c r="L82" s="5" t="s">
        <v>67</v>
      </c>
      <c r="M82" s="50">
        <v>33.33</v>
      </c>
      <c r="N82" s="50">
        <f>M82/$E$10/$D$21</f>
        <v>32.348921896716377</v>
      </c>
      <c r="O82" s="50">
        <f>M82/$E$10*$E$8</f>
        <v>36.549623498536384</v>
      </c>
      <c r="P82" s="15"/>
      <c r="Q82" s="16"/>
      <c r="T82" s="58"/>
    </row>
    <row r="83" spans="1:22" ht="10.5" customHeight="1" x14ac:dyDescent="0.35">
      <c r="A83" s="293"/>
      <c r="B83" s="279"/>
      <c r="C83" s="5" t="s">
        <v>14</v>
      </c>
      <c r="D83" s="173">
        <f>$D$65</f>
        <v>100</v>
      </c>
      <c r="E83" s="49">
        <v>86.4</v>
      </c>
      <c r="F83" s="50">
        <f>E83/$E$10/$D$21</f>
        <v>83.856791235412402</v>
      </c>
      <c r="G83" s="50">
        <f>E83/$E$10*$E$8</f>
        <v>94.74609871807813</v>
      </c>
      <c r="H83" s="15"/>
      <c r="I83" s="59"/>
      <c r="J83" s="19"/>
      <c r="K83" s="8"/>
      <c r="L83" s="5" t="s">
        <v>14</v>
      </c>
      <c r="M83" s="50">
        <v>77</v>
      </c>
      <c r="N83" s="50">
        <f>M83/$E$10/$D$21</f>
        <v>74.733482929707819</v>
      </c>
      <c r="O83" s="50">
        <f>M83/$E$10*$E$8</f>
        <v>84.438074089027964</v>
      </c>
      <c r="P83" s="15"/>
      <c r="Q83" s="59"/>
      <c r="R83" s="19"/>
      <c r="S83" s="73"/>
      <c r="T83" s="68" t="s">
        <v>37</v>
      </c>
      <c r="U83" s="7"/>
    </row>
    <row r="84" spans="1:22" ht="10.5" customHeight="1" x14ac:dyDescent="0.35">
      <c r="A84" s="293"/>
      <c r="B84" s="279"/>
      <c r="C84" s="4" t="s">
        <v>95</v>
      </c>
      <c r="D84" s="34"/>
      <c r="E84" s="50">
        <f>SUMPRODUCT(E81:E83,$D$81:$D$83)</f>
        <v>20540</v>
      </c>
      <c r="F84" s="50">
        <f>SUMPRODUCT(F81:F83,$D$81:$D$83)</f>
        <v>19935.399212677905</v>
      </c>
      <c r="G84" s="218">
        <f>SUMPRODUCT(G81:G83,$D$81:$D$83)</f>
        <v>22524.130412839411</v>
      </c>
      <c r="H84" s="15"/>
      <c r="I84" s="59"/>
      <c r="J84" s="19"/>
      <c r="K84" s="8"/>
      <c r="L84" s="4" t="s">
        <v>95</v>
      </c>
      <c r="M84" s="29">
        <f>SUMPRODUCT(M81:M83,D81:D83)</f>
        <v>17482</v>
      </c>
      <c r="N84" s="29">
        <f>SUMPRODUCT(N81:N83,D81:D83)</f>
        <v>16967.41231918379</v>
      </c>
      <c r="O84" s="35">
        <f>SUMPRODUCT(O81:O83,D81:D83)</f>
        <v>19170.732613303724</v>
      </c>
      <c r="P84" s="15"/>
      <c r="Q84" s="59"/>
      <c r="R84" s="19"/>
      <c r="S84" s="73"/>
      <c r="T84" s="69" t="s">
        <v>82</v>
      </c>
      <c r="U84" s="7"/>
    </row>
    <row r="85" spans="1:22" ht="10.5" customHeight="1" x14ac:dyDescent="0.35">
      <c r="A85" s="293"/>
      <c r="B85" s="279"/>
      <c r="C85" s="2" t="s">
        <v>96</v>
      </c>
      <c r="F85" s="95"/>
      <c r="G85" s="236">
        <f>G84/$D$14</f>
        <v>1072.5776387066387</v>
      </c>
      <c r="H85" s="61"/>
      <c r="I85" s="127">
        <f>G85/G67-1</f>
        <v>-7.8942207855206892E-2</v>
      </c>
      <c r="J85" s="16"/>
      <c r="K85" s="6"/>
      <c r="L85" s="2" t="s">
        <v>96</v>
      </c>
      <c r="M85" s="4"/>
      <c r="N85" s="28"/>
      <c r="O85" s="236">
        <f>O84/$D$14</f>
        <v>912.89202920493926</v>
      </c>
      <c r="P85" s="61"/>
      <c r="Q85" s="127">
        <f>O85/O67-1</f>
        <v>-7.8942207855206781E-2</v>
      </c>
      <c r="R85" s="16"/>
      <c r="S85" s="13"/>
      <c r="T85" s="70">
        <f>O85/G85-1</f>
        <v>-0.14888023369036052</v>
      </c>
      <c r="U85" s="7"/>
    </row>
    <row r="86" spans="1:22" ht="10.5" customHeight="1" x14ac:dyDescent="0.35">
      <c r="A86" s="293"/>
      <c r="B86" s="266"/>
      <c r="F86" s="57"/>
      <c r="G86" s="41"/>
      <c r="H86" s="15"/>
      <c r="I86" s="60"/>
      <c r="J86" s="17"/>
      <c r="K86" s="12"/>
      <c r="L86" s="111"/>
      <c r="O86" s="34"/>
      <c r="P86" s="15"/>
      <c r="Q86" s="60"/>
      <c r="R86" s="17"/>
      <c r="S86" s="12"/>
      <c r="T86" s="34"/>
    </row>
    <row r="87" spans="1:22" ht="10.5" customHeight="1" x14ac:dyDescent="0.35">
      <c r="A87" s="293"/>
      <c r="B87" s="286" t="s">
        <v>23</v>
      </c>
      <c r="C87" s="24" t="s">
        <v>17</v>
      </c>
      <c r="D87" s="46" t="s">
        <v>16</v>
      </c>
      <c r="E87" s="24" t="s">
        <v>18</v>
      </c>
      <c r="F87" s="89" t="s">
        <v>21</v>
      </c>
      <c r="G87" s="72" t="s">
        <v>19</v>
      </c>
      <c r="H87" s="15"/>
      <c r="I87" s="16"/>
      <c r="K87" s="76"/>
      <c r="L87" s="24" t="s">
        <v>17</v>
      </c>
      <c r="M87" s="249" t="s">
        <v>111</v>
      </c>
      <c r="N87" s="24" t="s">
        <v>21</v>
      </c>
      <c r="O87" s="24" t="s">
        <v>19</v>
      </c>
      <c r="P87" s="15"/>
      <c r="Q87" s="16"/>
    </row>
    <row r="88" spans="1:22" ht="10.5" customHeight="1" x14ac:dyDescent="0.35">
      <c r="A88" s="293"/>
      <c r="B88" s="287"/>
      <c r="C88" s="5" t="s">
        <v>66</v>
      </c>
      <c r="D88" s="173">
        <f>$D$63</f>
        <v>100</v>
      </c>
      <c r="E88" s="49">
        <v>33.6</v>
      </c>
      <c r="F88" s="50">
        <f>E88/$E$10/$D$21</f>
        <v>32.610974369327046</v>
      </c>
      <c r="G88" s="50">
        <f>E88/$E$10*$E$8</f>
        <v>36.845705057030386</v>
      </c>
      <c r="H88" s="15"/>
      <c r="I88" s="16"/>
      <c r="K88" s="76"/>
      <c r="L88" s="5" t="s">
        <v>66</v>
      </c>
      <c r="M88" s="29">
        <v>31.16</v>
      </c>
      <c r="N88" s="50">
        <f>M88/$E$10/$D$21</f>
        <v>30.242796468697346</v>
      </c>
      <c r="O88" s="50">
        <f>M88/$E$10*$E$8</f>
        <v>34.17000504693651</v>
      </c>
      <c r="P88" s="15"/>
      <c r="Q88" s="16"/>
    </row>
    <row r="89" spans="1:22" ht="10.5" customHeight="1" x14ac:dyDescent="0.35">
      <c r="A89" s="293"/>
      <c r="B89" s="287"/>
      <c r="C89" s="5" t="s">
        <v>67</v>
      </c>
      <c r="D89" s="173">
        <f>$D$64</f>
        <v>200</v>
      </c>
      <c r="E89" s="49">
        <v>42.7</v>
      </c>
      <c r="F89" s="50">
        <f>E89/$E$10/$D$21</f>
        <v>41.443113261019789</v>
      </c>
      <c r="G89" s="50">
        <f>E89/$E$10*$E$8</f>
        <v>46.82475017664278</v>
      </c>
      <c r="H89" s="15"/>
      <c r="I89" s="16"/>
      <c r="K89" s="76"/>
      <c r="L89" s="5" t="s">
        <v>67</v>
      </c>
      <c r="M89" s="50">
        <v>33.33</v>
      </c>
      <c r="N89" s="50">
        <f>M89/$E$10/$D$21</f>
        <v>32.348921896716377</v>
      </c>
      <c r="O89" s="50">
        <f>M89/$E$10*$E$8</f>
        <v>36.549623498536384</v>
      </c>
      <c r="P89" s="15"/>
      <c r="Q89" s="16"/>
      <c r="T89" s="58"/>
    </row>
    <row r="90" spans="1:22" ht="10.5" customHeight="1" x14ac:dyDescent="0.35">
      <c r="A90" s="293"/>
      <c r="B90" s="287"/>
      <c r="C90" s="5" t="s">
        <v>14</v>
      </c>
      <c r="D90" s="173">
        <f>$D$65</f>
        <v>100</v>
      </c>
      <c r="E90" s="49">
        <v>86.4</v>
      </c>
      <c r="F90" s="50">
        <f>E90/$E$10/$D$21</f>
        <v>83.856791235412402</v>
      </c>
      <c r="G90" s="50">
        <f>E90/$E$10*$E$8</f>
        <v>94.74609871807813</v>
      </c>
      <c r="H90" s="15"/>
      <c r="I90" s="59"/>
      <c r="J90" s="19"/>
      <c r="K90" s="73"/>
      <c r="L90" s="5" t="s">
        <v>14</v>
      </c>
      <c r="M90" s="50">
        <v>77</v>
      </c>
      <c r="N90" s="50">
        <f>M90/$E$10/$D$21</f>
        <v>74.733482929707819</v>
      </c>
      <c r="O90" s="50">
        <f>M90/$E$10*$E$8</f>
        <v>84.438074089027964</v>
      </c>
      <c r="P90" s="15"/>
      <c r="Q90" s="59"/>
      <c r="R90" s="19"/>
      <c r="S90" s="73"/>
      <c r="U90" s="7"/>
    </row>
    <row r="91" spans="1:22" ht="10.5" customHeight="1" x14ac:dyDescent="0.35">
      <c r="A91" s="293"/>
      <c r="B91" s="287"/>
      <c r="C91" s="4" t="s">
        <v>53</v>
      </c>
      <c r="D91" s="34"/>
      <c r="E91" s="165">
        <f>SUMPRODUCT(E88:E90,D88:D90)</f>
        <v>20540</v>
      </c>
      <c r="F91" s="163">
        <f>SUMPRODUCT(F88:F90,D88:D90)</f>
        <v>19935.399212677905</v>
      </c>
      <c r="G91" s="165">
        <f>SUMPRODUCT(G88:G90,D88:D90)</f>
        <v>22524.130412839411</v>
      </c>
      <c r="H91" s="19"/>
      <c r="I91" s="59"/>
      <c r="J91" s="19"/>
      <c r="K91" s="73"/>
      <c r="L91" s="4" t="s">
        <v>53</v>
      </c>
      <c r="M91" s="29">
        <f>SUMPRODUCT(M88:M90,D88:D90)</f>
        <v>17482</v>
      </c>
      <c r="N91" s="29">
        <f>SUMPRODUCT(N88:N90,D88:D90)</f>
        <v>16967.41231918379</v>
      </c>
      <c r="O91" s="35">
        <f>SUMPRODUCT(O88:O90,D88:D90)</f>
        <v>19170.732613303724</v>
      </c>
      <c r="P91" s="15"/>
      <c r="Q91" s="59"/>
      <c r="R91" s="19"/>
      <c r="S91" s="73"/>
      <c r="U91" s="7"/>
    </row>
    <row r="92" spans="1:22" ht="10.5" customHeight="1" x14ac:dyDescent="0.35">
      <c r="A92" s="293"/>
      <c r="B92" s="287"/>
      <c r="C92" s="4" t="s">
        <v>97</v>
      </c>
      <c r="E92" s="165"/>
      <c r="F92" s="214"/>
      <c r="G92" s="236">
        <f>G91/$D$14</f>
        <v>1072.5776387066387</v>
      </c>
      <c r="H92" s="231"/>
      <c r="I92" s="20"/>
      <c r="J92" s="208"/>
      <c r="K92" s="11"/>
      <c r="L92" s="4" t="s">
        <v>97</v>
      </c>
      <c r="M92" s="121"/>
      <c r="N92" s="214"/>
      <c r="O92" s="236">
        <f>O91/$D$14</f>
        <v>912.89202920493926</v>
      </c>
      <c r="P92" s="62"/>
      <c r="Q92" s="18"/>
      <c r="S92" s="11"/>
      <c r="U92" s="184"/>
    </row>
    <row r="93" spans="1:22" ht="10.5" customHeight="1" x14ac:dyDescent="0.35">
      <c r="A93" s="293"/>
      <c r="B93" s="287"/>
      <c r="C93" s="2" t="s">
        <v>87</v>
      </c>
      <c r="E93" s="165"/>
      <c r="F93" s="214"/>
      <c r="G93" s="221">
        <f>G91*$D$19</f>
        <v>1126.2065206419707</v>
      </c>
      <c r="H93" s="228"/>
      <c r="I93" s="20"/>
      <c r="J93" s="208"/>
      <c r="K93" s="11"/>
      <c r="L93" s="2" t="s">
        <v>87</v>
      </c>
      <c r="M93" s="121"/>
      <c r="N93" s="214"/>
      <c r="O93" s="221">
        <f>O91*$D$19</f>
        <v>958.53663066518629</v>
      </c>
      <c r="P93" s="232"/>
      <c r="Q93" s="20"/>
      <c r="R93" s="208"/>
      <c r="S93" s="14"/>
      <c r="T93" s="256"/>
      <c r="U93" s="3"/>
      <c r="V93" s="7"/>
    </row>
    <row r="94" spans="1:22" ht="10.5" customHeight="1" x14ac:dyDescent="0.35">
      <c r="A94" s="293"/>
      <c r="B94" s="287"/>
      <c r="C94" s="2" t="s">
        <v>88</v>
      </c>
      <c r="E94" s="165"/>
      <c r="F94" s="214"/>
      <c r="G94" s="163">
        <f>E91*$F$9</f>
        <v>739.44000000000062</v>
      </c>
      <c r="H94" s="228"/>
      <c r="I94" s="20"/>
      <c r="J94" s="208"/>
      <c r="K94" s="11"/>
      <c r="L94" s="2" t="s">
        <v>88</v>
      </c>
      <c r="M94" s="121"/>
      <c r="N94" s="214"/>
      <c r="O94" s="163">
        <f>M91*$F$9</f>
        <v>629.35200000000054</v>
      </c>
      <c r="P94" s="232"/>
      <c r="Q94" s="20"/>
      <c r="R94" s="208"/>
      <c r="S94" s="77"/>
      <c r="T94" s="68" t="s">
        <v>37</v>
      </c>
      <c r="U94" s="6"/>
      <c r="V94" s="7"/>
    </row>
    <row r="95" spans="1:22" ht="10.5" customHeight="1" x14ac:dyDescent="0.35">
      <c r="A95" s="293"/>
      <c r="B95" s="287"/>
      <c r="C95" s="2" t="s">
        <v>90</v>
      </c>
      <c r="E95" s="165"/>
      <c r="F95" s="214"/>
      <c r="G95" s="220">
        <f>SUM(G93+G94)/G91</f>
        <v>8.2828792341678961E-2</v>
      </c>
      <c r="H95" s="228"/>
      <c r="I95" s="20"/>
      <c r="J95" s="208"/>
      <c r="K95" s="11"/>
      <c r="L95" s="2" t="s">
        <v>90</v>
      </c>
      <c r="M95" s="121"/>
      <c r="N95" s="214"/>
      <c r="O95" s="220">
        <f>SUM(O93+O94)/O91</f>
        <v>8.2828792341678975E-2</v>
      </c>
      <c r="P95" s="232"/>
      <c r="Q95" s="20"/>
      <c r="R95" s="208"/>
      <c r="S95" s="77"/>
      <c r="T95" s="69" t="s">
        <v>84</v>
      </c>
      <c r="U95" s="6"/>
      <c r="V95" s="7"/>
    </row>
    <row r="96" spans="1:22" ht="10.5" customHeight="1" x14ac:dyDescent="0.35">
      <c r="A96" s="293"/>
      <c r="B96" s="287"/>
      <c r="C96" s="2" t="s">
        <v>99</v>
      </c>
      <c r="F96" s="28"/>
      <c r="G96" s="236">
        <f>G91/$D$20</f>
        <v>990.53298757149628</v>
      </c>
      <c r="H96" s="235"/>
      <c r="I96" s="233"/>
      <c r="J96" s="234">
        <f>G96/G67-1</f>
        <v>-0.14939665563107796</v>
      </c>
      <c r="K96" s="11"/>
      <c r="L96" s="2" t="s">
        <v>99</v>
      </c>
      <c r="M96" s="121"/>
      <c r="N96" s="28"/>
      <c r="O96" s="236">
        <f>O91/$D$20</f>
        <v>843.06220490384101</v>
      </c>
      <c r="P96" s="232"/>
      <c r="Q96" s="20"/>
      <c r="R96" s="205">
        <f>O96/O67-1</f>
        <v>-0.14939665563107785</v>
      </c>
      <c r="S96" s="77"/>
      <c r="T96" s="70">
        <f>O96/G96-1</f>
        <v>-0.14888023369036041</v>
      </c>
      <c r="U96" s="6"/>
      <c r="V96" s="7"/>
    </row>
    <row r="97" spans="1:22" ht="10.5" customHeight="1" x14ac:dyDescent="0.35">
      <c r="A97" s="293"/>
      <c r="B97" s="288"/>
      <c r="C97" s="4"/>
      <c r="F97" s="95"/>
      <c r="G97" s="211"/>
      <c r="H97" s="20"/>
      <c r="I97" s="20"/>
      <c r="J97" s="208"/>
      <c r="K97" s="11"/>
      <c r="M97" s="121"/>
      <c r="N97" s="39"/>
      <c r="O97" s="237">
        <f>O96/G67-1</f>
        <v>-0.27603468031852529</v>
      </c>
      <c r="P97" s="232"/>
      <c r="Q97" s="20"/>
      <c r="R97" s="208"/>
      <c r="S97" s="14"/>
      <c r="T97" s="257"/>
      <c r="U97" s="3"/>
      <c r="V97" s="7"/>
    </row>
    <row r="98" spans="1:22" s="3" customFormat="1" ht="10.5" customHeight="1" x14ac:dyDescent="0.35">
      <c r="A98" s="251"/>
      <c r="B98" s="252"/>
      <c r="C98" s="104"/>
      <c r="D98" s="15"/>
      <c r="E98" s="15"/>
      <c r="F98" s="253"/>
      <c r="G98" s="250"/>
      <c r="H98" s="20"/>
      <c r="I98" s="20"/>
      <c r="J98" s="208"/>
      <c r="K98" s="11"/>
      <c r="L98" s="15"/>
      <c r="M98" s="254"/>
      <c r="N98" s="97"/>
      <c r="O98" s="255"/>
      <c r="P98" s="232"/>
      <c r="Q98" s="20"/>
      <c r="R98" s="208"/>
      <c r="S98" s="14"/>
      <c r="T98" s="209"/>
      <c r="V98" s="6"/>
    </row>
    <row r="99" spans="1:22" ht="10.5" customHeight="1" x14ac:dyDescent="0.35">
      <c r="A99" s="212"/>
      <c r="B99" s="266"/>
      <c r="E99" s="244" t="s">
        <v>103</v>
      </c>
      <c r="F99" s="57"/>
      <c r="G99" s="39"/>
      <c r="H99" s="15"/>
      <c r="M99" s="244" t="s">
        <v>104</v>
      </c>
      <c r="N99" s="39"/>
      <c r="O99" s="83"/>
      <c r="P99" s="40"/>
      <c r="T99" s="15"/>
      <c r="U99" s="3"/>
      <c r="V99" s="7"/>
    </row>
    <row r="100" spans="1:22" ht="10.5" customHeight="1" x14ac:dyDescent="0.35">
      <c r="B100" s="266"/>
      <c r="C100" s="247"/>
      <c r="D100" s="247"/>
      <c r="E100" s="30">
        <f>$C$4</f>
        <v>46296</v>
      </c>
      <c r="F100" s="89" t="s">
        <v>20</v>
      </c>
      <c r="G100" s="30">
        <f>$C$5</f>
        <v>46512</v>
      </c>
      <c r="M100" s="30">
        <f>$C$4</f>
        <v>46296</v>
      </c>
      <c r="N100" s="24" t="s">
        <v>20</v>
      </c>
      <c r="O100" s="30">
        <f>$C$5</f>
        <v>46512</v>
      </c>
      <c r="Q100" s="17"/>
      <c r="R100" s="17"/>
      <c r="S100" s="12"/>
      <c r="T100" s="17"/>
      <c r="U100" s="12"/>
    </row>
    <row r="101" spans="1:22" ht="10.5" customHeight="1" x14ac:dyDescent="0.35">
      <c r="A101" s="289" t="s">
        <v>110</v>
      </c>
      <c r="B101" s="276" t="s">
        <v>22</v>
      </c>
      <c r="C101" s="24" t="s">
        <v>17</v>
      </c>
      <c r="D101" s="98" t="s">
        <v>44</v>
      </c>
      <c r="E101" s="24" t="s">
        <v>18</v>
      </c>
      <c r="F101" s="93">
        <v>0.04</v>
      </c>
      <c r="G101" s="24" t="s">
        <v>19</v>
      </c>
      <c r="L101" s="24" t="s">
        <v>17</v>
      </c>
      <c r="M101" s="249" t="s">
        <v>111</v>
      </c>
      <c r="N101" s="25">
        <v>0.04</v>
      </c>
      <c r="O101" s="24" t="s">
        <v>19</v>
      </c>
    </row>
    <row r="102" spans="1:22" ht="10.5" customHeight="1" x14ac:dyDescent="0.35">
      <c r="A102" s="290"/>
      <c r="B102" s="276"/>
      <c r="C102" s="5" t="s">
        <v>67</v>
      </c>
      <c r="D102" s="82">
        <v>200</v>
      </c>
      <c r="E102" s="166">
        <f>42.7*$C$11</f>
        <v>243.39000000000001</v>
      </c>
      <c r="F102" s="26">
        <f>E102/$C$10/$C$21</f>
        <v>236.22574558781281</v>
      </c>
      <c r="G102" s="31">
        <f>E102/$C$10*$C$8</f>
        <v>278.39865549611386</v>
      </c>
      <c r="L102" s="5" t="s">
        <v>67</v>
      </c>
      <c r="M102" s="163">
        <f>33.33*$C$11</f>
        <v>189.98099999999999</v>
      </c>
      <c r="N102" s="26">
        <f>M102/$C$10/$C$21</f>
        <v>184.38885481128338</v>
      </c>
      <c r="O102" s="31">
        <f>M102/$C$10*$C$8</f>
        <v>217.30742828303218</v>
      </c>
      <c r="T102" s="58"/>
    </row>
    <row r="103" spans="1:22" ht="10.5" customHeight="1" x14ac:dyDescent="0.35">
      <c r="A103" s="290"/>
      <c r="B103" s="276"/>
      <c r="C103" s="5" t="s">
        <v>71</v>
      </c>
      <c r="D103" s="82">
        <v>200</v>
      </c>
      <c r="E103" s="166">
        <f>6.5*$C$11</f>
        <v>37.050000000000004</v>
      </c>
      <c r="F103" s="26">
        <f>E103/$C$10/$C$21</f>
        <v>35.959422630463308</v>
      </c>
      <c r="G103" s="31">
        <f>E103/$C$10*$C$8</f>
        <v>42.379186433834661</v>
      </c>
      <c r="L103" s="5" t="s">
        <v>71</v>
      </c>
      <c r="M103" s="163">
        <f>6.1*$C$11</f>
        <v>34.769999999999996</v>
      </c>
      <c r="N103" s="26">
        <f>M103/$C$10/$C$21</f>
        <v>33.746535083973257</v>
      </c>
      <c r="O103" s="31">
        <f>M103/$C$10*$C$8</f>
        <v>39.771236499444832</v>
      </c>
      <c r="S103" s="76"/>
      <c r="T103" s="68" t="s">
        <v>37</v>
      </c>
      <c r="U103" s="7"/>
    </row>
    <row r="104" spans="1:22" ht="10.5" customHeight="1" x14ac:dyDescent="0.35">
      <c r="A104" s="290"/>
      <c r="B104" s="276"/>
      <c r="C104" s="4" t="s">
        <v>94</v>
      </c>
      <c r="D104" s="34"/>
      <c r="E104" s="166">
        <f>SUMPRODUCT(E102:E103,D102:D103)</f>
        <v>56088</v>
      </c>
      <c r="F104" s="166">
        <f>SUMPRODUCT(F102:F103,D102:D103)</f>
        <v>54437.033643655224</v>
      </c>
      <c r="G104" s="164">
        <f>SUMPRODUCT(G102:G103,D102:D103)</f>
        <v>64155.568385989704</v>
      </c>
      <c r="L104" s="118" t="s">
        <v>94</v>
      </c>
      <c r="M104" s="163">
        <f>SUMPRODUCT(M102:M103,D102:D103)</f>
        <v>44950.2</v>
      </c>
      <c r="N104" s="163">
        <f>SUMPRODUCT(N102:N103,D102:D103)</f>
        <v>43627.077979051326</v>
      </c>
      <c r="O104" s="164">
        <f>SUMPRODUCT(O102:O103,D102:D103)</f>
        <v>51415.732956495398</v>
      </c>
      <c r="S104" s="76"/>
      <c r="T104" s="69" t="s">
        <v>83</v>
      </c>
      <c r="U104" s="7"/>
    </row>
    <row r="105" spans="1:22" ht="10.5" customHeight="1" x14ac:dyDescent="0.35">
      <c r="A105" s="290"/>
      <c r="B105" s="276"/>
      <c r="C105" s="4" t="s">
        <v>93</v>
      </c>
      <c r="F105" s="95"/>
      <c r="G105" s="203">
        <f>G104/$C$13</f>
        <v>557.87450770425824</v>
      </c>
      <c r="H105" s="57"/>
      <c r="I105" s="16"/>
      <c r="J105" s="16"/>
      <c r="K105" s="6"/>
      <c r="L105" s="4" t="s">
        <v>93</v>
      </c>
      <c r="M105" s="4"/>
      <c r="N105" s="87"/>
      <c r="O105" s="86">
        <f>O104/$C$13</f>
        <v>447.0933300564817</v>
      </c>
      <c r="P105" s="57"/>
      <c r="Q105" s="16"/>
      <c r="R105" s="16"/>
      <c r="S105" s="13"/>
      <c r="T105" s="70">
        <f>O105/G105-1</f>
        <v>-0.19857723577235786</v>
      </c>
      <c r="U105" s="7"/>
    </row>
    <row r="106" spans="1:22" ht="10.5" customHeight="1" x14ac:dyDescent="0.35">
      <c r="A106" s="290"/>
      <c r="B106" s="266"/>
      <c r="F106" s="57"/>
      <c r="G106" s="34"/>
      <c r="O106" s="34"/>
      <c r="T106" s="34"/>
    </row>
    <row r="107" spans="1:22" ht="10.5" customHeight="1" x14ac:dyDescent="0.35">
      <c r="A107" s="290"/>
      <c r="B107" s="286" t="s">
        <v>12</v>
      </c>
      <c r="C107" s="24" t="s">
        <v>17</v>
      </c>
      <c r="D107" s="46" t="s">
        <v>16</v>
      </c>
      <c r="E107" s="24" t="s">
        <v>18</v>
      </c>
      <c r="F107" s="89" t="s">
        <v>21</v>
      </c>
      <c r="G107" s="24" t="s">
        <v>19</v>
      </c>
      <c r="L107" s="24" t="s">
        <v>17</v>
      </c>
      <c r="M107" s="249" t="s">
        <v>111</v>
      </c>
      <c r="N107" s="24" t="s">
        <v>21</v>
      </c>
      <c r="O107" s="24" t="s">
        <v>19</v>
      </c>
    </row>
    <row r="108" spans="1:22" ht="10.5" customHeight="1" x14ac:dyDescent="0.35">
      <c r="A108" s="290"/>
      <c r="B108" s="287"/>
      <c r="C108" s="5" t="s">
        <v>67</v>
      </c>
      <c r="D108" s="173">
        <f>$D$102</f>
        <v>200</v>
      </c>
      <c r="E108" s="166">
        <f>42.7*$C$11</f>
        <v>243.39000000000001</v>
      </c>
      <c r="F108" s="26">
        <f>E108/$C$10/$C$21</f>
        <v>236.22574558781281</v>
      </c>
      <c r="G108" s="31">
        <f>E108/$C$10*$C$8</f>
        <v>278.39865549611386</v>
      </c>
      <c r="L108" s="5" t="s">
        <v>67</v>
      </c>
      <c r="M108" s="163">
        <f>33.33*$C$11</f>
        <v>189.98099999999999</v>
      </c>
      <c r="N108" s="94">
        <f>M108/$C$10/$C$21</f>
        <v>184.38885481128338</v>
      </c>
      <c r="O108" s="31">
        <f>M108/$C$10*$C$8</f>
        <v>217.30742828303218</v>
      </c>
      <c r="T108" s="58"/>
    </row>
    <row r="109" spans="1:22" ht="10.5" customHeight="1" x14ac:dyDescent="0.35">
      <c r="A109" s="290"/>
      <c r="B109" s="287"/>
      <c r="C109" s="5" t="s">
        <v>71</v>
      </c>
      <c r="D109" s="173">
        <f>$D$103</f>
        <v>200</v>
      </c>
      <c r="E109" s="166">
        <f>6.5*$C$11</f>
        <v>37.050000000000004</v>
      </c>
      <c r="F109" s="26">
        <f>E109/$C$10/$C$21</f>
        <v>35.959422630463308</v>
      </c>
      <c r="G109" s="31">
        <f>E109/$C$10*$C$8</f>
        <v>42.379186433834661</v>
      </c>
      <c r="H109" s="58"/>
      <c r="I109" s="19"/>
      <c r="J109" s="19"/>
      <c r="K109" s="8"/>
      <c r="L109" s="5" t="s">
        <v>71</v>
      </c>
      <c r="M109" s="163">
        <f>6.1*$C$11</f>
        <v>34.769999999999996</v>
      </c>
      <c r="N109" s="94">
        <f>M109/$C$10/$C$21</f>
        <v>33.746535083973257</v>
      </c>
      <c r="O109" s="31">
        <f>M109/$C$10*$C$8</f>
        <v>39.771236499444832</v>
      </c>
      <c r="P109" s="58"/>
      <c r="Q109" s="19"/>
      <c r="R109" s="19"/>
      <c r="S109" s="73"/>
      <c r="T109" s="2"/>
      <c r="U109" s="7"/>
    </row>
    <row r="110" spans="1:22" ht="10.5" customHeight="1" x14ac:dyDescent="0.35">
      <c r="A110" s="290"/>
      <c r="B110" s="287"/>
      <c r="C110" s="4" t="s">
        <v>52</v>
      </c>
      <c r="D110" s="34"/>
      <c r="E110" s="165">
        <f>SUMPRODUCT(E108:E109,D108:D109)</f>
        <v>56088</v>
      </c>
      <c r="F110" s="163">
        <f>SUMPRODUCT(F108:F109,D108:D109)</f>
        <v>54437.033643655224</v>
      </c>
      <c r="G110" s="165">
        <f>SUMPRODUCT(G108:G109,D108:D109)</f>
        <v>64155.568385989704</v>
      </c>
      <c r="H110" s="58"/>
      <c r="L110" s="118" t="s">
        <v>52</v>
      </c>
      <c r="M110" s="163">
        <f>SUMPRODUCT(M108:M109,D108:D109)</f>
        <v>44950.2</v>
      </c>
      <c r="N110" s="165">
        <f>SUMPRODUCT(N108:N109,D108:D109)</f>
        <v>43627.077979051326</v>
      </c>
      <c r="O110" s="171">
        <f>SUMPRODUCT(O108:O109,D108:D109)</f>
        <v>51415.732956495398</v>
      </c>
      <c r="S110" s="76"/>
      <c r="T110" s="2"/>
      <c r="U110" s="7"/>
    </row>
    <row r="111" spans="1:22" ht="10.5" customHeight="1" x14ac:dyDescent="0.35">
      <c r="A111" s="290"/>
      <c r="B111" s="287"/>
      <c r="C111" s="4" t="s">
        <v>97</v>
      </c>
      <c r="E111" s="165"/>
      <c r="F111" s="214"/>
      <c r="G111" s="236">
        <f>G110/$C$13</f>
        <v>557.87450770425824</v>
      </c>
      <c r="H111" s="57"/>
      <c r="I111" s="16"/>
      <c r="L111" s="4" t="s">
        <v>97</v>
      </c>
      <c r="M111" s="100"/>
      <c r="N111" s="171"/>
      <c r="O111" s="236">
        <f>O110/$C$13</f>
        <v>447.0933300564817</v>
      </c>
      <c r="P111" s="57"/>
      <c r="Q111" s="16"/>
      <c r="S111" s="76"/>
      <c r="U111" s="7"/>
    </row>
    <row r="112" spans="1:22" ht="10.5" customHeight="1" x14ac:dyDescent="0.35">
      <c r="A112" s="290"/>
      <c r="B112" s="287"/>
      <c r="C112" s="2" t="s">
        <v>87</v>
      </c>
      <c r="E112" s="165">
        <f>E108/5.7</f>
        <v>42.7</v>
      </c>
      <c r="F112" s="214"/>
      <c r="G112" s="221">
        <f>G110*$C$16</f>
        <v>2566.2227354395882</v>
      </c>
      <c r="I112" s="16"/>
      <c r="L112" s="2" t="s">
        <v>87</v>
      </c>
      <c r="M112" s="4"/>
      <c r="N112" s="171"/>
      <c r="O112" s="224">
        <f>O110*$C$16</f>
        <v>2056.629318259816</v>
      </c>
      <c r="Q112" s="16"/>
      <c r="S112" s="76"/>
      <c r="T112" s="58"/>
      <c r="U112" s="7"/>
    </row>
    <row r="113" spans="1:21" ht="10.5" customHeight="1" x14ac:dyDescent="0.35">
      <c r="A113" s="290"/>
      <c r="B113" s="287"/>
      <c r="C113" s="2" t="s">
        <v>88</v>
      </c>
      <c r="E113" s="165">
        <f>E109/5.7</f>
        <v>6.5000000000000009</v>
      </c>
      <c r="F113" s="214"/>
      <c r="G113" s="163">
        <f>E110*$D$9</f>
        <v>1615.3343999999965</v>
      </c>
      <c r="I113" s="16"/>
      <c r="L113" s="2" t="s">
        <v>88</v>
      </c>
      <c r="M113" s="4"/>
      <c r="N113" s="171"/>
      <c r="O113" s="214">
        <f>M110*$D$9</f>
        <v>1294.565759999997</v>
      </c>
      <c r="Q113" s="16"/>
      <c r="S113" s="76"/>
      <c r="T113" s="68" t="s">
        <v>37</v>
      </c>
      <c r="U113" s="7"/>
    </row>
    <row r="114" spans="1:21" ht="10.5" customHeight="1" x14ac:dyDescent="0.35">
      <c r="A114" s="290"/>
      <c r="B114" s="287"/>
      <c r="C114" s="2" t="s">
        <v>90</v>
      </c>
      <c r="E114" s="165"/>
      <c r="F114" s="214"/>
      <c r="G114" s="220">
        <f>SUM(G112+G113)/G110</f>
        <v>6.5178397458524481E-2</v>
      </c>
      <c r="I114" s="16"/>
      <c r="L114" s="2" t="s">
        <v>90</v>
      </c>
      <c r="M114" s="4"/>
      <c r="N114" s="171"/>
      <c r="O114" s="225">
        <f>SUM(O112+O113)/O110</f>
        <v>6.5178397458524481E-2</v>
      </c>
      <c r="Q114" s="16"/>
      <c r="S114" s="76"/>
      <c r="T114" s="216" t="s">
        <v>81</v>
      </c>
      <c r="U114" s="7"/>
    </row>
    <row r="115" spans="1:21" ht="10.5" customHeight="1" x14ac:dyDescent="0.35">
      <c r="A115" s="290"/>
      <c r="B115" s="288"/>
      <c r="C115" s="2" t="s">
        <v>98</v>
      </c>
      <c r="F115" s="28"/>
      <c r="G115" s="236">
        <f>G110/$C$17</f>
        <v>523.73809780157558</v>
      </c>
      <c r="H115" s="219">
        <f>G115/G105-1</f>
        <v>-6.1190123282670483E-2</v>
      </c>
      <c r="I115" s="16"/>
      <c r="L115" s="2" t="s">
        <v>98</v>
      </c>
      <c r="M115" s="4"/>
      <c r="N115" s="5"/>
      <c r="O115" s="86">
        <f>O110/$C$17</f>
        <v>419.73563407146588</v>
      </c>
      <c r="P115" s="219">
        <f>O115/O105-1</f>
        <v>-6.1190123282670483E-2</v>
      </c>
      <c r="Q115" s="16"/>
      <c r="S115" s="76"/>
      <c r="T115" s="70">
        <f>O115/G115-1</f>
        <v>-0.19857723577235786</v>
      </c>
      <c r="U115" s="7"/>
    </row>
    <row r="116" spans="1:21" ht="10.5" customHeight="1" x14ac:dyDescent="0.35">
      <c r="A116" s="290"/>
      <c r="B116" s="266"/>
      <c r="F116" s="57"/>
      <c r="G116" s="41"/>
      <c r="H116" s="17"/>
      <c r="L116" s="19"/>
      <c r="O116" s="34"/>
      <c r="P116" s="17"/>
      <c r="S116" s="76"/>
      <c r="T116" s="34"/>
      <c r="U116" s="7"/>
    </row>
    <row r="117" spans="1:21" ht="10.5" customHeight="1" x14ac:dyDescent="0.35">
      <c r="A117" s="290"/>
      <c r="B117" s="279" t="s">
        <v>92</v>
      </c>
      <c r="C117" s="24" t="s">
        <v>17</v>
      </c>
      <c r="D117" s="46" t="s">
        <v>16</v>
      </c>
      <c r="E117" s="24" t="s">
        <v>18</v>
      </c>
      <c r="F117" s="89" t="s">
        <v>21</v>
      </c>
      <c r="G117" s="24" t="s">
        <v>19</v>
      </c>
      <c r="H117" s="15"/>
      <c r="L117" s="24" t="s">
        <v>17</v>
      </c>
      <c r="M117" s="249" t="s">
        <v>111</v>
      </c>
      <c r="N117" s="24" t="s">
        <v>21</v>
      </c>
      <c r="O117" s="24" t="s">
        <v>19</v>
      </c>
      <c r="P117" s="15"/>
      <c r="T117" s="34"/>
    </row>
    <row r="118" spans="1:21" ht="10.5" customHeight="1" x14ac:dyDescent="0.35">
      <c r="A118" s="290"/>
      <c r="B118" s="279"/>
      <c r="C118" s="5" t="s">
        <v>67</v>
      </c>
      <c r="D118" s="173">
        <f>$D$102</f>
        <v>200</v>
      </c>
      <c r="E118" s="49">
        <f>42.7</f>
        <v>42.7</v>
      </c>
      <c r="F118" s="50">
        <f>E118/$C$10/$C$21</f>
        <v>41.443113261019789</v>
      </c>
      <c r="G118" s="50">
        <f>E118/$E$10*$E$8</f>
        <v>46.82475017664278</v>
      </c>
      <c r="H118" s="15"/>
      <c r="L118" s="5" t="s">
        <v>67</v>
      </c>
      <c r="M118" s="29">
        <v>33.33</v>
      </c>
      <c r="N118" s="50">
        <f>M118/$E$8/$D$21</f>
        <v>29.499334428458134</v>
      </c>
      <c r="O118" s="50">
        <f>M118/$E$10*$E$8</f>
        <v>36.549623498536384</v>
      </c>
      <c r="P118" s="15"/>
      <c r="T118" s="58"/>
    </row>
    <row r="119" spans="1:21" ht="10.5" customHeight="1" x14ac:dyDescent="0.35">
      <c r="A119" s="290"/>
      <c r="B119" s="279"/>
      <c r="C119" s="5" t="s">
        <v>71</v>
      </c>
      <c r="D119" s="173">
        <f>$D$103</f>
        <v>200</v>
      </c>
      <c r="E119" s="49">
        <f>6.5</f>
        <v>6.5</v>
      </c>
      <c r="F119" s="50">
        <f>E119/$C$10/$C$21</f>
        <v>6.3086706369233871</v>
      </c>
      <c r="G119" s="50">
        <f>E119/$E$10*$E$8</f>
        <v>7.1278893711517108</v>
      </c>
      <c r="H119" s="15"/>
      <c r="L119" s="5" t="s">
        <v>71</v>
      </c>
      <c r="M119" s="50">
        <v>6.1</v>
      </c>
      <c r="N119" s="50">
        <f>M119/$E$8/$D$21</f>
        <v>5.3989180922170608</v>
      </c>
      <c r="O119" s="50">
        <f>M119/$E$10*$E$8</f>
        <v>6.6892500252346823</v>
      </c>
      <c r="P119" s="15"/>
      <c r="S119" s="76"/>
      <c r="T119" s="68" t="s">
        <v>37</v>
      </c>
      <c r="U119" s="7"/>
    </row>
    <row r="120" spans="1:21" ht="10.5" customHeight="1" x14ac:dyDescent="0.35">
      <c r="A120" s="290"/>
      <c r="B120" s="279"/>
      <c r="C120" s="4" t="s">
        <v>95</v>
      </c>
      <c r="D120" s="34"/>
      <c r="E120" s="132">
        <f>SUMPRODUCT(E118:E119,D118:D119)</f>
        <v>9840</v>
      </c>
      <c r="F120" s="132">
        <f>SUMPRODUCT(F118:F119,D118:D119)</f>
        <v>9550.3567795886356</v>
      </c>
      <c r="G120" s="134">
        <f>SUMPRODUCT(G118:G119,D118:D119)</f>
        <v>10790.527909558899</v>
      </c>
      <c r="H120" s="58"/>
      <c r="I120" s="19"/>
      <c r="L120" s="4" t="s">
        <v>95</v>
      </c>
      <c r="M120" s="132">
        <f>SUMPRODUCT(M118:M119,D118:D119)</f>
        <v>7886</v>
      </c>
      <c r="N120" s="132">
        <f>SUMPRODUCT(N118:N119,D118:D119)</f>
        <v>6979.6505041350392</v>
      </c>
      <c r="O120" s="133">
        <f>SUMPRODUCT(O118:O119,D118:D119)</f>
        <v>8647.7747047542143</v>
      </c>
      <c r="P120" s="58"/>
      <c r="Q120" s="19"/>
      <c r="S120" s="76"/>
      <c r="T120" s="69" t="s">
        <v>82</v>
      </c>
      <c r="U120" s="7"/>
    </row>
    <row r="121" spans="1:21" ht="10.5" customHeight="1" x14ac:dyDescent="0.35">
      <c r="A121" s="290"/>
      <c r="B121" s="279"/>
      <c r="C121" s="2" t="s">
        <v>96</v>
      </c>
      <c r="D121" s="58"/>
      <c r="E121" s="58"/>
      <c r="F121" s="204"/>
      <c r="G121" s="236">
        <f>G120/$D$14</f>
        <v>513.83466235994763</v>
      </c>
      <c r="H121" s="103"/>
      <c r="I121" s="205">
        <f>G121/G105-1</f>
        <v>-7.8942207855206559E-2</v>
      </c>
      <c r="J121" s="16"/>
      <c r="L121" s="2" t="s">
        <v>96</v>
      </c>
      <c r="M121" s="4"/>
      <c r="N121" s="204"/>
      <c r="O121" s="86">
        <f>O120/$D$14</f>
        <v>411.79879546448637</v>
      </c>
      <c r="P121" s="103"/>
      <c r="Q121" s="205">
        <f>O121/O105-1</f>
        <v>-7.8942207855206781E-2</v>
      </c>
      <c r="R121" s="16"/>
      <c r="S121" s="76"/>
      <c r="T121" s="70">
        <f>O121/G121-1</f>
        <v>-0.19857723577235797</v>
      </c>
      <c r="U121" s="7"/>
    </row>
    <row r="122" spans="1:21" ht="10.5" customHeight="1" x14ac:dyDescent="0.35">
      <c r="A122" s="290"/>
      <c r="B122" s="266"/>
      <c r="F122" s="57"/>
      <c r="G122" s="41"/>
      <c r="H122" s="15"/>
      <c r="I122" s="17"/>
      <c r="O122" s="34"/>
      <c r="P122" s="15"/>
      <c r="Q122" s="17"/>
      <c r="T122" s="34"/>
    </row>
    <row r="123" spans="1:21" ht="10.5" customHeight="1" x14ac:dyDescent="0.35">
      <c r="A123" s="290"/>
      <c r="B123" s="286" t="s">
        <v>23</v>
      </c>
      <c r="C123" s="24" t="s">
        <v>17</v>
      </c>
      <c r="D123" s="46" t="s">
        <v>16</v>
      </c>
      <c r="E123" s="24" t="s">
        <v>18</v>
      </c>
      <c r="F123" s="89" t="s">
        <v>21</v>
      </c>
      <c r="G123" s="24" t="s">
        <v>19</v>
      </c>
      <c r="H123" s="15"/>
      <c r="L123" s="24" t="s">
        <v>17</v>
      </c>
      <c r="M123" s="249" t="s">
        <v>111</v>
      </c>
      <c r="N123" s="24" t="s">
        <v>21</v>
      </c>
      <c r="O123" s="24" t="s">
        <v>19</v>
      </c>
      <c r="P123" s="15"/>
    </row>
    <row r="124" spans="1:21" ht="10.5" customHeight="1" x14ac:dyDescent="0.35">
      <c r="A124" s="290"/>
      <c r="B124" s="287"/>
      <c r="C124" s="5" t="s">
        <v>67</v>
      </c>
      <c r="D124" s="173">
        <f>$D$102</f>
        <v>200</v>
      </c>
      <c r="E124" s="49">
        <f>42.7</f>
        <v>42.7</v>
      </c>
      <c r="F124" s="50">
        <f>E124/$C$10/$C$21</f>
        <v>41.443113261019789</v>
      </c>
      <c r="G124" s="50">
        <f>E124/$E$10*$E$8</f>
        <v>46.82475017664278</v>
      </c>
      <c r="H124" s="15"/>
      <c r="L124" s="5" t="s">
        <v>67</v>
      </c>
      <c r="M124" s="29">
        <v>33.33</v>
      </c>
      <c r="N124" s="50">
        <f>M124/$E$8/$D$21</f>
        <v>29.499334428458134</v>
      </c>
      <c r="O124" s="50">
        <f>M124/$E$10*$E$8</f>
        <v>36.549623498536384</v>
      </c>
      <c r="P124" s="15"/>
      <c r="T124" s="58"/>
    </row>
    <row r="125" spans="1:21" ht="10.5" customHeight="1" x14ac:dyDescent="0.35">
      <c r="A125" s="290"/>
      <c r="B125" s="287"/>
      <c r="C125" s="5" t="s">
        <v>71</v>
      </c>
      <c r="D125" s="173">
        <f>$D$103</f>
        <v>200</v>
      </c>
      <c r="E125" s="49">
        <f>6.5</f>
        <v>6.5</v>
      </c>
      <c r="F125" s="50">
        <f>E125/$C$10/$C$21</f>
        <v>6.3086706369233871</v>
      </c>
      <c r="G125" s="50">
        <f>E125/$E$10*$E$8</f>
        <v>7.1278893711517108</v>
      </c>
      <c r="H125" s="15"/>
      <c r="L125" s="5" t="s">
        <v>71</v>
      </c>
      <c r="M125" s="50">
        <v>6.1</v>
      </c>
      <c r="N125" s="50">
        <f>M125/$E$8/$D$21</f>
        <v>5.3989180922170608</v>
      </c>
      <c r="O125" s="50">
        <f>M125/$E$10*$E$8</f>
        <v>6.6892500252346823</v>
      </c>
      <c r="P125" s="15"/>
      <c r="S125" s="76"/>
      <c r="T125" s="2"/>
      <c r="U125" s="7"/>
    </row>
    <row r="126" spans="1:21" ht="10.5" customHeight="1" x14ac:dyDescent="0.35">
      <c r="A126" s="290"/>
      <c r="B126" s="287"/>
      <c r="C126" s="4" t="s">
        <v>53</v>
      </c>
      <c r="D126" s="34"/>
      <c r="E126" s="132">
        <f>SUMPRODUCT(E124:E125,D124:D125)</f>
        <v>9840</v>
      </c>
      <c r="F126" s="132">
        <f>SUMPRODUCT(F124:F125,D124:D125)</f>
        <v>9550.3567795886356</v>
      </c>
      <c r="G126" s="134">
        <f>SUMPRODUCT(G124:G125,D124:D125)</f>
        <v>10790.527909558899</v>
      </c>
      <c r="H126" s="58"/>
      <c r="I126" s="19"/>
      <c r="J126" s="19"/>
      <c r="L126" s="4" t="s">
        <v>53</v>
      </c>
      <c r="M126" s="133">
        <f>SUMPRODUCT(M124:M125,D124:D125)</f>
        <v>7886</v>
      </c>
      <c r="N126" s="133">
        <f>SUMPRODUCT(N124:N125,D124:D125)</f>
        <v>6979.6505041350392</v>
      </c>
      <c r="O126" s="133">
        <f>SUMPRODUCT(O124:O125,D124:D125)</f>
        <v>8647.7747047542143</v>
      </c>
      <c r="P126" s="58"/>
      <c r="Q126" s="19"/>
      <c r="R126" s="19"/>
      <c r="S126" s="76"/>
      <c r="T126" s="2"/>
      <c r="U126" s="7"/>
    </row>
    <row r="127" spans="1:21" ht="10.5" customHeight="1" x14ac:dyDescent="0.35">
      <c r="A127" s="290"/>
      <c r="B127" s="287"/>
      <c r="C127" s="4" t="s">
        <v>97</v>
      </c>
      <c r="E127" s="165"/>
      <c r="F127" s="214"/>
      <c r="G127" s="236">
        <f>G126/$D$14</f>
        <v>513.83466235994763</v>
      </c>
      <c r="H127" s="139"/>
      <c r="I127" s="215"/>
      <c r="J127" s="215"/>
      <c r="K127" s="11"/>
      <c r="L127" s="4" t="s">
        <v>89</v>
      </c>
      <c r="M127" s="118"/>
      <c r="N127" s="136"/>
      <c r="O127" s="236">
        <f>O126/$D$14</f>
        <v>411.79879546448637</v>
      </c>
      <c r="P127" s="139"/>
      <c r="Q127" s="215"/>
      <c r="R127" s="215"/>
      <c r="S127" s="11"/>
      <c r="T127" s="2"/>
      <c r="U127" s="7"/>
    </row>
    <row r="128" spans="1:21" ht="10.5" customHeight="1" x14ac:dyDescent="0.35">
      <c r="A128" s="290"/>
      <c r="B128" s="287"/>
      <c r="C128" s="2" t="s">
        <v>87</v>
      </c>
      <c r="E128" s="165"/>
      <c r="F128" s="214"/>
      <c r="G128" s="230">
        <f>G126*$D$16</f>
        <v>431.62111638235598</v>
      </c>
      <c r="H128" s="139"/>
      <c r="I128" s="215"/>
      <c r="J128" s="215"/>
      <c r="K128" s="11"/>
      <c r="L128" s="2" t="s">
        <v>87</v>
      </c>
      <c r="M128" s="118"/>
      <c r="N128" s="136"/>
      <c r="O128" s="230">
        <f>O126*$D$16</f>
        <v>345.91098819016855</v>
      </c>
      <c r="P128" s="139"/>
      <c r="Q128" s="215"/>
      <c r="R128" s="215"/>
      <c r="S128" s="11"/>
      <c r="T128" s="226"/>
      <c r="U128" s="7"/>
    </row>
    <row r="129" spans="1:21" ht="10.5" customHeight="1" x14ac:dyDescent="0.35">
      <c r="A129" s="290"/>
      <c r="B129" s="287"/>
      <c r="C129" s="2" t="s">
        <v>88</v>
      </c>
      <c r="E129" s="165"/>
      <c r="F129" s="214"/>
      <c r="G129" s="29">
        <f>E126*$F$9</f>
        <v>354.24000000000029</v>
      </c>
      <c r="H129" s="139"/>
      <c r="I129" s="215"/>
      <c r="J129" s="215"/>
      <c r="K129" s="11"/>
      <c r="L129" s="2" t="s">
        <v>88</v>
      </c>
      <c r="M129" s="118"/>
      <c r="N129" s="136"/>
      <c r="O129" s="29">
        <f>M126*$F$9</f>
        <v>283.89600000000024</v>
      </c>
      <c r="P129" s="139"/>
      <c r="Q129" s="215"/>
      <c r="R129" s="215"/>
      <c r="S129" s="11"/>
      <c r="T129" s="68" t="s">
        <v>37</v>
      </c>
      <c r="U129" s="7"/>
    </row>
    <row r="130" spans="1:21" ht="10.5" customHeight="1" x14ac:dyDescent="0.35">
      <c r="A130" s="290"/>
      <c r="B130" s="287"/>
      <c r="C130" s="2" t="s">
        <v>90</v>
      </c>
      <c r="E130" s="165"/>
      <c r="F130" s="214"/>
      <c r="G130" s="220">
        <f>SUM(G128+G129)/G126</f>
        <v>7.2828792341678966E-2</v>
      </c>
      <c r="H130" s="139"/>
      <c r="I130" s="215"/>
      <c r="J130" s="215"/>
      <c r="K130" s="11"/>
      <c r="L130" s="2" t="s">
        <v>90</v>
      </c>
      <c r="M130" s="118"/>
      <c r="N130" s="136"/>
      <c r="O130" s="220">
        <f>SUM(O128+O129)/O126</f>
        <v>7.2828792341678966E-2</v>
      </c>
      <c r="P130" s="139"/>
      <c r="Q130" s="215"/>
      <c r="R130" s="215"/>
      <c r="S130" s="11"/>
      <c r="T130" s="69" t="s">
        <v>84</v>
      </c>
      <c r="U130" s="7"/>
    </row>
    <row r="131" spans="1:21" ht="10.5" customHeight="1" x14ac:dyDescent="0.35">
      <c r="A131" s="291"/>
      <c r="B131" s="288"/>
      <c r="C131" s="2" t="s">
        <v>99</v>
      </c>
      <c r="F131" s="28"/>
      <c r="G131" s="236">
        <f>G126/$D$17</f>
        <v>478.95308741518136</v>
      </c>
      <c r="H131" s="57"/>
      <c r="I131" s="18"/>
      <c r="J131" s="127">
        <f>G131/G105-1</f>
        <v>-0.14146805275948349</v>
      </c>
      <c r="K131" s="11"/>
      <c r="L131" s="2" t="s">
        <v>99</v>
      </c>
      <c r="M131" s="118"/>
      <c r="N131" s="28"/>
      <c r="O131" s="236">
        <f>O126/$D$17</f>
        <v>383.84390725163814</v>
      </c>
      <c r="P131" s="57"/>
      <c r="Q131" s="18"/>
      <c r="R131" s="127">
        <f>O131/O105-1</f>
        <v>-0.1414680527594836</v>
      </c>
      <c r="S131" s="11"/>
      <c r="T131" s="70">
        <f>O131/G131-1</f>
        <v>-0.19857723577235786</v>
      </c>
      <c r="U131" s="7"/>
    </row>
    <row r="132" spans="1:21" ht="10.5" customHeight="1" x14ac:dyDescent="0.35">
      <c r="B132" s="266"/>
      <c r="F132" s="57"/>
      <c r="G132" s="41"/>
      <c r="H132" s="15"/>
      <c r="L132" s="199"/>
      <c r="M132" s="112"/>
      <c r="N132" s="5"/>
      <c r="O132" s="210">
        <f>O131/G105-1</f>
        <v>-0.31195295366476505</v>
      </c>
      <c r="P132" s="90"/>
      <c r="Q132" s="17"/>
      <c r="R132" s="17"/>
      <c r="T132" s="34"/>
    </row>
    <row r="133" spans="1:21" s="3" customFormat="1" ht="10.5" customHeight="1" x14ac:dyDescent="0.35">
      <c r="B133" s="270"/>
      <c r="D133" s="15"/>
      <c r="E133" s="15"/>
      <c r="F133" s="16"/>
      <c r="G133" s="222"/>
      <c r="H133" s="15"/>
      <c r="I133" s="15"/>
      <c r="J133" s="15"/>
      <c r="L133" s="199"/>
      <c r="M133" s="265"/>
      <c r="N133" s="76"/>
      <c r="O133" s="255"/>
      <c r="P133" s="60"/>
      <c r="Q133" s="17"/>
      <c r="R133" s="17"/>
      <c r="T133" s="17"/>
    </row>
    <row r="134" spans="1:21" ht="10.5" customHeight="1" x14ac:dyDescent="0.35">
      <c r="B134" s="266"/>
      <c r="E134" s="244" t="s">
        <v>103</v>
      </c>
      <c r="F134" s="57"/>
      <c r="G134" s="39"/>
      <c r="H134" s="15"/>
      <c r="M134" s="244" t="s">
        <v>104</v>
      </c>
      <c r="O134" s="34"/>
      <c r="P134" s="15"/>
    </row>
    <row r="135" spans="1:21" ht="10.5" customHeight="1" x14ac:dyDescent="0.35">
      <c r="B135" s="266"/>
      <c r="C135" s="247"/>
      <c r="D135" s="247"/>
      <c r="E135" s="30">
        <f>$C$4</f>
        <v>46296</v>
      </c>
      <c r="F135" s="89" t="s">
        <v>20</v>
      </c>
      <c r="G135" s="30">
        <f>$C$5</f>
        <v>46512</v>
      </c>
      <c r="H135" s="15"/>
      <c r="M135" s="30">
        <f>$C$4</f>
        <v>46296</v>
      </c>
      <c r="N135" s="24" t="s">
        <v>20</v>
      </c>
      <c r="O135" s="30">
        <f>$C$5</f>
        <v>46512</v>
      </c>
      <c r="P135" s="15"/>
    </row>
    <row r="136" spans="1:21" ht="10.5" customHeight="1" x14ac:dyDescent="0.35">
      <c r="A136" s="284" t="s">
        <v>105</v>
      </c>
      <c r="B136" s="276" t="s">
        <v>22</v>
      </c>
      <c r="C136" s="24" t="s">
        <v>17</v>
      </c>
      <c r="D136" s="98" t="s">
        <v>44</v>
      </c>
      <c r="E136" s="24" t="s">
        <v>18</v>
      </c>
      <c r="F136" s="93">
        <v>0.04</v>
      </c>
      <c r="G136" s="24" t="s">
        <v>19</v>
      </c>
      <c r="H136" s="15"/>
      <c r="L136" s="24" t="s">
        <v>17</v>
      </c>
      <c r="M136" s="249" t="s">
        <v>111</v>
      </c>
      <c r="N136" s="25">
        <v>0.04</v>
      </c>
      <c r="O136" s="24" t="s">
        <v>19</v>
      </c>
      <c r="P136" s="15"/>
    </row>
    <row r="137" spans="1:21" ht="10.5" customHeight="1" x14ac:dyDescent="0.35">
      <c r="A137" s="285"/>
      <c r="B137" s="276"/>
      <c r="C137" s="5" t="s">
        <v>27</v>
      </c>
      <c r="D137" s="82">
        <v>1</v>
      </c>
      <c r="E137" s="166">
        <f>19.08*$C$11</f>
        <v>108.756</v>
      </c>
      <c r="F137" s="26">
        <f>E137/$C$10/$C$21</f>
        <v>105.55473596757537</v>
      </c>
      <c r="G137" s="31">
        <f>E137/$C$10*$C$8</f>
        <v>124.39921187039465</v>
      </c>
      <c r="H137" s="15"/>
      <c r="L137" s="5" t="s">
        <v>27</v>
      </c>
      <c r="M137" s="163">
        <v>0</v>
      </c>
      <c r="N137" s="94">
        <f>M137/$C$10/$C$21</f>
        <v>0</v>
      </c>
      <c r="O137" s="31">
        <f>M137/$C$10*$C$8</f>
        <v>0</v>
      </c>
      <c r="P137" s="15"/>
      <c r="T137" s="58"/>
    </row>
    <row r="138" spans="1:21" ht="10.5" customHeight="1" x14ac:dyDescent="0.35">
      <c r="A138" s="285"/>
      <c r="B138" s="276"/>
      <c r="C138" s="5" t="s">
        <v>14</v>
      </c>
      <c r="D138" s="82">
        <v>2</v>
      </c>
      <c r="E138" s="166">
        <f>86.4*$C$11</f>
        <v>492.48000000000008</v>
      </c>
      <c r="F138" s="26">
        <f>E138/$C$10/$C$21</f>
        <v>477.98371004185077</v>
      </c>
      <c r="G138" s="31">
        <f>E138/$C$10*$C$8</f>
        <v>563.31718582820235</v>
      </c>
      <c r="H138" s="15"/>
      <c r="L138" s="5" t="s">
        <v>14</v>
      </c>
      <c r="M138" s="163">
        <f>77*$C$11</f>
        <v>438.90000000000003</v>
      </c>
      <c r="N138" s="94">
        <f>M138/$C$10/$C$21</f>
        <v>425.98085269933455</v>
      </c>
      <c r="O138" s="31">
        <f>M138/$C$10*$C$8</f>
        <v>502.03036237004136</v>
      </c>
      <c r="P138" s="15"/>
      <c r="S138" s="76"/>
      <c r="T138" s="68" t="s">
        <v>37</v>
      </c>
      <c r="U138" s="7"/>
    </row>
    <row r="139" spans="1:21" ht="10.5" customHeight="1" x14ac:dyDescent="0.35">
      <c r="A139" s="285"/>
      <c r="B139" s="276"/>
      <c r="C139" s="4" t="s">
        <v>94</v>
      </c>
      <c r="D139" s="34"/>
      <c r="F139" s="164">
        <f>SUMPRODUCT(F136:F138,D136:D138)</f>
        <v>1061.5221560512769</v>
      </c>
      <c r="G139" s="164">
        <f>SUMPRODUCT(G137:G138,D137:D138)</f>
        <v>1251.0335835267992</v>
      </c>
      <c r="H139" s="15"/>
      <c r="L139" s="4" t="s">
        <v>94</v>
      </c>
      <c r="M139" s="164">
        <f>SUMPRODUCT(M137:M138,D137:D138)</f>
        <v>877.80000000000007</v>
      </c>
      <c r="N139" s="164">
        <f>SUMPRODUCT(N137:N138,D137:D138)</f>
        <v>851.9617053986691</v>
      </c>
      <c r="O139" s="164">
        <f>SUMPRODUCT(O137:O138,D137:D138)</f>
        <v>1004.0607247400827</v>
      </c>
      <c r="P139" s="15"/>
      <c r="S139" s="76"/>
      <c r="T139" s="69" t="s">
        <v>83</v>
      </c>
      <c r="U139" s="7"/>
    </row>
    <row r="140" spans="1:21" ht="10.5" customHeight="1" x14ac:dyDescent="0.35">
      <c r="A140" s="285"/>
      <c r="B140" s="276"/>
      <c r="C140" s="4" t="s">
        <v>93</v>
      </c>
      <c r="F140" s="95"/>
      <c r="G140" s="203">
        <f>G139/$C$13</f>
        <v>10.878552900233037</v>
      </c>
      <c r="H140" s="16"/>
      <c r="L140" s="4" t="s">
        <v>93</v>
      </c>
      <c r="M140" s="4"/>
      <c r="N140" s="28"/>
      <c r="O140" s="86">
        <f>O139/$C$13</f>
        <v>8.7309628238268058</v>
      </c>
      <c r="P140" s="16"/>
      <c r="S140" s="76"/>
      <c r="T140" s="70">
        <f>O140/G140-1</f>
        <v>-0.19741505107358781</v>
      </c>
      <c r="U140" s="7"/>
    </row>
    <row r="141" spans="1:21" ht="10.5" customHeight="1" x14ac:dyDescent="0.35">
      <c r="A141" s="285"/>
      <c r="B141" s="266"/>
      <c r="F141" s="57"/>
      <c r="G141" s="41"/>
      <c r="H141" s="15"/>
      <c r="O141" s="34"/>
      <c r="P141" s="15"/>
      <c r="T141" s="34"/>
    </row>
    <row r="142" spans="1:21" ht="10.5" customHeight="1" x14ac:dyDescent="0.35">
      <c r="A142" s="285"/>
      <c r="B142" s="286" t="s">
        <v>12</v>
      </c>
      <c r="C142" s="24" t="s">
        <v>17</v>
      </c>
      <c r="D142" s="46" t="s">
        <v>16</v>
      </c>
      <c r="E142" s="24" t="s">
        <v>18</v>
      </c>
      <c r="F142" s="89" t="s">
        <v>21</v>
      </c>
      <c r="G142" s="24" t="s">
        <v>19</v>
      </c>
      <c r="H142" s="15"/>
      <c r="L142" s="24" t="s">
        <v>17</v>
      </c>
      <c r="M142" s="249" t="s">
        <v>111</v>
      </c>
      <c r="N142" s="24" t="s">
        <v>21</v>
      </c>
      <c r="O142" s="24" t="s">
        <v>19</v>
      </c>
      <c r="P142" s="15"/>
      <c r="T142" s="2"/>
    </row>
    <row r="143" spans="1:21" ht="10.5" customHeight="1" x14ac:dyDescent="0.35">
      <c r="A143" s="285"/>
      <c r="B143" s="287"/>
      <c r="C143" s="5" t="s">
        <v>27</v>
      </c>
      <c r="D143" s="173">
        <f>$D$137</f>
        <v>1</v>
      </c>
      <c r="E143" s="166">
        <f>19.08*$C$11</f>
        <v>108.756</v>
      </c>
      <c r="F143" s="26">
        <f>E143/$C$10/$C$21</f>
        <v>105.55473596757537</v>
      </c>
      <c r="G143" s="31">
        <f>E143/$C$10*$C$8</f>
        <v>124.39921187039465</v>
      </c>
      <c r="H143" s="15"/>
      <c r="L143" s="5" t="s">
        <v>27</v>
      </c>
      <c r="M143" s="163">
        <v>0</v>
      </c>
      <c r="N143" s="26">
        <f>M143/$C$10/$C$21</f>
        <v>0</v>
      </c>
      <c r="O143" s="31">
        <f>M143/$C$10*$C$8</f>
        <v>0</v>
      </c>
      <c r="P143" s="15"/>
      <c r="T143" s="2"/>
    </row>
    <row r="144" spans="1:21" ht="10.5" customHeight="1" x14ac:dyDescent="0.35">
      <c r="A144" s="285"/>
      <c r="B144" s="287"/>
      <c r="C144" s="5" t="s">
        <v>14</v>
      </c>
      <c r="D144" s="173">
        <f>$D$138</f>
        <v>2</v>
      </c>
      <c r="E144" s="166">
        <f>86.4*$C$11</f>
        <v>492.48000000000008</v>
      </c>
      <c r="F144" s="26">
        <f>E144/$C$10/$C$21</f>
        <v>477.98371004185077</v>
      </c>
      <c r="G144" s="31">
        <f>E144/$C$10*$C$8</f>
        <v>563.31718582820235</v>
      </c>
      <c r="H144" s="15"/>
      <c r="L144" s="5" t="s">
        <v>14</v>
      </c>
      <c r="M144" s="163">
        <f>77*$C$11</f>
        <v>438.90000000000003</v>
      </c>
      <c r="N144" s="26">
        <f>M144/$C$10/$C$21</f>
        <v>425.98085269933455</v>
      </c>
      <c r="O144" s="31">
        <f>M144/$C$10*$C$8</f>
        <v>502.03036237004136</v>
      </c>
      <c r="P144" s="15"/>
      <c r="S144" s="76"/>
      <c r="T144" s="2"/>
      <c r="U144" s="7"/>
    </row>
    <row r="145" spans="1:21" ht="10.5" customHeight="1" x14ac:dyDescent="0.35">
      <c r="A145" s="285"/>
      <c r="B145" s="287"/>
      <c r="C145" s="4" t="s">
        <v>52</v>
      </c>
      <c r="D145" s="34"/>
      <c r="E145" s="165">
        <f>SUMPRODUCT(E143:E144,D143:D144)</f>
        <v>1093.7160000000001</v>
      </c>
      <c r="F145" s="163">
        <f>SUMPRODUCT(F143:F144,D143:D144)</f>
        <v>1061.5221560512769</v>
      </c>
      <c r="G145" s="165">
        <f>SUMPRODUCT(G143:G144,D143:D144)</f>
        <v>1251.0335835267992</v>
      </c>
      <c r="H145" s="58"/>
      <c r="L145" s="4" t="s">
        <v>52</v>
      </c>
      <c r="M145" s="166">
        <f>SUMPRODUCT(M143:M144,$D$143:$D$144)</f>
        <v>877.80000000000007</v>
      </c>
      <c r="N145" s="166">
        <f>SUMPRODUCT(N143:N144,$D$143:$D$144)</f>
        <v>851.9617053986691</v>
      </c>
      <c r="O145" s="165">
        <f>SUMPRODUCT(O143:O144,$D$143:$D$144)</f>
        <v>1004.0607247400827</v>
      </c>
      <c r="P145" s="19"/>
      <c r="S145" s="76"/>
      <c r="T145" s="2"/>
      <c r="U145" s="7"/>
    </row>
    <row r="146" spans="1:21" ht="10.5" customHeight="1" x14ac:dyDescent="0.35">
      <c r="A146" s="285"/>
      <c r="B146" s="287"/>
      <c r="C146" s="4" t="s">
        <v>97</v>
      </c>
      <c r="E146" s="165"/>
      <c r="F146" s="214"/>
      <c r="G146" s="236">
        <f>G145/$C$13</f>
        <v>10.878552900233037</v>
      </c>
      <c r="H146" s="57"/>
      <c r="L146" s="4" t="s">
        <v>97</v>
      </c>
      <c r="M146" s="166"/>
      <c r="N146" s="239"/>
      <c r="O146" s="236">
        <f>O145/$C$13</f>
        <v>8.7309628238268058</v>
      </c>
      <c r="P146" s="57"/>
      <c r="S146" s="76"/>
      <c r="U146" s="7"/>
    </row>
    <row r="147" spans="1:21" ht="10.5" customHeight="1" x14ac:dyDescent="0.35">
      <c r="A147" s="285"/>
      <c r="B147" s="287"/>
      <c r="C147" s="2" t="s">
        <v>87</v>
      </c>
      <c r="E147" s="165">
        <f>E143/5.7</f>
        <v>19.079999999999998</v>
      </c>
      <c r="F147" s="214"/>
      <c r="G147" s="221">
        <f>G145*$C$16</f>
        <v>50.041343341071972</v>
      </c>
      <c r="L147" s="2" t="s">
        <v>87</v>
      </c>
      <c r="M147" s="166"/>
      <c r="N147" s="238"/>
      <c r="O147" s="221">
        <f>O145*$C$16</f>
        <v>40.162428989603306</v>
      </c>
      <c r="S147" s="76"/>
      <c r="T147" s="58"/>
      <c r="U147" s="7"/>
    </row>
    <row r="148" spans="1:21" ht="10.5" customHeight="1" x14ac:dyDescent="0.35">
      <c r="A148" s="285"/>
      <c r="B148" s="287"/>
      <c r="C148" s="2" t="s">
        <v>88</v>
      </c>
      <c r="E148" s="165">
        <f>E144/5.7</f>
        <v>86.4</v>
      </c>
      <c r="F148" s="214"/>
      <c r="G148" s="163">
        <f>E145*$D$9</f>
        <v>31.499020799999933</v>
      </c>
      <c r="L148" s="2" t="s">
        <v>88</v>
      </c>
      <c r="M148" s="166"/>
      <c r="N148" s="238"/>
      <c r="O148" s="163">
        <f>M145*$D$9</f>
        <v>25.280639999999945</v>
      </c>
      <c r="S148" s="76"/>
      <c r="T148" s="68" t="s">
        <v>37</v>
      </c>
      <c r="U148" s="7"/>
    </row>
    <row r="149" spans="1:21" ht="10.5" customHeight="1" x14ac:dyDescent="0.35">
      <c r="A149" s="285"/>
      <c r="B149" s="287"/>
      <c r="C149" s="2" t="s">
        <v>90</v>
      </c>
      <c r="E149" s="165"/>
      <c r="F149" s="214"/>
      <c r="G149" s="220">
        <f>SUM(G147+G148)/G145</f>
        <v>6.5178397458524481E-2</v>
      </c>
      <c r="L149" s="2" t="s">
        <v>90</v>
      </c>
      <c r="N149" s="164">
        <f>SUMPRODUCT(N143:N144,D143:D144)</f>
        <v>851.9617053986691</v>
      </c>
      <c r="O149" s="220">
        <f>SUM(O147+O148)/O145</f>
        <v>6.5178397458524467E-2</v>
      </c>
      <c r="S149" s="76"/>
      <c r="T149" s="69" t="s">
        <v>81</v>
      </c>
      <c r="U149" s="7"/>
    </row>
    <row r="150" spans="1:21" ht="10.5" customHeight="1" x14ac:dyDescent="0.35">
      <c r="A150" s="285"/>
      <c r="B150" s="288"/>
      <c r="C150" s="2" t="s">
        <v>98</v>
      </c>
      <c r="F150" s="28"/>
      <c r="G150" s="236">
        <f>G145/$C$17</f>
        <v>10.212892907130724</v>
      </c>
      <c r="H150" s="219">
        <f>G150/G140-1</f>
        <v>-6.1190123282670594E-2</v>
      </c>
      <c r="I150" s="62"/>
      <c r="J150" s="20"/>
      <c r="K150" s="14"/>
      <c r="L150" s="2" t="s">
        <v>98</v>
      </c>
      <c r="M150" s="118"/>
      <c r="N150" s="39"/>
      <c r="O150" s="236">
        <f>O145/$C$17</f>
        <v>8.1967141322604302</v>
      </c>
      <c r="P150" s="219">
        <f>O150/O140-1</f>
        <v>-6.1190123282670594E-2</v>
      </c>
      <c r="Q150" s="62"/>
      <c r="R150" s="20"/>
      <c r="S150" s="77"/>
      <c r="T150" s="70">
        <f>O150/G150-1</f>
        <v>-0.19741505107358781</v>
      </c>
      <c r="U150" s="7"/>
    </row>
    <row r="151" spans="1:21" ht="10.5" customHeight="1" x14ac:dyDescent="0.35">
      <c r="A151" s="285"/>
      <c r="B151" s="266"/>
      <c r="F151" s="57"/>
      <c r="G151" s="41"/>
      <c r="H151" s="17"/>
      <c r="L151" s="19"/>
      <c r="O151" s="34"/>
      <c r="P151" s="17"/>
      <c r="T151" s="34"/>
    </row>
    <row r="152" spans="1:21" ht="10.5" customHeight="1" x14ac:dyDescent="0.35">
      <c r="A152" s="285"/>
      <c r="B152" s="279" t="s">
        <v>92</v>
      </c>
      <c r="C152" s="24" t="s">
        <v>17</v>
      </c>
      <c r="D152" s="46" t="s">
        <v>16</v>
      </c>
      <c r="E152" s="24" t="s">
        <v>18</v>
      </c>
      <c r="F152" s="89" t="s">
        <v>21</v>
      </c>
      <c r="G152" s="24" t="s">
        <v>19</v>
      </c>
      <c r="H152" s="15"/>
      <c r="L152" s="24" t="s">
        <v>17</v>
      </c>
      <c r="M152" s="249" t="s">
        <v>111</v>
      </c>
      <c r="N152" s="24" t="s">
        <v>21</v>
      </c>
      <c r="O152" s="24" t="s">
        <v>19</v>
      </c>
      <c r="P152" s="15"/>
    </row>
    <row r="153" spans="1:21" ht="10.5" customHeight="1" x14ac:dyDescent="0.35">
      <c r="A153" s="285"/>
      <c r="B153" s="279"/>
      <c r="C153" s="5" t="s">
        <v>27</v>
      </c>
      <c r="D153" s="173">
        <f>$D$137</f>
        <v>1</v>
      </c>
      <c r="E153" s="49">
        <f>19.08</f>
        <v>19.079999999999998</v>
      </c>
      <c r="F153" s="50">
        <f>E153/$C$10/$C$21</f>
        <v>18.518374731153571</v>
      </c>
      <c r="G153" s="50">
        <f>E153/$E$10*$E$8</f>
        <v>20.923096800242249</v>
      </c>
      <c r="H153" s="15"/>
      <c r="L153" s="5" t="s">
        <v>27</v>
      </c>
      <c r="M153" s="29">
        <v>0</v>
      </c>
      <c r="N153" s="50">
        <f>M153/$C$10/$C$21</f>
        <v>0</v>
      </c>
      <c r="O153" s="50">
        <f>M153/$E$10*$E$8</f>
        <v>0</v>
      </c>
      <c r="P153" s="15"/>
      <c r="T153" s="58"/>
    </row>
    <row r="154" spans="1:21" ht="10.5" customHeight="1" x14ac:dyDescent="0.35">
      <c r="A154" s="285"/>
      <c r="B154" s="279"/>
      <c r="C154" s="5" t="s">
        <v>14</v>
      </c>
      <c r="D154" s="173">
        <f>$D$138</f>
        <v>2</v>
      </c>
      <c r="E154" s="49">
        <f>86.4</f>
        <v>86.4</v>
      </c>
      <c r="F154" s="50">
        <f>E154/$C$10/$C$21</f>
        <v>83.856791235412402</v>
      </c>
      <c r="G154" s="50">
        <f>E154/$E$10*$E$8</f>
        <v>94.74609871807813</v>
      </c>
      <c r="H154" s="15"/>
      <c r="L154" s="5" t="s">
        <v>14</v>
      </c>
      <c r="M154" s="29">
        <v>77</v>
      </c>
      <c r="N154" s="50">
        <f>M154/$C$10/$C$21</f>
        <v>74.733482929707819</v>
      </c>
      <c r="O154" s="50">
        <f>M154/$E$10*$E$8</f>
        <v>84.438074089027964</v>
      </c>
      <c r="P154" s="15"/>
      <c r="S154" s="76"/>
      <c r="T154" s="68" t="s">
        <v>37</v>
      </c>
      <c r="U154" s="7"/>
    </row>
    <row r="155" spans="1:21" ht="10.5" customHeight="1" x14ac:dyDescent="0.35">
      <c r="A155" s="285"/>
      <c r="B155" s="279"/>
      <c r="C155" s="4" t="s">
        <v>95</v>
      </c>
      <c r="D155" s="34"/>
      <c r="E155" s="50"/>
      <c r="F155" s="49">
        <f>SUMPRODUCT(F153:F154,D153:D154)</f>
        <v>186.23195720197839</v>
      </c>
      <c r="G155" s="54">
        <f>SUMPRODUCT(G153:G154,D153:D154)</f>
        <v>210.41529423639849</v>
      </c>
      <c r="H155" s="15"/>
      <c r="I155" s="19"/>
      <c r="L155" s="4" t="s">
        <v>95</v>
      </c>
      <c r="M155" s="49">
        <f>SUMPRODUCT(M153:M154,D153:D154)</f>
        <v>154</v>
      </c>
      <c r="N155" s="49">
        <f>SUMPRODUCT(N153:N154,D153:D154)</f>
        <v>149.46696585941564</v>
      </c>
      <c r="O155" s="35">
        <f>SUMPRODUCT(O153:O154,D153:D154)</f>
        <v>168.87614817805593</v>
      </c>
      <c r="P155" s="15"/>
      <c r="Q155" s="19"/>
      <c r="S155" s="76"/>
      <c r="T155" s="69" t="s">
        <v>82</v>
      </c>
      <c r="U155" s="7"/>
    </row>
    <row r="156" spans="1:21" ht="10.5" customHeight="1" x14ac:dyDescent="0.35">
      <c r="A156" s="285"/>
      <c r="B156" s="279"/>
      <c r="C156" s="2" t="s">
        <v>96</v>
      </c>
      <c r="F156" s="95"/>
      <c r="G156" s="86">
        <f>G155/$D$14</f>
        <v>10.019775916018975</v>
      </c>
      <c r="H156" s="61"/>
      <c r="I156" s="127">
        <f>G156/G140-1</f>
        <v>-7.8942207855207003E-2</v>
      </c>
      <c r="J156" s="16"/>
      <c r="L156" s="2" t="s">
        <v>96</v>
      </c>
      <c r="M156" s="4"/>
      <c r="N156" s="28"/>
      <c r="O156" s="86">
        <f>O155/$D$14</f>
        <v>8.0417213418121865</v>
      </c>
      <c r="P156" s="61"/>
      <c r="Q156" s="127">
        <f>O156/O140-1</f>
        <v>-7.8942207855206781E-2</v>
      </c>
      <c r="R156" s="16"/>
      <c r="S156" s="76"/>
      <c r="T156" s="70">
        <f>O156/G156-1</f>
        <v>-0.19741505107358759</v>
      </c>
      <c r="U156" s="7"/>
    </row>
    <row r="157" spans="1:21" ht="10.5" customHeight="1" x14ac:dyDescent="0.35">
      <c r="A157" s="285"/>
      <c r="B157" s="266"/>
      <c r="F157" s="57"/>
      <c r="G157" s="41"/>
      <c r="H157" s="15"/>
      <c r="I157" s="17"/>
      <c r="O157" s="34"/>
      <c r="P157" s="15"/>
      <c r="Q157" s="17"/>
      <c r="T157" s="34"/>
    </row>
    <row r="158" spans="1:21" ht="10.5" customHeight="1" x14ac:dyDescent="0.35">
      <c r="A158" s="285"/>
      <c r="B158" s="277" t="s">
        <v>23</v>
      </c>
      <c r="C158" s="24" t="s">
        <v>17</v>
      </c>
      <c r="D158" s="46" t="s">
        <v>16</v>
      </c>
      <c r="E158" s="24" t="s">
        <v>18</v>
      </c>
      <c r="F158" s="89" t="s">
        <v>21</v>
      </c>
      <c r="G158" s="24" t="s">
        <v>19</v>
      </c>
      <c r="H158" s="15"/>
      <c r="L158" s="24" t="s">
        <v>17</v>
      </c>
      <c r="M158" s="249" t="s">
        <v>111</v>
      </c>
      <c r="N158" s="24" t="s">
        <v>21</v>
      </c>
      <c r="O158" s="24" t="s">
        <v>19</v>
      </c>
      <c r="P158" s="15"/>
    </row>
    <row r="159" spans="1:21" ht="10.5" customHeight="1" x14ac:dyDescent="0.35">
      <c r="A159" s="285"/>
      <c r="B159" s="278"/>
      <c r="C159" s="5" t="s">
        <v>27</v>
      </c>
      <c r="D159" s="173">
        <f>$D$137</f>
        <v>1</v>
      </c>
      <c r="E159" s="49">
        <f>19.08</f>
        <v>19.079999999999998</v>
      </c>
      <c r="F159" s="50">
        <f>E159/$C$10/$C$21</f>
        <v>18.518374731153571</v>
      </c>
      <c r="G159" s="50">
        <f>E159/$E$10*$E$8</f>
        <v>20.923096800242249</v>
      </c>
      <c r="H159" s="15"/>
      <c r="L159" s="5" t="s">
        <v>27</v>
      </c>
      <c r="M159" s="29">
        <v>0</v>
      </c>
      <c r="N159" s="48">
        <f>M159/$C$10/$C$21</f>
        <v>0</v>
      </c>
      <c r="O159" s="50">
        <f>M159/$E$10*$E$8</f>
        <v>0</v>
      </c>
      <c r="P159" s="15"/>
      <c r="T159" s="58"/>
    </row>
    <row r="160" spans="1:21" ht="10.5" customHeight="1" x14ac:dyDescent="0.35">
      <c r="A160" s="285"/>
      <c r="B160" s="278"/>
      <c r="C160" s="5" t="s">
        <v>14</v>
      </c>
      <c r="D160" s="173">
        <f>$D$138</f>
        <v>2</v>
      </c>
      <c r="E160" s="49">
        <f>86.4</f>
        <v>86.4</v>
      </c>
      <c r="F160" s="50">
        <f>E160/$C$10/$C$21</f>
        <v>83.856791235412402</v>
      </c>
      <c r="G160" s="50">
        <f>E160/$E$10*$E$8</f>
        <v>94.74609871807813</v>
      </c>
      <c r="H160" s="15"/>
      <c r="L160" s="5" t="s">
        <v>14</v>
      </c>
      <c r="M160" s="29">
        <v>77</v>
      </c>
      <c r="N160" s="48">
        <f>M160/$C$10/$C$21</f>
        <v>74.733482929707819</v>
      </c>
      <c r="O160" s="50">
        <f>M160/$E$10*$E$8</f>
        <v>84.438074089027964</v>
      </c>
      <c r="P160" s="15"/>
      <c r="S160" s="76"/>
      <c r="T160" s="58"/>
      <c r="U160" s="7"/>
    </row>
    <row r="161" spans="1:21" ht="10.5" customHeight="1" x14ac:dyDescent="0.35">
      <c r="A161" s="285"/>
      <c r="B161" s="278"/>
      <c r="C161" s="4" t="s">
        <v>53</v>
      </c>
      <c r="D161" s="34"/>
      <c r="E161" s="132">
        <f>SUMPRODUCT(E159:E160,D159:D160)</f>
        <v>191.88</v>
      </c>
      <c r="F161" s="132">
        <f>SUMPRODUCT(F159:F160,D159:D160)</f>
        <v>186.23195720197839</v>
      </c>
      <c r="G161" s="134">
        <f>SUMPRODUCT(G159:G160,D159:D160)</f>
        <v>210.41529423639849</v>
      </c>
      <c r="H161" s="58"/>
      <c r="I161" s="19"/>
      <c r="J161" s="19"/>
      <c r="L161" s="4" t="s">
        <v>53</v>
      </c>
      <c r="M161" s="258">
        <f>SUMPRODUCT(M159:M160,D159:D160)</f>
        <v>154</v>
      </c>
      <c r="N161" s="132">
        <f>SUMPRODUCT(N159:N160,D159:D160)</f>
        <v>149.46696585941564</v>
      </c>
      <c r="O161" s="134">
        <f>SUMPRODUCT(O159:O160,D159:D160)</f>
        <v>168.87614817805593</v>
      </c>
      <c r="P161" s="58"/>
      <c r="Q161" s="19"/>
      <c r="R161" s="19"/>
      <c r="S161" s="76"/>
      <c r="U161" s="7"/>
    </row>
    <row r="162" spans="1:21" ht="10.5" customHeight="1" x14ac:dyDescent="0.35">
      <c r="A162" s="285"/>
      <c r="B162" s="278"/>
      <c r="C162" s="4" t="s">
        <v>97</v>
      </c>
      <c r="E162" s="165"/>
      <c r="F162" s="214"/>
      <c r="G162" s="236">
        <f>G161/$D$14</f>
        <v>10.019775916018975</v>
      </c>
      <c r="H162" s="139"/>
      <c r="I162" s="215"/>
      <c r="J162" s="215"/>
      <c r="L162" s="4" t="s">
        <v>97</v>
      </c>
      <c r="M162" s="165"/>
      <c r="N162" s="214"/>
      <c r="O162" s="236">
        <f>O161/$D$14</f>
        <v>8.0417213418121865</v>
      </c>
      <c r="P162" s="139"/>
      <c r="Q162" s="215"/>
      <c r="R162" s="215"/>
      <c r="S162" s="76"/>
      <c r="U162" s="7"/>
    </row>
    <row r="163" spans="1:21" ht="10.5" customHeight="1" x14ac:dyDescent="0.35">
      <c r="A163" s="285"/>
      <c r="B163" s="278"/>
      <c r="C163" s="2" t="s">
        <v>87</v>
      </c>
      <c r="E163" s="165"/>
      <c r="F163" s="214"/>
      <c r="G163" s="230">
        <f>G161*$D$16</f>
        <v>8.4166117694559404</v>
      </c>
      <c r="H163" s="139"/>
      <c r="I163" s="215"/>
      <c r="J163" s="215"/>
      <c r="L163" s="2" t="s">
        <v>87</v>
      </c>
      <c r="M163" s="165"/>
      <c r="N163" s="214"/>
      <c r="O163" s="230">
        <f>O161*$D$16</f>
        <v>6.7550459271222376</v>
      </c>
      <c r="P163" s="139"/>
      <c r="Q163" s="215"/>
      <c r="R163" s="215"/>
      <c r="S163" s="76"/>
      <c r="T163" s="58"/>
      <c r="U163" s="7"/>
    </row>
    <row r="164" spans="1:21" ht="10.5" customHeight="1" x14ac:dyDescent="0.35">
      <c r="A164" s="285"/>
      <c r="B164" s="278"/>
      <c r="C164" s="2" t="s">
        <v>88</v>
      </c>
      <c r="E164" s="165"/>
      <c r="F164" s="214"/>
      <c r="G164" s="29">
        <f>E161*$F$9</f>
        <v>6.9076800000000063</v>
      </c>
      <c r="H164" s="139"/>
      <c r="I164" s="215"/>
      <c r="J164" s="215"/>
      <c r="L164" s="2" t="s">
        <v>88</v>
      </c>
      <c r="M164" s="165"/>
      <c r="N164" s="214"/>
      <c r="O164" s="29">
        <f>M161*$F$9</f>
        <v>5.5440000000000049</v>
      </c>
      <c r="P164" s="139"/>
      <c r="Q164" s="215"/>
      <c r="R164" s="215"/>
      <c r="S164" s="76"/>
      <c r="T164" s="68" t="s">
        <v>37</v>
      </c>
      <c r="U164" s="7"/>
    </row>
    <row r="165" spans="1:21" ht="10.5" customHeight="1" x14ac:dyDescent="0.35">
      <c r="A165" s="285"/>
      <c r="B165" s="278"/>
      <c r="C165" s="2" t="s">
        <v>90</v>
      </c>
      <c r="E165" s="165"/>
      <c r="F165" s="214"/>
      <c r="G165" s="220">
        <f>SUM(G163+G164)/G161</f>
        <v>7.282879234167898E-2</v>
      </c>
      <c r="H165" s="139"/>
      <c r="I165" s="215"/>
      <c r="J165" s="215"/>
      <c r="L165" s="2" t="s">
        <v>90</v>
      </c>
      <c r="M165" s="165"/>
      <c r="N165" s="214"/>
      <c r="O165" s="220">
        <f>SUM(O163+O164)/O161</f>
        <v>7.282879234167898E-2</v>
      </c>
      <c r="P165" s="139"/>
      <c r="Q165" s="215"/>
      <c r="R165" s="215"/>
      <c r="S165" s="76"/>
      <c r="T165" s="69" t="s">
        <v>113</v>
      </c>
      <c r="U165" s="7"/>
    </row>
    <row r="166" spans="1:21" ht="10.5" customHeight="1" x14ac:dyDescent="0.35">
      <c r="A166" s="285"/>
      <c r="B166" s="278"/>
      <c r="C166" s="2" t="s">
        <v>99</v>
      </c>
      <c r="F166" s="28"/>
      <c r="G166" s="236">
        <f>G161/$D$17</f>
        <v>9.3395852045960339</v>
      </c>
      <c r="H166" s="57"/>
      <c r="I166" s="18"/>
      <c r="J166" s="127">
        <f>G166/G140-1</f>
        <v>-0.14146805275948382</v>
      </c>
      <c r="L166" s="2" t="s">
        <v>99</v>
      </c>
      <c r="N166" s="28"/>
      <c r="O166" s="236">
        <f>O161/$D$17</f>
        <v>7.4958105144245852</v>
      </c>
      <c r="P166" s="57"/>
      <c r="Q166" s="18"/>
      <c r="R166" s="127">
        <f>O166/O140-1</f>
        <v>-0.1414680527594836</v>
      </c>
      <c r="S166" s="76"/>
      <c r="T166" s="70">
        <f>O166/G166-1</f>
        <v>-0.19741505107358759</v>
      </c>
      <c r="U166" s="7"/>
    </row>
    <row r="167" spans="1:21" ht="10.5" customHeight="1" x14ac:dyDescent="0.35">
      <c r="B167" s="266"/>
      <c r="F167" s="57"/>
      <c r="G167" s="41"/>
      <c r="H167" s="15"/>
      <c r="N167" s="39"/>
      <c r="O167" s="210">
        <f>O166/G140-1</f>
        <v>-0.31095518097227692</v>
      </c>
      <c r="P167" s="16"/>
      <c r="T167" s="34"/>
    </row>
    <row r="168" spans="1:21" ht="10.5" customHeight="1" x14ac:dyDescent="0.35">
      <c r="B168" s="266"/>
      <c r="F168" s="57"/>
      <c r="G168" s="39"/>
      <c r="H168" s="15"/>
      <c r="O168" s="34"/>
      <c r="P168" s="15"/>
    </row>
    <row r="169" spans="1:21" ht="10.5" customHeight="1" x14ac:dyDescent="0.35">
      <c r="B169" s="266"/>
      <c r="E169" s="244" t="s">
        <v>103</v>
      </c>
      <c r="F169" s="57"/>
      <c r="G169" s="39"/>
      <c r="H169" s="15"/>
      <c r="M169" s="244" t="s">
        <v>104</v>
      </c>
      <c r="P169" s="15"/>
    </row>
    <row r="170" spans="1:21" ht="10.5" customHeight="1" x14ac:dyDescent="0.35">
      <c r="B170" s="266"/>
      <c r="C170" s="247"/>
      <c r="D170" s="247"/>
      <c r="E170" s="30">
        <f>$C$4</f>
        <v>46296</v>
      </c>
      <c r="F170" s="89" t="s">
        <v>20</v>
      </c>
      <c r="G170" s="30">
        <f>$C$5</f>
        <v>46512</v>
      </c>
      <c r="H170" s="15"/>
      <c r="M170" s="30">
        <f>$C$4</f>
        <v>46296</v>
      </c>
      <c r="N170" s="24" t="s">
        <v>20</v>
      </c>
      <c r="O170" s="30">
        <f>$C$5</f>
        <v>46512</v>
      </c>
      <c r="P170" s="15"/>
    </row>
    <row r="171" spans="1:21" ht="10.5" customHeight="1" x14ac:dyDescent="0.35">
      <c r="A171" s="282" t="s">
        <v>106</v>
      </c>
      <c r="B171" s="276" t="s">
        <v>22</v>
      </c>
      <c r="C171" s="24" t="s">
        <v>17</v>
      </c>
      <c r="D171" s="98" t="s">
        <v>44</v>
      </c>
      <c r="E171" s="24" t="s">
        <v>18</v>
      </c>
      <c r="F171" s="93">
        <v>0.04</v>
      </c>
      <c r="G171" s="24" t="s">
        <v>19</v>
      </c>
      <c r="H171" s="15"/>
      <c r="L171" s="24" t="s">
        <v>17</v>
      </c>
      <c r="M171" s="249" t="s">
        <v>111</v>
      </c>
      <c r="N171" s="25">
        <v>0.04</v>
      </c>
      <c r="O171" s="24" t="s">
        <v>19</v>
      </c>
      <c r="P171" s="15"/>
    </row>
    <row r="172" spans="1:21" ht="10.5" customHeight="1" x14ac:dyDescent="0.35">
      <c r="A172" s="283"/>
      <c r="B172" s="276"/>
      <c r="C172" s="5" t="s">
        <v>27</v>
      </c>
      <c r="D172" s="245">
        <v>1.5</v>
      </c>
      <c r="E172" s="166">
        <f>19.08*$C$11</f>
        <v>108.756</v>
      </c>
      <c r="F172" s="26">
        <f>E172/$C$10/$C$21</f>
        <v>105.55473596757537</v>
      </c>
      <c r="G172" s="31">
        <f t="shared" ref="G172:G174" si="2">E172/$C$10*$C$8</f>
        <v>124.39921187039465</v>
      </c>
      <c r="H172" s="15"/>
      <c r="L172" s="5" t="s">
        <v>27</v>
      </c>
      <c r="M172" s="163">
        <v>0</v>
      </c>
      <c r="N172" s="26">
        <f>M172/$C$10/$C$21</f>
        <v>0</v>
      </c>
      <c r="O172" s="31">
        <f t="shared" ref="O172:O174" si="3">M172/$C$10*$C$8</f>
        <v>0</v>
      </c>
      <c r="P172" s="15"/>
    </row>
    <row r="173" spans="1:21" ht="10.5" customHeight="1" x14ac:dyDescent="0.35">
      <c r="A173" s="283"/>
      <c r="B173" s="276"/>
      <c r="C173" s="5" t="s">
        <v>14</v>
      </c>
      <c r="D173" s="245">
        <v>2</v>
      </c>
      <c r="E173" s="166">
        <f>86.4*$C$11</f>
        <v>492.48000000000008</v>
      </c>
      <c r="F173" s="26">
        <f>E173/$C$10/$C$21</f>
        <v>477.98371004185077</v>
      </c>
      <c r="G173" s="31">
        <f t="shared" si="2"/>
        <v>563.31718582820235</v>
      </c>
      <c r="H173" s="15"/>
      <c r="L173" s="5" t="s">
        <v>14</v>
      </c>
      <c r="M173" s="163">
        <f>77*$C$11</f>
        <v>438.90000000000003</v>
      </c>
      <c r="N173" s="26">
        <f>M173/$C$10/$C$21</f>
        <v>425.98085269933455</v>
      </c>
      <c r="O173" s="31">
        <f t="shared" si="3"/>
        <v>502.03036237004136</v>
      </c>
      <c r="P173" s="15"/>
      <c r="T173" s="58"/>
    </row>
    <row r="174" spans="1:21" ht="10.5" customHeight="1" x14ac:dyDescent="0.35">
      <c r="A174" s="283"/>
      <c r="B174" s="276"/>
      <c r="C174" s="5" t="s">
        <v>72</v>
      </c>
      <c r="D174" s="245">
        <v>1</v>
      </c>
      <c r="E174" s="166">
        <f>64.61*$C$11</f>
        <v>368.27699999999999</v>
      </c>
      <c r="F174" s="26">
        <f>E174/$C$10/$C$21</f>
        <v>357.43666094680526</v>
      </c>
      <c r="G174" s="31">
        <f t="shared" si="2"/>
        <v>421.24911315231651</v>
      </c>
      <c r="H174" s="15"/>
      <c r="L174" s="5" t="s">
        <v>72</v>
      </c>
      <c r="M174" s="163">
        <f>64.61*$C$11</f>
        <v>368.27699999999999</v>
      </c>
      <c r="N174" s="26">
        <f>M174/$C$10/$C$21</f>
        <v>357.43666094680526</v>
      </c>
      <c r="O174" s="31">
        <f t="shared" si="3"/>
        <v>421.24911315231651</v>
      </c>
      <c r="P174" s="15"/>
      <c r="S174" s="76"/>
      <c r="T174" s="68" t="s">
        <v>37</v>
      </c>
      <c r="U174" s="7"/>
    </row>
    <row r="175" spans="1:21" ht="10.5" customHeight="1" x14ac:dyDescent="0.35">
      <c r="A175" s="283"/>
      <c r="B175" s="276"/>
      <c r="C175" s="4" t="s">
        <v>94</v>
      </c>
      <c r="D175" s="34"/>
      <c r="E175" s="166">
        <f>SUMPRODUCT(E172:E174,D172:D174)</f>
        <v>1516.3710000000001</v>
      </c>
      <c r="F175" s="166">
        <f>SUMPRODUCT(F172:F174,D172:D174)</f>
        <v>1471.7361849818699</v>
      </c>
      <c r="G175" s="171">
        <f>SUMPRODUCT(G172:G174,D172:D174)</f>
        <v>1734.4823026143133</v>
      </c>
      <c r="H175" s="15"/>
      <c r="L175" s="4" t="s">
        <v>94</v>
      </c>
      <c r="M175" s="171">
        <f>SUMPRODUCT(M172:M174,D172:D174)</f>
        <v>1246.077</v>
      </c>
      <c r="N175" s="171">
        <f>SUMPRODUCT(N172:N174,D172:D174)</f>
        <v>1209.3983663454744</v>
      </c>
      <c r="O175" s="171">
        <f>SUMPRODUCT(O172:O174,D172:D174)</f>
        <v>1425.3098378923992</v>
      </c>
      <c r="P175" s="15"/>
      <c r="S175" s="76"/>
      <c r="T175" s="69" t="s">
        <v>83</v>
      </c>
      <c r="U175" s="7"/>
    </row>
    <row r="176" spans="1:21" ht="10.5" customHeight="1" x14ac:dyDescent="0.35">
      <c r="A176" s="283"/>
      <c r="B176" s="276"/>
      <c r="C176" s="4" t="s">
        <v>93</v>
      </c>
      <c r="F176" s="95"/>
      <c r="G176" s="203">
        <f>G175/$C$13</f>
        <v>15.082454805341856</v>
      </c>
      <c r="H176" s="16"/>
      <c r="L176" s="4" t="s">
        <v>93</v>
      </c>
      <c r="M176" s="4"/>
      <c r="N176" s="39"/>
      <c r="O176" s="86">
        <f>O175/$C$13</f>
        <v>12.393998590368689</v>
      </c>
      <c r="P176" s="16"/>
      <c r="S176" s="76"/>
      <c r="T176" s="70">
        <f>O176/G176-1</f>
        <v>-0.17825057324361937</v>
      </c>
      <c r="U176" s="7"/>
    </row>
    <row r="177" spans="1:21" ht="10.5" customHeight="1" x14ac:dyDescent="0.35">
      <c r="A177" s="283"/>
      <c r="B177" s="266"/>
      <c r="F177" s="57"/>
      <c r="G177" s="41"/>
      <c r="H177" s="15"/>
      <c r="O177" s="34"/>
      <c r="P177" s="15"/>
      <c r="T177" s="34"/>
    </row>
    <row r="178" spans="1:21" ht="10.5" customHeight="1" x14ac:dyDescent="0.35">
      <c r="A178" s="283"/>
      <c r="B178" s="277" t="s">
        <v>12</v>
      </c>
      <c r="C178" s="24" t="s">
        <v>17</v>
      </c>
      <c r="D178" s="46" t="s">
        <v>16</v>
      </c>
      <c r="E178" s="24" t="s">
        <v>18</v>
      </c>
      <c r="F178" s="89" t="s">
        <v>21</v>
      </c>
      <c r="G178" s="24" t="s">
        <v>19</v>
      </c>
      <c r="H178" s="15"/>
      <c r="L178" s="24" t="s">
        <v>17</v>
      </c>
      <c r="M178" s="249" t="s">
        <v>111</v>
      </c>
      <c r="N178" s="101" t="s">
        <v>21</v>
      </c>
      <c r="O178" s="101" t="s">
        <v>19</v>
      </c>
      <c r="P178" s="15"/>
    </row>
    <row r="179" spans="1:21" ht="10.5" customHeight="1" x14ac:dyDescent="0.35">
      <c r="A179" s="283"/>
      <c r="B179" s="278"/>
      <c r="C179" s="5" t="s">
        <v>27</v>
      </c>
      <c r="D179" s="246">
        <f>$D$172</f>
        <v>1.5</v>
      </c>
      <c r="E179" s="166">
        <f>19.08*$C$11</f>
        <v>108.756</v>
      </c>
      <c r="F179" s="26">
        <f>E179/$C$10/$C$21</f>
        <v>105.55473596757537</v>
      </c>
      <c r="G179" s="31">
        <f t="shared" ref="G179:G181" si="4">E179/$C$10*$C$8</f>
        <v>124.39921187039465</v>
      </c>
      <c r="H179" s="15"/>
      <c r="L179" s="5" t="s">
        <v>27</v>
      </c>
      <c r="M179" s="163">
        <v>0</v>
      </c>
      <c r="N179" s="26">
        <f>M179/$C$10/$C$21</f>
        <v>0</v>
      </c>
      <c r="O179" s="31">
        <f t="shared" ref="O179:O181" si="5">M179/$C$10*$C$8</f>
        <v>0</v>
      </c>
      <c r="P179" s="15"/>
    </row>
    <row r="180" spans="1:21" ht="10.5" customHeight="1" x14ac:dyDescent="0.35">
      <c r="A180" s="283"/>
      <c r="B180" s="278"/>
      <c r="C180" s="5" t="s">
        <v>14</v>
      </c>
      <c r="D180" s="246">
        <f>$D$173</f>
        <v>2</v>
      </c>
      <c r="E180" s="166">
        <f>86.4*$C$11</f>
        <v>492.48000000000008</v>
      </c>
      <c r="F180" s="26">
        <f>E180/$C$10/$C$21</f>
        <v>477.98371004185077</v>
      </c>
      <c r="G180" s="31">
        <f t="shared" si="4"/>
        <v>563.31718582820235</v>
      </c>
      <c r="H180" s="15"/>
      <c r="L180" s="5" t="s">
        <v>14</v>
      </c>
      <c r="M180" s="163">
        <f>77*$C$11</f>
        <v>438.90000000000003</v>
      </c>
      <c r="N180" s="26">
        <f>M180/$C$10/$C$21</f>
        <v>425.98085269933455</v>
      </c>
      <c r="O180" s="31">
        <f t="shared" si="5"/>
        <v>502.03036237004136</v>
      </c>
      <c r="P180" s="15"/>
    </row>
    <row r="181" spans="1:21" ht="10.5" customHeight="1" x14ac:dyDescent="0.35">
      <c r="A181" s="283"/>
      <c r="B181" s="278"/>
      <c r="C181" s="5" t="s">
        <v>72</v>
      </c>
      <c r="D181" s="246">
        <f>$D$174</f>
        <v>1</v>
      </c>
      <c r="E181" s="166">
        <f>64.61*$C$11</f>
        <v>368.27699999999999</v>
      </c>
      <c r="F181" s="26">
        <f>E181/$C$10/$C$21</f>
        <v>357.43666094680526</v>
      </c>
      <c r="G181" s="31">
        <f t="shared" si="4"/>
        <v>421.24911315231651</v>
      </c>
      <c r="H181" s="15"/>
      <c r="L181" s="5" t="s">
        <v>72</v>
      </c>
      <c r="M181" s="163">
        <f>64.61*$C$11</f>
        <v>368.27699999999999</v>
      </c>
      <c r="N181" s="26">
        <f>M181/$C$10/$C$21</f>
        <v>357.43666094680526</v>
      </c>
      <c r="O181" s="31">
        <f t="shared" si="5"/>
        <v>421.24911315231651</v>
      </c>
      <c r="P181" s="15"/>
      <c r="S181" s="76"/>
      <c r="U181" s="7"/>
    </row>
    <row r="182" spans="1:21" ht="10.5" customHeight="1" x14ac:dyDescent="0.35">
      <c r="A182" s="283"/>
      <c r="B182" s="278"/>
      <c r="C182" s="4" t="s">
        <v>52</v>
      </c>
      <c r="D182" s="213"/>
      <c r="E182" s="166">
        <f>SUMPRODUCT(E179:E181,$D$179:$D$181)</f>
        <v>1516.3710000000001</v>
      </c>
      <c r="F182" s="166">
        <f>SUMPRODUCT(F179:F181,$D$179:$D$181)</f>
        <v>1471.7361849818699</v>
      </c>
      <c r="G182" s="165">
        <f>SUMPRODUCT(G179:G181,$D$179:$D$181)</f>
        <v>1734.4823026143133</v>
      </c>
      <c r="H182" s="19"/>
      <c r="L182" s="4" t="s">
        <v>52</v>
      </c>
      <c r="M182" s="166">
        <f>SUMPRODUCT(M179:M181,$D$179:$D$181)</f>
        <v>1246.077</v>
      </c>
      <c r="N182" s="166">
        <f>SUMPRODUCT(N179:N181,$D$179:$D$181)</f>
        <v>1209.3983663454744</v>
      </c>
      <c r="O182" s="165">
        <f>SUMPRODUCT(O179:O181,$D$179:$D$181)</f>
        <v>1425.3098378923992</v>
      </c>
      <c r="P182" s="19"/>
      <c r="S182" s="76"/>
      <c r="U182" s="7"/>
    </row>
    <row r="183" spans="1:21" ht="10.5" customHeight="1" x14ac:dyDescent="0.35">
      <c r="A183" s="283"/>
      <c r="B183" s="278"/>
      <c r="C183" s="4" t="s">
        <v>97</v>
      </c>
      <c r="E183" s="165"/>
      <c r="F183" s="214"/>
      <c r="G183" s="236">
        <f>G182/$C$13</f>
        <v>15.082454805341856</v>
      </c>
      <c r="H183" s="57"/>
      <c r="L183" s="4" t="s">
        <v>97</v>
      </c>
      <c r="M183" s="166"/>
      <c r="N183" s="239"/>
      <c r="O183" s="236">
        <f>O182/$C$13</f>
        <v>12.393998590368689</v>
      </c>
      <c r="P183" s="57"/>
      <c r="S183" s="76"/>
      <c r="U183" s="7"/>
    </row>
    <row r="184" spans="1:21" ht="10.5" customHeight="1" x14ac:dyDescent="0.35">
      <c r="A184" s="283"/>
      <c r="B184" s="278"/>
      <c r="C184" s="2" t="s">
        <v>87</v>
      </c>
      <c r="E184" s="165"/>
      <c r="F184" s="214"/>
      <c r="G184" s="221">
        <f>G182*$C$16</f>
        <v>69.379292104572528</v>
      </c>
      <c r="L184" s="2" t="s">
        <v>87</v>
      </c>
      <c r="M184" s="166"/>
      <c r="N184" s="238"/>
      <c r="O184" s="221">
        <f>O182*$C$16</f>
        <v>57.012393515695969</v>
      </c>
      <c r="S184" s="76"/>
      <c r="T184" s="58"/>
      <c r="U184" s="7"/>
    </row>
    <row r="185" spans="1:21" ht="10.5" customHeight="1" x14ac:dyDescent="0.35">
      <c r="A185" s="283"/>
      <c r="B185" s="278"/>
      <c r="C185" s="2" t="s">
        <v>88</v>
      </c>
      <c r="E185" s="165"/>
      <c r="F185" s="214"/>
      <c r="G185" s="163">
        <f>E182*$D$9</f>
        <v>43.671484799999909</v>
      </c>
      <c r="L185" s="2" t="s">
        <v>88</v>
      </c>
      <c r="M185" s="166"/>
      <c r="N185" s="238"/>
      <c r="O185" s="163">
        <f>M182*$D$9</f>
        <v>35.887017599999922</v>
      </c>
      <c r="S185" s="76"/>
      <c r="T185" s="68" t="s">
        <v>37</v>
      </c>
      <c r="U185" s="7"/>
    </row>
    <row r="186" spans="1:21" ht="10.5" customHeight="1" x14ac:dyDescent="0.35">
      <c r="A186" s="283"/>
      <c r="B186" s="278"/>
      <c r="C186" s="2" t="s">
        <v>90</v>
      </c>
      <c r="E186" s="165"/>
      <c r="F186" s="214"/>
      <c r="G186" s="220">
        <f>SUM(G184+G185)/G182</f>
        <v>6.5178397458524481E-2</v>
      </c>
      <c r="L186" s="2" t="s">
        <v>90</v>
      </c>
      <c r="N186" s="164">
        <f>SUMPRODUCT(N180:N181,D180:D181)</f>
        <v>1209.3983663454744</v>
      </c>
      <c r="O186" s="220">
        <f>SUM(O184+O185)/O182</f>
        <v>6.5178397458524481E-2</v>
      </c>
      <c r="S186" s="76"/>
      <c r="T186" s="69" t="s">
        <v>81</v>
      </c>
      <c r="U186" s="7"/>
    </row>
    <row r="187" spans="1:21" ht="10.5" customHeight="1" x14ac:dyDescent="0.35">
      <c r="A187" s="283"/>
      <c r="B187" s="278"/>
      <c r="C187" s="2" t="s">
        <v>98</v>
      </c>
      <c r="F187" s="28"/>
      <c r="G187" s="236">
        <f>G182/$C$17</f>
        <v>14.159557536397681</v>
      </c>
      <c r="H187" s="219">
        <f>G187/G176-1</f>
        <v>-6.1190123282670483E-2</v>
      </c>
      <c r="L187" s="2" t="s">
        <v>98</v>
      </c>
      <c r="M187" s="118"/>
      <c r="N187" s="39"/>
      <c r="O187" s="236">
        <f>O182/$C$17</f>
        <v>11.635608288658783</v>
      </c>
      <c r="P187" s="219">
        <f>O187/O176-1</f>
        <v>-6.1190123282670594E-2</v>
      </c>
      <c r="S187" s="76"/>
      <c r="T187" s="70">
        <f>O187/G187-1</f>
        <v>-0.17825057324361937</v>
      </c>
      <c r="U187" s="7"/>
    </row>
    <row r="188" spans="1:21" ht="10.5" customHeight="1" x14ac:dyDescent="0.35">
      <c r="A188" s="283"/>
      <c r="B188" s="266"/>
      <c r="F188" s="57"/>
      <c r="G188" s="41"/>
      <c r="H188" s="17"/>
      <c r="L188" s="19"/>
      <c r="O188" s="107"/>
      <c r="P188" s="17"/>
      <c r="T188" s="261" t="s">
        <v>114</v>
      </c>
    </row>
    <row r="189" spans="1:21" ht="10.5" customHeight="1" x14ac:dyDescent="0.35">
      <c r="A189" s="283"/>
      <c r="B189" s="279" t="s">
        <v>92</v>
      </c>
      <c r="C189" s="24" t="s">
        <v>17</v>
      </c>
      <c r="D189" s="46" t="s">
        <v>16</v>
      </c>
      <c r="E189" s="24" t="s">
        <v>18</v>
      </c>
      <c r="F189" s="89" t="s">
        <v>21</v>
      </c>
      <c r="G189" s="24" t="s">
        <v>19</v>
      </c>
      <c r="H189" s="15"/>
      <c r="L189" s="24" t="s">
        <v>17</v>
      </c>
      <c r="M189" s="249" t="s">
        <v>111</v>
      </c>
      <c r="N189" s="101" t="s">
        <v>21</v>
      </c>
      <c r="O189" s="101" t="s">
        <v>19</v>
      </c>
      <c r="P189" s="15"/>
    </row>
    <row r="190" spans="1:21" ht="10.5" customHeight="1" x14ac:dyDescent="0.35">
      <c r="A190" s="283"/>
      <c r="B190" s="279"/>
      <c r="C190" s="5" t="s">
        <v>27</v>
      </c>
      <c r="D190" s="246">
        <f>$D$172</f>
        <v>1.5</v>
      </c>
      <c r="E190" s="49">
        <v>19.079999999999998</v>
      </c>
      <c r="F190" s="50">
        <f>E190/$C$10/$C$21</f>
        <v>18.518374731153571</v>
      </c>
      <c r="G190" s="50">
        <f t="shared" ref="G190:G192" si="6">E190/$E$10*$E$8</f>
        <v>20.923096800242249</v>
      </c>
      <c r="H190" s="15"/>
      <c r="L190" s="5" t="s">
        <v>27</v>
      </c>
      <c r="M190" s="29">
        <v>0</v>
      </c>
      <c r="N190" s="50">
        <f>M190/$C$10/$C$21</f>
        <v>0</v>
      </c>
      <c r="O190" s="50">
        <f t="shared" ref="O190:O192" si="7">M190/$E$10*$E$8</f>
        <v>0</v>
      </c>
      <c r="P190" s="15"/>
    </row>
    <row r="191" spans="1:21" ht="10.5" customHeight="1" x14ac:dyDescent="0.35">
      <c r="A191" s="283"/>
      <c r="B191" s="279"/>
      <c r="C191" s="5" t="s">
        <v>14</v>
      </c>
      <c r="D191" s="246">
        <f>$D$173</f>
        <v>2</v>
      </c>
      <c r="E191" s="49">
        <v>86.4</v>
      </c>
      <c r="F191" s="50">
        <f>E191/$C$10/$C$21</f>
        <v>83.856791235412402</v>
      </c>
      <c r="G191" s="50">
        <f t="shared" si="6"/>
        <v>94.74609871807813</v>
      </c>
      <c r="H191" s="15"/>
      <c r="L191" s="5" t="s">
        <v>14</v>
      </c>
      <c r="M191" s="29">
        <v>77</v>
      </c>
      <c r="N191" s="50">
        <f>M191/$C$10/$C$21</f>
        <v>74.733482929707819</v>
      </c>
      <c r="O191" s="50">
        <f t="shared" si="7"/>
        <v>84.438074089027964</v>
      </c>
      <c r="P191" s="15"/>
      <c r="T191" s="58"/>
    </row>
    <row r="192" spans="1:21" ht="10.5" customHeight="1" x14ac:dyDescent="0.35">
      <c r="A192" s="283"/>
      <c r="B192" s="279"/>
      <c r="C192" s="5" t="s">
        <v>72</v>
      </c>
      <c r="D192" s="246">
        <f>$D$174</f>
        <v>1</v>
      </c>
      <c r="E192" s="48">
        <v>64.61</v>
      </c>
      <c r="F192" s="50">
        <f>E192/$C$10/$C$21</f>
        <v>62.708186131018465</v>
      </c>
      <c r="G192" s="50">
        <f t="shared" si="6"/>
        <v>70.851220349247996</v>
      </c>
      <c r="H192" s="15"/>
      <c r="L192" s="5" t="s">
        <v>72</v>
      </c>
      <c r="M192" s="50">
        <v>64.61</v>
      </c>
      <c r="N192" s="50">
        <f>M192/$C$10/$C$21</f>
        <v>62.708186131018465</v>
      </c>
      <c r="O192" s="50">
        <f t="shared" si="7"/>
        <v>70.851220349247996</v>
      </c>
      <c r="P192" s="15"/>
      <c r="S192" s="76"/>
      <c r="T192" s="68" t="s">
        <v>37</v>
      </c>
      <c r="U192" s="7"/>
    </row>
    <row r="193" spans="1:21" ht="10.5" customHeight="1" x14ac:dyDescent="0.35">
      <c r="A193" s="283"/>
      <c r="B193" s="279"/>
      <c r="C193" s="4" t="s">
        <v>95</v>
      </c>
      <c r="D193" s="34"/>
      <c r="E193" s="49">
        <f>SUMPRODUCT(E190:E192,D190:D192)</f>
        <v>266.03000000000003</v>
      </c>
      <c r="F193" s="49">
        <f>SUMPRODUCT(F190:F192,D190:D192)</f>
        <v>258.19933069857359</v>
      </c>
      <c r="G193" s="54">
        <f>SUMPRODUCT(G190:G192,D190:D192)</f>
        <v>291.72806298576762</v>
      </c>
      <c r="H193" s="15"/>
      <c r="I193" s="19"/>
      <c r="L193" s="4" t="s">
        <v>95</v>
      </c>
      <c r="M193" s="49">
        <f>SUMPRODUCT(M190:M192,D190:D192)</f>
        <v>218.61</v>
      </c>
      <c r="N193" s="49">
        <f>SUMPRODUCT(N190:N192,D190:D192)</f>
        <v>212.1751519904341</v>
      </c>
      <c r="O193" s="54">
        <f>SUMPRODUCT(O190:O192,D190:D192)</f>
        <v>239.72736852730392</v>
      </c>
      <c r="P193" s="15"/>
      <c r="Q193" s="19"/>
      <c r="S193" s="76"/>
      <c r="T193" s="69" t="s">
        <v>82</v>
      </c>
      <c r="U193" s="7"/>
    </row>
    <row r="194" spans="1:21" ht="10.5" customHeight="1" x14ac:dyDescent="0.35">
      <c r="A194" s="283"/>
      <c r="B194" s="279"/>
      <c r="C194" s="2" t="s">
        <v>96</v>
      </c>
      <c r="F194" s="95"/>
      <c r="G194" s="86">
        <f>G193/$D$14</f>
        <v>13.891812523131792</v>
      </c>
      <c r="H194" s="61"/>
      <c r="I194" s="127">
        <f>G194/G176-1</f>
        <v>-7.8942207855207114E-2</v>
      </c>
      <c r="J194" s="16"/>
      <c r="L194" s="2" t="s">
        <v>96</v>
      </c>
      <c r="M194" s="4"/>
      <c r="N194" s="28"/>
      <c r="O194" s="86">
        <f>O193/$D$14</f>
        <v>11.415588977490662</v>
      </c>
      <c r="P194" s="61"/>
      <c r="Q194" s="127">
        <f>O194/O176-1</f>
        <v>-7.8942207855206892E-2</v>
      </c>
      <c r="R194" s="16"/>
      <c r="S194" s="76"/>
      <c r="T194" s="70">
        <f>O194/G194-1</f>
        <v>-0.17825057324361915</v>
      </c>
      <c r="U194" s="7"/>
    </row>
    <row r="195" spans="1:21" ht="10.5" customHeight="1" x14ac:dyDescent="0.35">
      <c r="A195" s="283"/>
      <c r="B195" s="266"/>
      <c r="F195" s="57"/>
      <c r="G195" s="41"/>
      <c r="H195" s="15"/>
      <c r="I195" s="17"/>
      <c r="O195" s="34"/>
      <c r="P195" s="15"/>
      <c r="Q195" s="17"/>
      <c r="T195" s="34"/>
    </row>
    <row r="196" spans="1:21" ht="10.5" customHeight="1" x14ac:dyDescent="0.35">
      <c r="A196" s="283"/>
      <c r="B196" s="277" t="s">
        <v>23</v>
      </c>
      <c r="C196" s="24" t="s">
        <v>17</v>
      </c>
      <c r="D196" s="46" t="s">
        <v>16</v>
      </c>
      <c r="E196" s="24" t="s">
        <v>18</v>
      </c>
      <c r="F196" s="89" t="s">
        <v>21</v>
      </c>
      <c r="G196" s="24" t="s">
        <v>19</v>
      </c>
      <c r="H196" s="15"/>
      <c r="L196" s="24" t="s">
        <v>17</v>
      </c>
      <c r="M196" s="249" t="s">
        <v>111</v>
      </c>
      <c r="N196" s="101" t="s">
        <v>21</v>
      </c>
      <c r="O196" s="101" t="s">
        <v>19</v>
      </c>
      <c r="P196" s="15"/>
    </row>
    <row r="197" spans="1:21" ht="10.5" customHeight="1" x14ac:dyDescent="0.35">
      <c r="A197" s="283"/>
      <c r="B197" s="278"/>
      <c r="C197" s="5" t="s">
        <v>27</v>
      </c>
      <c r="D197" s="246">
        <f>$D$172</f>
        <v>1.5</v>
      </c>
      <c r="E197" s="49">
        <v>19.079999999999998</v>
      </c>
      <c r="F197" s="50">
        <f>E197/$C$10/$C$21</f>
        <v>18.518374731153571</v>
      </c>
      <c r="G197" s="50">
        <f t="shared" ref="G197:G199" si="8">E197/$E$10*$E$8</f>
        <v>20.923096800242249</v>
      </c>
      <c r="H197" s="15"/>
      <c r="L197" s="5" t="s">
        <v>27</v>
      </c>
      <c r="M197" s="29">
        <v>0</v>
      </c>
      <c r="N197" s="50">
        <f>M197/$C$10/$C$21</f>
        <v>0</v>
      </c>
      <c r="O197" s="50">
        <f t="shared" ref="O197:O199" si="9">M197/$E$10*$E$8</f>
        <v>0</v>
      </c>
      <c r="P197" s="15"/>
    </row>
    <row r="198" spans="1:21" ht="10.5" customHeight="1" x14ac:dyDescent="0.35">
      <c r="A198" s="283"/>
      <c r="B198" s="278"/>
      <c r="C198" s="5" t="s">
        <v>14</v>
      </c>
      <c r="D198" s="246">
        <f>$D$173</f>
        <v>2</v>
      </c>
      <c r="E198" s="49">
        <v>86.4</v>
      </c>
      <c r="F198" s="50">
        <f>E198/$C$10/$C$21</f>
        <v>83.856791235412402</v>
      </c>
      <c r="G198" s="50">
        <f t="shared" si="8"/>
        <v>94.74609871807813</v>
      </c>
      <c r="H198" s="15"/>
      <c r="L198" s="5" t="s">
        <v>14</v>
      </c>
      <c r="M198" s="29">
        <v>77</v>
      </c>
      <c r="N198" s="50">
        <f>M198/$C$10/$C$21</f>
        <v>74.733482929707819</v>
      </c>
      <c r="O198" s="50">
        <f t="shared" si="9"/>
        <v>84.438074089027964</v>
      </c>
      <c r="P198" s="15"/>
    </row>
    <row r="199" spans="1:21" ht="10.5" customHeight="1" x14ac:dyDescent="0.35">
      <c r="A199" s="283"/>
      <c r="B199" s="278"/>
      <c r="C199" s="5" t="s">
        <v>72</v>
      </c>
      <c r="D199" s="246">
        <f>$D$174</f>
        <v>1</v>
      </c>
      <c r="E199" s="48">
        <v>64.61</v>
      </c>
      <c r="F199" s="50">
        <f>E199/$C$10/$C$21</f>
        <v>62.708186131018465</v>
      </c>
      <c r="G199" s="50">
        <f t="shared" si="8"/>
        <v>70.851220349247996</v>
      </c>
      <c r="H199" s="15"/>
      <c r="L199" s="5" t="s">
        <v>72</v>
      </c>
      <c r="M199" s="50">
        <v>64.61</v>
      </c>
      <c r="N199" s="50">
        <f>M199/$C$10/$C$21</f>
        <v>62.708186131018465</v>
      </c>
      <c r="O199" s="50">
        <f t="shared" si="9"/>
        <v>70.851220349247996</v>
      </c>
      <c r="P199" s="15"/>
      <c r="S199" s="76"/>
      <c r="U199" s="7"/>
    </row>
    <row r="200" spans="1:21" ht="10.5" customHeight="1" x14ac:dyDescent="0.35">
      <c r="A200" s="283"/>
      <c r="B200" s="278"/>
      <c r="C200" s="4" t="s">
        <v>53</v>
      </c>
      <c r="D200" s="213"/>
      <c r="E200" s="259">
        <f>SUMPRODUCT(E197:E199,D197:D199)</f>
        <v>266.03000000000003</v>
      </c>
      <c r="F200" s="259">
        <f>SUMPRODUCT(F197:F199,D197:D199)</f>
        <v>258.19933069857359</v>
      </c>
      <c r="G200" s="260">
        <f>SUMPRODUCT(G197:G199,D197:D199)</f>
        <v>291.72806298576762</v>
      </c>
      <c r="H200" s="58"/>
      <c r="I200" s="19"/>
      <c r="J200" s="19"/>
      <c r="L200" s="4" t="s">
        <v>53</v>
      </c>
      <c r="M200" s="132">
        <f>SUMPRODUCT(M197:M199,D197:D199)</f>
        <v>218.61</v>
      </c>
      <c r="N200" s="132">
        <f>SUMPRODUCT(N197:N199,D197:D199)</f>
        <v>212.1751519904341</v>
      </c>
      <c r="O200" s="134">
        <f>SUMPRODUCT(O197:O199,D197:D199)</f>
        <v>239.72736852730392</v>
      </c>
      <c r="P200" s="58"/>
      <c r="Q200" s="19"/>
      <c r="R200" s="19"/>
      <c r="S200" s="76"/>
      <c r="U200" s="7"/>
    </row>
    <row r="201" spans="1:21" ht="10.5" customHeight="1" x14ac:dyDescent="0.35">
      <c r="A201" s="283"/>
      <c r="B201" s="278"/>
      <c r="C201" s="4" t="s">
        <v>97</v>
      </c>
      <c r="D201" s="213"/>
      <c r="E201" s="165"/>
      <c r="F201" s="214"/>
      <c r="G201" s="236">
        <f>G200/$D$14</f>
        <v>13.891812523131792</v>
      </c>
      <c r="H201" s="139"/>
      <c r="I201" s="215"/>
      <c r="J201" s="215"/>
      <c r="L201" s="4" t="s">
        <v>97</v>
      </c>
      <c r="M201" s="165"/>
      <c r="N201" s="214"/>
      <c r="O201" s="236">
        <f>O200/$D$14</f>
        <v>11.415588977490662</v>
      </c>
      <c r="P201" s="139"/>
      <c r="Q201" s="215"/>
      <c r="R201" s="215"/>
      <c r="S201" s="76"/>
      <c r="U201" s="7"/>
    </row>
    <row r="202" spans="1:21" ht="10.5" customHeight="1" x14ac:dyDescent="0.35">
      <c r="A202" s="283"/>
      <c r="B202" s="278"/>
      <c r="C202" s="2" t="s">
        <v>87</v>
      </c>
      <c r="D202" s="213"/>
      <c r="E202" s="165"/>
      <c r="F202" s="214"/>
      <c r="G202" s="230">
        <f>G200*$D$16</f>
        <v>11.669122519430704</v>
      </c>
      <c r="H202" s="139"/>
      <c r="I202" s="215"/>
      <c r="J202" s="215"/>
      <c r="L202" s="2" t="s">
        <v>87</v>
      </c>
      <c r="M202" s="165"/>
      <c r="N202" s="214"/>
      <c r="O202" s="230">
        <f>O200*$D$16</f>
        <v>9.5890947410921576</v>
      </c>
      <c r="P202" s="139"/>
      <c r="Q202" s="215"/>
      <c r="R202" s="215"/>
      <c r="S202" s="76"/>
      <c r="T202" s="58"/>
      <c r="U202" s="7"/>
    </row>
    <row r="203" spans="1:21" ht="10.5" customHeight="1" x14ac:dyDescent="0.35">
      <c r="A203" s="283"/>
      <c r="B203" s="278"/>
      <c r="C203" s="2" t="s">
        <v>88</v>
      </c>
      <c r="D203" s="213"/>
      <c r="E203" s="165"/>
      <c r="F203" s="214"/>
      <c r="G203" s="29">
        <f>E200*$F$9</f>
        <v>9.5770800000000094</v>
      </c>
      <c r="H203" s="139"/>
      <c r="I203" s="215"/>
      <c r="J203" s="215"/>
      <c r="L203" s="2" t="s">
        <v>88</v>
      </c>
      <c r="M203" s="165"/>
      <c r="N203" s="214"/>
      <c r="O203" s="29">
        <f>M200*$F$9</f>
        <v>7.8699600000000078</v>
      </c>
      <c r="P203" s="139"/>
      <c r="Q203" s="215"/>
      <c r="R203" s="215"/>
      <c r="S203" s="76"/>
      <c r="T203" s="68" t="s">
        <v>37</v>
      </c>
      <c r="U203" s="7"/>
    </row>
    <row r="204" spans="1:21" ht="10.5" customHeight="1" x14ac:dyDescent="0.35">
      <c r="A204" s="283"/>
      <c r="B204" s="278"/>
      <c r="C204" s="2" t="s">
        <v>90</v>
      </c>
      <c r="D204" s="213"/>
      <c r="E204" s="165"/>
      <c r="F204" s="214"/>
      <c r="G204" s="220">
        <f>SUM(G202+G203)/G200</f>
        <v>7.2828792341678966E-2</v>
      </c>
      <c r="H204" s="139"/>
      <c r="I204" s="215"/>
      <c r="J204" s="215"/>
      <c r="L204" s="2" t="s">
        <v>90</v>
      </c>
      <c r="M204" s="165"/>
      <c r="N204" s="214"/>
      <c r="O204" s="220">
        <f>SUM(O202+O203)/O200</f>
        <v>7.282879234167898E-2</v>
      </c>
      <c r="P204" s="139"/>
      <c r="Q204" s="215"/>
      <c r="R204" s="215"/>
      <c r="S204" s="76"/>
      <c r="T204" s="69" t="s">
        <v>84</v>
      </c>
      <c r="U204" s="7"/>
    </row>
    <row r="205" spans="1:21" ht="10.5" customHeight="1" x14ac:dyDescent="0.35">
      <c r="A205" s="283"/>
      <c r="B205" s="278"/>
      <c r="C205" s="2" t="s">
        <v>99</v>
      </c>
      <c r="D205" s="213"/>
      <c r="F205" s="28"/>
      <c r="G205" s="236">
        <f>G200/$D$17</f>
        <v>12.948769293197222</v>
      </c>
      <c r="H205" s="57"/>
      <c r="I205" s="18"/>
      <c r="J205" s="127">
        <f>G205/G176-1</f>
        <v>-0.14146805275948393</v>
      </c>
      <c r="L205" s="2" t="s">
        <v>99</v>
      </c>
      <c r="N205" s="28"/>
      <c r="O205" s="236">
        <f>O200/$D$17</f>
        <v>10.640643743885445</v>
      </c>
      <c r="P205" s="57"/>
      <c r="Q205" s="18"/>
      <c r="R205" s="127">
        <f>O205/O176-1</f>
        <v>-0.14146805275948371</v>
      </c>
      <c r="S205" s="76"/>
      <c r="T205" s="70">
        <f>O205/G205-1</f>
        <v>-0.17825057324361904</v>
      </c>
      <c r="U205" s="7"/>
    </row>
    <row r="206" spans="1:21" ht="10.5" customHeight="1" x14ac:dyDescent="0.35">
      <c r="B206" s="271"/>
      <c r="G206" s="34"/>
      <c r="N206" s="39"/>
      <c r="O206" s="210">
        <f>O205/G176-1</f>
        <v>-0.29450186450306648</v>
      </c>
      <c r="P206" s="16"/>
      <c r="T206" s="34"/>
    </row>
    <row r="207" spans="1:21" ht="10.5" customHeight="1" x14ac:dyDescent="0.35">
      <c r="B207" s="266"/>
      <c r="F207" s="57"/>
      <c r="O207" s="107"/>
    </row>
    <row r="208" spans="1:21" ht="10.5" customHeight="1" x14ac:dyDescent="0.35">
      <c r="B208" s="266"/>
      <c r="E208" s="244" t="s">
        <v>103</v>
      </c>
      <c r="F208" s="57"/>
      <c r="G208" s="39"/>
      <c r="H208" s="15"/>
      <c r="M208" s="244" t="s">
        <v>104</v>
      </c>
      <c r="O208" s="117"/>
    </row>
    <row r="209" spans="1:21" ht="10.5" customHeight="1" x14ac:dyDescent="0.35">
      <c r="B209" s="266"/>
      <c r="E209" s="30">
        <f>$C$4</f>
        <v>46296</v>
      </c>
      <c r="F209" s="89" t="s">
        <v>20</v>
      </c>
      <c r="G209" s="30">
        <f>$C$5</f>
        <v>46512</v>
      </c>
      <c r="H209" s="15"/>
      <c r="M209" s="30">
        <f>$C$4</f>
        <v>46296</v>
      </c>
      <c r="N209" s="24" t="s">
        <v>20</v>
      </c>
      <c r="O209" s="30">
        <f>$C$5</f>
        <v>46512</v>
      </c>
      <c r="P209" s="15"/>
    </row>
    <row r="210" spans="1:21" ht="10.5" customHeight="1" x14ac:dyDescent="0.35">
      <c r="A210" s="280" t="s">
        <v>112</v>
      </c>
      <c r="B210" s="276" t="s">
        <v>22</v>
      </c>
      <c r="C210" s="24" t="s">
        <v>17</v>
      </c>
      <c r="D210" s="248" t="s">
        <v>107</v>
      </c>
      <c r="E210" s="24" t="s">
        <v>18</v>
      </c>
      <c r="F210" s="93">
        <v>0.04</v>
      </c>
      <c r="G210" s="24" t="s">
        <v>19</v>
      </c>
      <c r="H210" s="15"/>
      <c r="L210" s="24" t="s">
        <v>17</v>
      </c>
      <c r="M210" s="249" t="s">
        <v>111</v>
      </c>
      <c r="N210" s="25">
        <v>0.04</v>
      </c>
      <c r="O210" s="24" t="s">
        <v>19</v>
      </c>
      <c r="P210" s="15"/>
    </row>
    <row r="211" spans="1:21" ht="10.5" customHeight="1" x14ac:dyDescent="0.35">
      <c r="A211" s="281"/>
      <c r="B211" s="276"/>
      <c r="C211" s="5" t="s">
        <v>73</v>
      </c>
      <c r="D211" s="82">
        <v>20</v>
      </c>
      <c r="E211" s="166">
        <f>833.4*$C$11</f>
        <v>4750.38</v>
      </c>
      <c r="F211" s="26">
        <f>E211/$C$10/$C$21</f>
        <v>4610.5512031120179</v>
      </c>
      <c r="G211" s="31">
        <f t="shared" ref="G211:G213" si="10">E211/$C$10*$C$8</f>
        <v>5433.6636883012006</v>
      </c>
      <c r="H211" s="15"/>
      <c r="L211" s="5" t="s">
        <v>73</v>
      </c>
      <c r="M211" s="163">
        <f>833.4*$C$11</f>
        <v>4750.38</v>
      </c>
      <c r="N211" s="94">
        <f>M211/$C$10/$C$21</f>
        <v>4610.5512031120179</v>
      </c>
      <c r="O211" s="31">
        <f t="shared" ref="O211:O213" si="11">M211/$C$10*$C$8</f>
        <v>5433.6636883012006</v>
      </c>
      <c r="P211" s="15"/>
    </row>
    <row r="212" spans="1:21" ht="10.5" customHeight="1" x14ac:dyDescent="0.35">
      <c r="A212" s="281"/>
      <c r="B212" s="276"/>
      <c r="C212" s="5" t="s">
        <v>74</v>
      </c>
      <c r="D212" s="82">
        <v>36</v>
      </c>
      <c r="E212" s="166">
        <f>28.43*$C$11</f>
        <v>162.05100000000002</v>
      </c>
      <c r="F212" s="26">
        <f>E212/$C$10/$C$21</f>
        <v>157.28098236678031</v>
      </c>
      <c r="G212" s="31">
        <f t="shared" si="10"/>
        <v>185.36004158675686</v>
      </c>
      <c r="H212" s="15"/>
      <c r="L212" s="5" t="s">
        <v>74</v>
      </c>
      <c r="M212" s="163">
        <v>0</v>
      </c>
      <c r="N212" s="94">
        <f>M212/$C$10/$C$21</f>
        <v>0</v>
      </c>
      <c r="O212" s="31">
        <f t="shared" si="11"/>
        <v>0</v>
      </c>
      <c r="P212" s="15"/>
      <c r="T212" s="58"/>
    </row>
    <row r="213" spans="1:21" ht="10.5" customHeight="1" x14ac:dyDescent="0.35">
      <c r="A213" s="281"/>
      <c r="B213" s="276"/>
      <c r="C213" s="5" t="s">
        <v>75</v>
      </c>
      <c r="D213" s="82">
        <v>12</v>
      </c>
      <c r="E213" s="166">
        <f>22.07*$C$11</f>
        <v>125.79900000000001</v>
      </c>
      <c r="F213" s="26">
        <f>E213/$C$10/$C$21</f>
        <v>122.09607037758849</v>
      </c>
      <c r="G213" s="31">
        <f t="shared" si="10"/>
        <v>143.89363762995862</v>
      </c>
      <c r="H213" s="15"/>
      <c r="L213" s="5" t="s">
        <v>75</v>
      </c>
      <c r="M213" s="163">
        <v>0</v>
      </c>
      <c r="N213" s="94">
        <f>M213/$C$10/$C$21</f>
        <v>0</v>
      </c>
      <c r="O213" s="31">
        <f t="shared" si="11"/>
        <v>0</v>
      </c>
      <c r="P213" s="15"/>
      <c r="S213" s="76"/>
      <c r="T213" s="68" t="s">
        <v>37</v>
      </c>
      <c r="U213" s="7"/>
    </row>
    <row r="214" spans="1:21" ht="10.5" customHeight="1" x14ac:dyDescent="0.35">
      <c r="A214" s="281"/>
      <c r="B214" s="276"/>
      <c r="C214" s="4" t="s">
        <v>94</v>
      </c>
      <c r="D214" s="34"/>
      <c r="E214" s="166">
        <f>SUMPRODUCT(E211:E213,D211:D213)</f>
        <v>102351.024</v>
      </c>
      <c r="F214" s="166">
        <f>SUMPRODUCT(F211:F213,D211:D213)</f>
        <v>99338.292271975515</v>
      </c>
      <c r="G214" s="171">
        <f>SUMPRODUCT(G211:G213,D211:D213)</f>
        <v>117072.95891470676</v>
      </c>
      <c r="H214" s="15"/>
      <c r="L214" s="4" t="s">
        <v>94</v>
      </c>
      <c r="M214" s="171">
        <f>SUMPRODUCT(M211:M213,D211:D213)</f>
        <v>95007.6</v>
      </c>
      <c r="N214" s="171">
        <f>SUMPRODUCT(N211:N213,D211:D213)</f>
        <v>92211.024062240351</v>
      </c>
      <c r="O214" s="171">
        <f>SUMPRODUCT(O211:O213,D211:D213)</f>
        <v>108673.27376602401</v>
      </c>
      <c r="P214" s="15"/>
      <c r="S214" s="76"/>
      <c r="T214" s="69" t="s">
        <v>83</v>
      </c>
      <c r="U214" s="7"/>
    </row>
    <row r="215" spans="1:21" ht="10.5" customHeight="1" x14ac:dyDescent="0.35">
      <c r="A215" s="281"/>
      <c r="B215" s="276"/>
      <c r="C215" s="4" t="s">
        <v>93</v>
      </c>
      <c r="F215" s="95"/>
      <c r="G215" s="203">
        <f>G214/$C$13</f>
        <v>1018.0257296931022</v>
      </c>
      <c r="H215" s="16"/>
      <c r="L215" s="4" t="s">
        <v>93</v>
      </c>
      <c r="M215" s="4"/>
      <c r="N215" s="39"/>
      <c r="O215" s="86">
        <f>O214/$C$13</f>
        <v>944.98498926977402</v>
      </c>
      <c r="P215" s="16"/>
      <c r="S215" s="76"/>
      <c r="T215" s="70">
        <f>O215/G215-1</f>
        <v>-7.1747440455505296E-2</v>
      </c>
      <c r="U215" s="7"/>
    </row>
    <row r="216" spans="1:21" ht="10.5" customHeight="1" x14ac:dyDescent="0.35">
      <c r="A216" s="281"/>
      <c r="B216" s="266"/>
      <c r="F216" s="57"/>
      <c r="G216" s="41"/>
      <c r="H216" s="15"/>
      <c r="O216" s="34"/>
      <c r="P216" s="15"/>
      <c r="T216" s="34"/>
    </row>
    <row r="217" spans="1:21" ht="10.5" customHeight="1" x14ac:dyDescent="0.35">
      <c r="A217" s="281"/>
      <c r="B217" s="277" t="s">
        <v>12</v>
      </c>
      <c r="C217" s="24" t="s">
        <v>17</v>
      </c>
      <c r="D217" s="46" t="s">
        <v>16</v>
      </c>
      <c r="E217" s="24" t="s">
        <v>18</v>
      </c>
      <c r="F217" s="89" t="s">
        <v>21</v>
      </c>
      <c r="G217" s="24" t="s">
        <v>19</v>
      </c>
      <c r="H217" s="15"/>
      <c r="L217" s="24" t="s">
        <v>17</v>
      </c>
      <c r="M217" s="249" t="s">
        <v>111</v>
      </c>
      <c r="N217" s="101" t="s">
        <v>21</v>
      </c>
      <c r="O217" s="101" t="s">
        <v>19</v>
      </c>
      <c r="P217" s="15"/>
    </row>
    <row r="218" spans="1:21" ht="10.5" customHeight="1" x14ac:dyDescent="0.35">
      <c r="A218" s="281"/>
      <c r="B218" s="278"/>
      <c r="C218" s="5" t="s">
        <v>73</v>
      </c>
      <c r="D218" s="173">
        <f>$D$211</f>
        <v>20</v>
      </c>
      <c r="E218" s="166">
        <f>833.4*$C$11</f>
        <v>4750.38</v>
      </c>
      <c r="F218" s="26">
        <f>E218/$C$10/$C$21</f>
        <v>4610.5512031120179</v>
      </c>
      <c r="G218" s="31">
        <f t="shared" ref="G218:G220" si="12">E218/$C$10*$C$8</f>
        <v>5433.6636883012006</v>
      </c>
      <c r="H218" s="15"/>
      <c r="L218" s="5" t="s">
        <v>73</v>
      </c>
      <c r="M218" s="163">
        <f>833.4*$C$11</f>
        <v>4750.38</v>
      </c>
      <c r="N218" s="26">
        <f>M218/$C$10/$C$21</f>
        <v>4610.5512031120179</v>
      </c>
      <c r="O218" s="31">
        <f t="shared" ref="O218:O220" si="13">M218/$C$10*$C$8</f>
        <v>5433.6636883012006</v>
      </c>
      <c r="P218" s="15"/>
    </row>
    <row r="219" spans="1:21" ht="10.5" customHeight="1" x14ac:dyDescent="0.35">
      <c r="A219" s="281"/>
      <c r="B219" s="278"/>
      <c r="C219" s="5" t="s">
        <v>74</v>
      </c>
      <c r="D219" s="173">
        <f>$D$212</f>
        <v>36</v>
      </c>
      <c r="E219" s="166">
        <f>28.43*$C$11</f>
        <v>162.05100000000002</v>
      </c>
      <c r="F219" s="26">
        <f>E219/$C$10/$C$21</f>
        <v>157.28098236678031</v>
      </c>
      <c r="G219" s="31">
        <f t="shared" si="12"/>
        <v>185.36004158675686</v>
      </c>
      <c r="H219" s="15"/>
      <c r="L219" s="5" t="s">
        <v>74</v>
      </c>
      <c r="M219" s="163">
        <v>0</v>
      </c>
      <c r="N219" s="26">
        <f>M219/$C$10/$C$21</f>
        <v>0</v>
      </c>
      <c r="O219" s="31">
        <f t="shared" si="13"/>
        <v>0</v>
      </c>
      <c r="P219" s="15"/>
    </row>
    <row r="220" spans="1:21" ht="10.5" customHeight="1" x14ac:dyDescent="0.35">
      <c r="A220" s="281"/>
      <c r="B220" s="278"/>
      <c r="C220" s="5" t="s">
        <v>75</v>
      </c>
      <c r="D220" s="173">
        <f>$D$213</f>
        <v>12</v>
      </c>
      <c r="E220" s="166">
        <f>22.07*$C$11</f>
        <v>125.79900000000001</v>
      </c>
      <c r="F220" s="26">
        <f>E220/$C$10/$C$21</f>
        <v>122.09607037758849</v>
      </c>
      <c r="G220" s="31">
        <f t="shared" si="12"/>
        <v>143.89363762995862</v>
      </c>
      <c r="H220" s="15"/>
      <c r="L220" s="5" t="s">
        <v>75</v>
      </c>
      <c r="M220" s="163">
        <v>0</v>
      </c>
      <c r="N220" s="26">
        <f>M220/$C$10/$C$21</f>
        <v>0</v>
      </c>
      <c r="O220" s="31">
        <f t="shared" si="13"/>
        <v>0</v>
      </c>
      <c r="P220" s="15"/>
      <c r="S220" s="76"/>
      <c r="U220" s="7"/>
    </row>
    <row r="221" spans="1:21" ht="10.5" customHeight="1" x14ac:dyDescent="0.35">
      <c r="A221" s="281"/>
      <c r="B221" s="278"/>
      <c r="C221" s="4" t="s">
        <v>52</v>
      </c>
      <c r="D221" s="213"/>
      <c r="E221" s="166">
        <f>SUMPRODUCT(E218:E220,$D$218:$D$220)</f>
        <v>102351.024</v>
      </c>
      <c r="F221" s="166">
        <f>SUMPRODUCT(F218:F220,$D$218:$D$220)</f>
        <v>99338.292271975515</v>
      </c>
      <c r="G221" s="165">
        <f>SUMPRODUCT(G218:G220,$D$218:$D$220)</f>
        <v>117072.95891470676</v>
      </c>
      <c r="H221" s="19"/>
      <c r="L221" s="4" t="s">
        <v>52</v>
      </c>
      <c r="M221" s="166">
        <f>SUMPRODUCT(M218:M220,$D$218:$D$220)</f>
        <v>95007.6</v>
      </c>
      <c r="N221" s="166">
        <f>SUMPRODUCT(N218:N220,$D$218:$D$220)</f>
        <v>92211.024062240351</v>
      </c>
      <c r="O221" s="165">
        <f>SUMPRODUCT(O218:O220,$D$218:$D$220)</f>
        <v>108673.27376602401</v>
      </c>
      <c r="P221" s="19"/>
      <c r="S221" s="76"/>
      <c r="U221" s="7"/>
    </row>
    <row r="222" spans="1:21" ht="10.5" customHeight="1" x14ac:dyDescent="0.35">
      <c r="A222" s="281"/>
      <c r="B222" s="278"/>
      <c r="C222" s="4" t="s">
        <v>97</v>
      </c>
      <c r="E222" s="165"/>
      <c r="F222" s="214"/>
      <c r="G222" s="236">
        <f>G221/$C$13</f>
        <v>1018.0257296931022</v>
      </c>
      <c r="H222" s="57"/>
      <c r="L222" s="4" t="s">
        <v>97</v>
      </c>
      <c r="M222" s="165"/>
      <c r="N222" s="214"/>
      <c r="O222" s="236">
        <f>O221/$C$13</f>
        <v>944.98498926977402</v>
      </c>
      <c r="P222" s="57"/>
      <c r="S222" s="76"/>
      <c r="U222" s="7"/>
    </row>
    <row r="223" spans="1:21" ht="10.5" customHeight="1" x14ac:dyDescent="0.35">
      <c r="A223" s="281"/>
      <c r="B223" s="278"/>
      <c r="C223" s="2" t="s">
        <v>87</v>
      </c>
      <c r="E223" s="165"/>
      <c r="F223" s="214"/>
      <c r="G223" s="221">
        <f>G221*$C$16</f>
        <v>4682.9183565882704</v>
      </c>
      <c r="L223" s="2" t="s">
        <v>87</v>
      </c>
      <c r="M223" s="165"/>
      <c r="N223" s="214"/>
      <c r="O223" s="221">
        <f>O221*$C$16</f>
        <v>4346.9309506409609</v>
      </c>
      <c r="S223" s="76"/>
      <c r="T223" s="58"/>
      <c r="U223" s="7"/>
    </row>
    <row r="224" spans="1:21" ht="10.5" customHeight="1" x14ac:dyDescent="0.35">
      <c r="A224" s="281"/>
      <c r="B224" s="278"/>
      <c r="C224" s="2" t="s">
        <v>88</v>
      </c>
      <c r="E224" s="165"/>
      <c r="F224" s="214"/>
      <c r="G224" s="163">
        <f>E221*$D$9</f>
        <v>2947.7094911999939</v>
      </c>
      <c r="L224" s="2" t="s">
        <v>88</v>
      </c>
      <c r="M224" s="165"/>
      <c r="N224" s="214"/>
      <c r="O224" s="163">
        <f>M221*$D$9</f>
        <v>2736.218879999994</v>
      </c>
      <c r="S224" s="76"/>
      <c r="T224" s="68" t="s">
        <v>37</v>
      </c>
      <c r="U224" s="7"/>
    </row>
    <row r="225" spans="1:21" ht="10.5" customHeight="1" x14ac:dyDescent="0.35">
      <c r="A225" s="281"/>
      <c r="B225" s="278"/>
      <c r="C225" s="2" t="s">
        <v>90</v>
      </c>
      <c r="E225" s="165"/>
      <c r="F225" s="214"/>
      <c r="G225" s="220">
        <f>SUM(G223+G224)/G221</f>
        <v>6.5178397458524481E-2</v>
      </c>
      <c r="L225" s="2" t="s">
        <v>90</v>
      </c>
      <c r="M225" s="165"/>
      <c r="N225" s="214"/>
      <c r="O225" s="220">
        <f>SUM(O223+O224)/O221</f>
        <v>6.5178397458524481E-2</v>
      </c>
      <c r="S225" s="76"/>
      <c r="T225" s="69" t="s">
        <v>115</v>
      </c>
      <c r="U225" s="7"/>
    </row>
    <row r="226" spans="1:21" ht="10.5" customHeight="1" x14ac:dyDescent="0.35">
      <c r="A226" s="281"/>
      <c r="B226" s="278"/>
      <c r="C226" s="2" t="s">
        <v>98</v>
      </c>
      <c r="F226" s="28"/>
      <c r="G226" s="236">
        <f>G221/$C$17</f>
        <v>955.73260978825078</v>
      </c>
      <c r="H226" s="219">
        <f>G226/G215-1</f>
        <v>-6.1190123282670372E-2</v>
      </c>
      <c r="L226" s="2" t="s">
        <v>98</v>
      </c>
      <c r="N226" s="28"/>
      <c r="O226" s="236">
        <f>O221/$C$17</f>
        <v>887.1612412760835</v>
      </c>
      <c r="P226" s="219">
        <f>O226/O215-1</f>
        <v>-6.1190123282670483E-2</v>
      </c>
      <c r="S226" s="76"/>
      <c r="T226" s="70">
        <f>O226/G226-1</f>
        <v>-7.1747440455505407E-2</v>
      </c>
      <c r="U226" s="7"/>
    </row>
    <row r="227" spans="1:21" ht="10.5" customHeight="1" x14ac:dyDescent="0.35">
      <c r="A227" s="281"/>
      <c r="B227" s="266"/>
      <c r="F227" s="57"/>
      <c r="G227" s="41"/>
      <c r="H227" s="17"/>
      <c r="L227" s="19"/>
      <c r="O227" s="107"/>
      <c r="P227" s="116"/>
      <c r="T227" s="34"/>
    </row>
    <row r="228" spans="1:21" ht="10.5" customHeight="1" x14ac:dyDescent="0.35">
      <c r="A228" s="281"/>
      <c r="B228" s="279" t="s">
        <v>92</v>
      </c>
      <c r="C228" s="24" t="s">
        <v>17</v>
      </c>
      <c r="D228" s="46" t="s">
        <v>16</v>
      </c>
      <c r="E228" s="24" t="s">
        <v>18</v>
      </c>
      <c r="F228" s="89" t="s">
        <v>21</v>
      </c>
      <c r="G228" s="24" t="s">
        <v>19</v>
      </c>
      <c r="H228" s="15"/>
      <c r="L228" s="24" t="s">
        <v>17</v>
      </c>
      <c r="M228" s="249" t="s">
        <v>111</v>
      </c>
      <c r="N228" s="101" t="s">
        <v>21</v>
      </c>
      <c r="O228" s="101" t="s">
        <v>19</v>
      </c>
      <c r="P228" s="15"/>
    </row>
    <row r="229" spans="1:21" ht="10.5" customHeight="1" x14ac:dyDescent="0.35">
      <c r="A229" s="281"/>
      <c r="B229" s="279"/>
      <c r="C229" s="5" t="s">
        <v>73</v>
      </c>
      <c r="D229" s="173">
        <f>$D$211</f>
        <v>20</v>
      </c>
      <c r="E229" s="49">
        <f>833.4</f>
        <v>833.4</v>
      </c>
      <c r="F229" s="50">
        <f>E229/$C$10/$C$21</f>
        <v>808.86863212491551</v>
      </c>
      <c r="G229" s="50">
        <f>E229/$E$10*$E$8</f>
        <v>913.90507721812855</v>
      </c>
      <c r="H229" s="15"/>
      <c r="L229" s="5" t="s">
        <v>73</v>
      </c>
      <c r="M229" s="29">
        <f>833.4</f>
        <v>833.4</v>
      </c>
      <c r="N229" s="48">
        <f>M229/$C$10/$C$21</f>
        <v>808.86863212491551</v>
      </c>
      <c r="O229" s="50">
        <f>M229/$E$10*$E$8</f>
        <v>913.90507721812855</v>
      </c>
      <c r="P229" s="15"/>
    </row>
    <row r="230" spans="1:21" ht="10.5" customHeight="1" x14ac:dyDescent="0.35">
      <c r="A230" s="281"/>
      <c r="B230" s="279"/>
      <c r="C230" s="5" t="s">
        <v>74</v>
      </c>
      <c r="D230" s="173">
        <f>$D$212</f>
        <v>36</v>
      </c>
      <c r="E230" s="49">
        <f>28.43</f>
        <v>28.43</v>
      </c>
      <c r="F230" s="50">
        <f>E230/$C$10/$C$21</f>
        <v>27.593154801189524</v>
      </c>
      <c r="G230" s="50">
        <f>E230/$E$10*$E$8</f>
        <v>31.176291511052792</v>
      </c>
      <c r="H230" s="15"/>
      <c r="L230" s="5" t="s">
        <v>74</v>
      </c>
      <c r="M230" s="29">
        <v>0</v>
      </c>
      <c r="N230" s="48">
        <f>M230/$C$10/$C$21</f>
        <v>0</v>
      </c>
      <c r="O230" s="50">
        <f>M230/$E$10*$E$8</f>
        <v>0</v>
      </c>
      <c r="P230" s="15"/>
      <c r="T230" s="58"/>
    </row>
    <row r="231" spans="1:21" ht="10.5" customHeight="1" x14ac:dyDescent="0.35">
      <c r="A231" s="281"/>
      <c r="B231" s="279"/>
      <c r="C231" s="5" t="s">
        <v>75</v>
      </c>
      <c r="D231" s="173">
        <f>$D$213</f>
        <v>12</v>
      </c>
      <c r="E231" s="49">
        <f>22.07</f>
        <v>22.07</v>
      </c>
      <c r="F231" s="50">
        <f>E231/$C$10/$C$21</f>
        <v>21.420363224138335</v>
      </c>
      <c r="G231" s="50">
        <f>E231/$E$10*$E$8</f>
        <v>24.201925910972044</v>
      </c>
      <c r="H231" s="15"/>
      <c r="L231" s="5" t="s">
        <v>75</v>
      </c>
      <c r="M231" s="29">
        <v>0</v>
      </c>
      <c r="N231" s="48">
        <f>M231/$C$10/$C$21</f>
        <v>0</v>
      </c>
      <c r="O231" s="50">
        <f>M231/$E$10*$E$8</f>
        <v>0</v>
      </c>
      <c r="P231" s="15"/>
      <c r="S231" s="76"/>
      <c r="T231" s="68" t="s">
        <v>37</v>
      </c>
      <c r="U231" s="7"/>
    </row>
    <row r="232" spans="1:21" ht="10.5" customHeight="1" x14ac:dyDescent="0.35">
      <c r="A232" s="281"/>
      <c r="B232" s="279"/>
      <c r="C232" s="4" t="s">
        <v>95</v>
      </c>
      <c r="D232" s="34"/>
      <c r="E232" s="135">
        <f>SUMPRODUCT(E229:E231,D229:D231)</f>
        <v>17956.32</v>
      </c>
      <c r="F232" s="135">
        <f>SUMPRODUCT(F229:F231,D229:D231)</f>
        <v>17427.770574030794</v>
      </c>
      <c r="G232" s="136">
        <f>SUMPRODUCT(G229:G231,D229:D231)</f>
        <v>19690.871149692139</v>
      </c>
      <c r="H232" s="15"/>
      <c r="I232" s="19"/>
      <c r="L232" s="4" t="s">
        <v>95</v>
      </c>
      <c r="M232" s="49">
        <f>SUMPRODUCT(M229:M231,D229:D231)</f>
        <v>16668</v>
      </c>
      <c r="N232" s="49">
        <f>SUMPRODUCT(N229:N231,D229:D231)</f>
        <v>16177.372642498311</v>
      </c>
      <c r="O232" s="54">
        <f>SUMPRODUCT(O229:O231,D229:D231)</f>
        <v>18278.101544362573</v>
      </c>
      <c r="P232" s="15"/>
      <c r="Q232" s="19"/>
      <c r="S232" s="76"/>
      <c r="T232" s="69" t="s">
        <v>82</v>
      </c>
      <c r="U232" s="7"/>
    </row>
    <row r="233" spans="1:21" ht="10.5" customHeight="1" x14ac:dyDescent="0.35">
      <c r="A233" s="281"/>
      <c r="B233" s="279"/>
      <c r="C233" s="2" t="s">
        <v>96</v>
      </c>
      <c r="F233" s="95"/>
      <c r="G233" s="86">
        <f>G232/$D$14</f>
        <v>937.66053093772086</v>
      </c>
      <c r="H233" s="61"/>
      <c r="I233" s="127">
        <f>G233/G215-1</f>
        <v>-7.894220785520667E-2</v>
      </c>
      <c r="J233" s="16"/>
      <c r="L233" s="2" t="s">
        <v>96</v>
      </c>
      <c r="M233" s="4"/>
      <c r="N233" s="95"/>
      <c r="O233" s="86">
        <f>O232/$D$14</f>
        <v>870.38578782678917</v>
      </c>
      <c r="P233" s="61"/>
      <c r="Q233" s="127">
        <f>O233/O215-1</f>
        <v>-7.8942207855206781E-2</v>
      </c>
      <c r="R233" s="16"/>
      <c r="S233" s="76"/>
      <c r="T233" s="70">
        <f>O233/G233-1</f>
        <v>-7.1747440455505407E-2</v>
      </c>
      <c r="U233" s="7"/>
    </row>
    <row r="234" spans="1:21" ht="10.5" customHeight="1" x14ac:dyDescent="0.35">
      <c r="A234" s="281"/>
      <c r="B234" s="266"/>
      <c r="F234" s="57"/>
      <c r="G234" s="41"/>
      <c r="H234" s="15"/>
      <c r="I234" s="17"/>
      <c r="O234" s="34"/>
      <c r="P234" s="15"/>
      <c r="Q234" s="17"/>
      <c r="T234" s="34"/>
    </row>
    <row r="235" spans="1:21" ht="10.5" customHeight="1" x14ac:dyDescent="0.35">
      <c r="A235" s="281"/>
      <c r="B235" s="277" t="s">
        <v>23</v>
      </c>
      <c r="C235" s="24" t="s">
        <v>17</v>
      </c>
      <c r="D235" s="46" t="s">
        <v>16</v>
      </c>
      <c r="E235" s="24" t="s">
        <v>18</v>
      </c>
      <c r="F235" s="89" t="s">
        <v>21</v>
      </c>
      <c r="G235" s="24" t="s">
        <v>19</v>
      </c>
      <c r="H235" s="15"/>
      <c r="L235" s="24" t="s">
        <v>17</v>
      </c>
      <c r="M235" s="249" t="s">
        <v>111</v>
      </c>
      <c r="N235" s="101" t="s">
        <v>21</v>
      </c>
      <c r="O235" s="101" t="s">
        <v>19</v>
      </c>
      <c r="P235" s="15"/>
    </row>
    <row r="236" spans="1:21" ht="10.5" customHeight="1" x14ac:dyDescent="0.35">
      <c r="A236" s="281"/>
      <c r="B236" s="278"/>
      <c r="C236" s="5" t="s">
        <v>73</v>
      </c>
      <c r="D236" s="173">
        <f>$D$211</f>
        <v>20</v>
      </c>
      <c r="E236" s="49">
        <f>833.4</f>
        <v>833.4</v>
      </c>
      <c r="F236" s="50">
        <f>E236/$C$10/$C$21</f>
        <v>808.86863212491551</v>
      </c>
      <c r="G236" s="50">
        <f t="shared" ref="G236:G238" si="14">E236/$E$10*$E$8</f>
        <v>913.90507721812855</v>
      </c>
      <c r="H236" s="15"/>
      <c r="L236" s="5" t="s">
        <v>73</v>
      </c>
      <c r="M236" s="29">
        <f>833.4</f>
        <v>833.4</v>
      </c>
      <c r="N236" s="50">
        <f>M236/$C$10/$C$21</f>
        <v>808.86863212491551</v>
      </c>
      <c r="O236" s="50">
        <f t="shared" ref="O236:O238" si="15">M236/$E$10*$E$8</f>
        <v>913.90507721812855</v>
      </c>
      <c r="P236" s="15"/>
    </row>
    <row r="237" spans="1:21" ht="10.5" customHeight="1" x14ac:dyDescent="0.35">
      <c r="A237" s="281"/>
      <c r="B237" s="278"/>
      <c r="C237" s="5" t="s">
        <v>74</v>
      </c>
      <c r="D237" s="173">
        <f>$D$212</f>
        <v>36</v>
      </c>
      <c r="E237" s="49">
        <f>28.43</f>
        <v>28.43</v>
      </c>
      <c r="F237" s="50">
        <f>E237/$C$10/$C$21</f>
        <v>27.593154801189524</v>
      </c>
      <c r="G237" s="50">
        <f t="shared" si="14"/>
        <v>31.176291511052792</v>
      </c>
      <c r="H237" s="15"/>
      <c r="L237" s="5" t="s">
        <v>74</v>
      </c>
      <c r="M237" s="29">
        <v>0</v>
      </c>
      <c r="N237" s="50">
        <f>M237/$C$10/$C$21</f>
        <v>0</v>
      </c>
      <c r="O237" s="50">
        <f t="shared" si="15"/>
        <v>0</v>
      </c>
      <c r="P237" s="15"/>
    </row>
    <row r="238" spans="1:21" ht="10.5" customHeight="1" x14ac:dyDescent="0.35">
      <c r="A238" s="281"/>
      <c r="B238" s="278"/>
      <c r="C238" s="5" t="s">
        <v>75</v>
      </c>
      <c r="D238" s="173">
        <f>$D$213</f>
        <v>12</v>
      </c>
      <c r="E238" s="49">
        <f>22.07</f>
        <v>22.07</v>
      </c>
      <c r="F238" s="50">
        <f>E238/$C$10/$C$21</f>
        <v>21.420363224138335</v>
      </c>
      <c r="G238" s="50">
        <f t="shared" si="14"/>
        <v>24.201925910972044</v>
      </c>
      <c r="H238" s="15"/>
      <c r="L238" s="5" t="s">
        <v>75</v>
      </c>
      <c r="M238" s="29">
        <v>0</v>
      </c>
      <c r="N238" s="50">
        <f>M238/$C$10/$C$21</f>
        <v>0</v>
      </c>
      <c r="O238" s="50">
        <f t="shared" si="15"/>
        <v>0</v>
      </c>
      <c r="P238" s="15"/>
      <c r="S238" s="76"/>
      <c r="U238" s="7"/>
    </row>
    <row r="239" spans="1:21" ht="10.5" customHeight="1" x14ac:dyDescent="0.35">
      <c r="A239" s="281"/>
      <c r="B239" s="278"/>
      <c r="C239" s="4" t="s">
        <v>53</v>
      </c>
      <c r="D239" s="213"/>
      <c r="E239" s="132">
        <f>SUMPRODUCT(E236:E238,$D$236:$D$238)</f>
        <v>17956.32</v>
      </c>
      <c r="F239" s="132">
        <f>SUMPRODUCT(F236:F238,$D$236:$D$238)</f>
        <v>17427.770574030794</v>
      </c>
      <c r="G239" s="133">
        <f>SUMPRODUCT(G236:G238,$D$236:$D$238)</f>
        <v>19690.871149692139</v>
      </c>
      <c r="H239" s="58"/>
      <c r="I239" s="19"/>
      <c r="J239" s="19"/>
      <c r="L239" s="118" t="s">
        <v>53</v>
      </c>
      <c r="M239" s="132">
        <f>SUMPRODUCT(M236:M238,D236:D238)</f>
        <v>16668</v>
      </c>
      <c r="N239" s="132">
        <f>SUMPRODUCT(N236:N238,D236:D238)</f>
        <v>16177.372642498311</v>
      </c>
      <c r="O239" s="133">
        <f>SUMPRODUCT(O236:O238,D236:D238)</f>
        <v>18278.101544362573</v>
      </c>
      <c r="P239" s="58"/>
      <c r="Q239" s="19"/>
      <c r="R239" s="19"/>
      <c r="S239" s="76"/>
      <c r="U239" s="7"/>
    </row>
    <row r="240" spans="1:21" ht="10.5" customHeight="1" x14ac:dyDescent="0.35">
      <c r="A240" s="281"/>
      <c r="B240" s="278"/>
      <c r="C240" s="4" t="s">
        <v>97</v>
      </c>
      <c r="D240" s="213"/>
      <c r="E240" s="165"/>
      <c r="F240" s="214"/>
      <c r="G240" s="236">
        <f>G239/$D$14</f>
        <v>937.66053093772086</v>
      </c>
      <c r="H240" s="139"/>
      <c r="I240" s="215"/>
      <c r="J240" s="215"/>
      <c r="L240" s="4" t="s">
        <v>97</v>
      </c>
      <c r="M240" s="165"/>
      <c r="N240" s="214"/>
      <c r="O240" s="236">
        <f>O239/$D$14</f>
        <v>870.38578782678917</v>
      </c>
      <c r="P240" s="139"/>
      <c r="Q240" s="215"/>
      <c r="R240" s="215"/>
      <c r="S240" s="76"/>
      <c r="U240" s="7"/>
    </row>
    <row r="241" spans="1:21" ht="10.5" customHeight="1" x14ac:dyDescent="0.35">
      <c r="A241" s="281"/>
      <c r="B241" s="278"/>
      <c r="C241" s="2" t="s">
        <v>87</v>
      </c>
      <c r="D241" s="213"/>
      <c r="E241" s="165"/>
      <c r="F241" s="214"/>
      <c r="G241" s="230">
        <f>G239*$D$16</f>
        <v>787.63484598768559</v>
      </c>
      <c r="H241" s="139"/>
      <c r="I241" s="215"/>
      <c r="J241" s="215"/>
      <c r="L241" s="2" t="s">
        <v>87</v>
      </c>
      <c r="M241" s="165"/>
      <c r="N241" s="214"/>
      <c r="O241" s="230">
        <f>O239*$D$16</f>
        <v>731.12406177450293</v>
      </c>
      <c r="P241" s="139"/>
      <c r="Q241" s="215"/>
      <c r="R241" s="215"/>
      <c r="S241" s="76"/>
      <c r="T241" s="58"/>
      <c r="U241" s="7"/>
    </row>
    <row r="242" spans="1:21" ht="10.5" customHeight="1" x14ac:dyDescent="0.35">
      <c r="A242" s="281"/>
      <c r="B242" s="278"/>
      <c r="C242" s="2" t="s">
        <v>88</v>
      </c>
      <c r="D242" s="213"/>
      <c r="E242" s="165"/>
      <c r="F242" s="214"/>
      <c r="G242" s="29">
        <f>E239*$F$9</f>
        <v>646.42752000000053</v>
      </c>
      <c r="H242" s="139"/>
      <c r="I242" s="215"/>
      <c r="J242" s="215"/>
      <c r="L242" s="2" t="s">
        <v>88</v>
      </c>
      <c r="M242" s="165"/>
      <c r="N242" s="214"/>
      <c r="O242" s="29">
        <f>M239*$F$9</f>
        <v>600.04800000000057</v>
      </c>
      <c r="P242" s="139"/>
      <c r="Q242" s="215"/>
      <c r="R242" s="215"/>
      <c r="S242" s="76"/>
      <c r="T242" s="68" t="s">
        <v>37</v>
      </c>
      <c r="U242" s="7"/>
    </row>
    <row r="243" spans="1:21" ht="10.5" customHeight="1" x14ac:dyDescent="0.35">
      <c r="A243" s="281"/>
      <c r="B243" s="278"/>
      <c r="C243" s="2" t="s">
        <v>90</v>
      </c>
      <c r="D243" s="213"/>
      <c r="E243" s="165"/>
      <c r="F243" s="214"/>
      <c r="G243" s="220">
        <f>SUM(G241+G242)/G239</f>
        <v>7.2828792341678966E-2</v>
      </c>
      <c r="H243" s="139"/>
      <c r="I243" s="215"/>
      <c r="J243" s="215"/>
      <c r="L243" s="2" t="s">
        <v>90</v>
      </c>
      <c r="M243" s="165"/>
      <c r="N243" s="214"/>
      <c r="O243" s="220">
        <f>SUM(O241+O242)/O239</f>
        <v>7.282879234167898E-2</v>
      </c>
      <c r="P243" s="139"/>
      <c r="Q243" s="215"/>
      <c r="R243" s="215"/>
      <c r="S243" s="76"/>
      <c r="T243" s="69" t="s">
        <v>84</v>
      </c>
      <c r="U243" s="7"/>
    </row>
    <row r="244" spans="1:21" ht="10.5" customHeight="1" x14ac:dyDescent="0.35">
      <c r="A244" s="281"/>
      <c r="B244" s="278"/>
      <c r="C244" s="2" t="s">
        <v>99</v>
      </c>
      <c r="D244" s="213"/>
      <c r="F244" s="28"/>
      <c r="G244" s="236">
        <f>G239/$D$17</f>
        <v>874.00761205436675</v>
      </c>
      <c r="H244" s="57"/>
      <c r="I244" s="18"/>
      <c r="J244" s="127">
        <f>G244/G215-1</f>
        <v>-0.14146805275948349</v>
      </c>
      <c r="L244" s="2" t="s">
        <v>99</v>
      </c>
      <c r="N244" s="28"/>
      <c r="O244" s="236">
        <f>O239/$D$17</f>
        <v>811.2998029508376</v>
      </c>
      <c r="P244" s="57"/>
      <c r="Q244" s="18"/>
      <c r="R244" s="127">
        <f>O244/O215-1</f>
        <v>-0.1414680527594836</v>
      </c>
      <c r="S244" s="76"/>
      <c r="T244" s="70">
        <f>O244/G244-1</f>
        <v>-7.1747440455505407E-2</v>
      </c>
      <c r="U244" s="7"/>
    </row>
    <row r="245" spans="1:21" ht="10.5" customHeight="1" x14ac:dyDescent="0.35">
      <c r="B245" s="272"/>
      <c r="G245" s="34"/>
      <c r="N245" s="39"/>
      <c r="O245" s="210">
        <f>O244/G215-1</f>
        <v>-0.20306552252327159</v>
      </c>
      <c r="P245" s="16"/>
      <c r="T245" s="34"/>
    </row>
    <row r="246" spans="1:21" ht="10.5" customHeight="1" x14ac:dyDescent="0.35">
      <c r="B246" s="273"/>
      <c r="F246" s="57"/>
      <c r="O246" s="34"/>
    </row>
    <row r="247" spans="1:21" ht="10.5" customHeight="1" x14ac:dyDescent="0.35">
      <c r="B247" s="273"/>
      <c r="E247" s="244" t="s">
        <v>103</v>
      </c>
      <c r="F247" s="57"/>
      <c r="G247" s="39"/>
      <c r="H247" s="15"/>
      <c r="M247" s="244" t="s">
        <v>104</v>
      </c>
    </row>
    <row r="248" spans="1:21" ht="10.5" customHeight="1" x14ac:dyDescent="0.35">
      <c r="B248" s="266"/>
      <c r="E248" s="30">
        <f>$C$4</f>
        <v>46296</v>
      </c>
      <c r="F248" s="89" t="s">
        <v>20</v>
      </c>
      <c r="G248" s="30">
        <f>$C$5</f>
        <v>46512</v>
      </c>
      <c r="H248" s="15"/>
      <c r="M248" s="30">
        <f>$C$4</f>
        <v>46296</v>
      </c>
      <c r="N248" s="24" t="s">
        <v>20</v>
      </c>
      <c r="O248" s="30">
        <f>$C$5</f>
        <v>46512</v>
      </c>
      <c r="P248" s="15"/>
    </row>
    <row r="249" spans="1:21" ht="10.5" customHeight="1" x14ac:dyDescent="0.35">
      <c r="A249" s="274" t="s">
        <v>120</v>
      </c>
      <c r="B249" s="276" t="s">
        <v>22</v>
      </c>
      <c r="C249" s="24" t="s">
        <v>17</v>
      </c>
      <c r="D249" s="98" t="s">
        <v>44</v>
      </c>
      <c r="E249" s="24" t="s">
        <v>18</v>
      </c>
      <c r="F249" s="93">
        <v>0.04</v>
      </c>
      <c r="G249" s="24" t="s">
        <v>19</v>
      </c>
      <c r="H249" s="15"/>
      <c r="L249" s="24" t="s">
        <v>17</v>
      </c>
      <c r="M249" s="249" t="s">
        <v>111</v>
      </c>
      <c r="N249" s="25">
        <v>0.04</v>
      </c>
      <c r="O249" s="24" t="s">
        <v>19</v>
      </c>
      <c r="P249" s="15"/>
    </row>
    <row r="250" spans="1:21" ht="10.5" customHeight="1" x14ac:dyDescent="0.35">
      <c r="A250" s="275"/>
      <c r="B250" s="276"/>
      <c r="C250" s="5" t="s">
        <v>73</v>
      </c>
      <c r="D250" s="82">
        <v>20</v>
      </c>
      <c r="E250" s="166">
        <f>833.4*$C$11</f>
        <v>4750.38</v>
      </c>
      <c r="F250" s="26">
        <f t="shared" ref="F250:F255" si="16">E250/$C$10/$C$21</f>
        <v>4610.5512031120179</v>
      </c>
      <c r="G250" s="31">
        <f t="shared" ref="G250:G255" si="17">E250/$C$10*$C$8</f>
        <v>5433.6636883012006</v>
      </c>
      <c r="H250" s="15"/>
      <c r="L250" s="5" t="s">
        <v>73</v>
      </c>
      <c r="M250" s="163">
        <f>833.4*$C$11</f>
        <v>4750.38</v>
      </c>
      <c r="N250" s="26">
        <f t="shared" ref="N250:N255" si="18">M250/$C$10/$C$21</f>
        <v>4610.5512031120179</v>
      </c>
      <c r="O250" s="31">
        <f t="shared" ref="O250:O255" si="19">M250/$C$10*$C$8</f>
        <v>5433.6636883012006</v>
      </c>
      <c r="P250" s="15"/>
    </row>
    <row r="251" spans="1:21" ht="10.5" customHeight="1" x14ac:dyDescent="0.35">
      <c r="A251" s="275"/>
      <c r="B251" s="276"/>
      <c r="C251" s="5" t="s">
        <v>76</v>
      </c>
      <c r="D251" s="82">
        <v>20</v>
      </c>
      <c r="E251" s="166">
        <f>224.04*$C$11</f>
        <v>1277.028</v>
      </c>
      <c r="F251" s="26">
        <f t="shared" si="16"/>
        <v>1239.4383147890769</v>
      </c>
      <c r="G251" s="31">
        <f t="shared" si="17"/>
        <v>1460.7127582517412</v>
      </c>
      <c r="H251" s="15"/>
      <c r="L251" s="5" t="s">
        <v>76</v>
      </c>
      <c r="M251" s="163">
        <f>204.37*$C$11</f>
        <v>1164.9090000000001</v>
      </c>
      <c r="N251" s="26">
        <f t="shared" si="18"/>
        <v>1130.6195696904288</v>
      </c>
      <c r="O251" s="31">
        <f t="shared" si="19"/>
        <v>1332.4668202281216</v>
      </c>
      <c r="P251" s="15"/>
    </row>
    <row r="252" spans="1:21" ht="10.5" customHeight="1" x14ac:dyDescent="0.35">
      <c r="A252" s="275"/>
      <c r="B252" s="276"/>
      <c r="C252" s="5" t="s">
        <v>77</v>
      </c>
      <c r="D252" s="82">
        <v>20</v>
      </c>
      <c r="E252" s="166">
        <f>56.97*$C$11</f>
        <v>324.72899999999998</v>
      </c>
      <c r="F252" s="26">
        <f t="shared" si="16"/>
        <v>315.17050880884528</v>
      </c>
      <c r="G252" s="31">
        <f t="shared" si="17"/>
        <v>371.43726940547083</v>
      </c>
      <c r="H252" s="15"/>
      <c r="L252" s="5" t="s">
        <v>77</v>
      </c>
      <c r="M252" s="163">
        <f>54.6*$C$11</f>
        <v>311.22000000000003</v>
      </c>
      <c r="N252" s="26">
        <f t="shared" si="18"/>
        <v>302.05915009589182</v>
      </c>
      <c r="O252" s="31">
        <f t="shared" si="19"/>
        <v>355.98516604421116</v>
      </c>
      <c r="P252" s="15"/>
      <c r="T252" s="58"/>
    </row>
    <row r="253" spans="1:21" ht="10.5" customHeight="1" x14ac:dyDescent="0.35">
      <c r="A253" s="275"/>
      <c r="B253" s="276"/>
      <c r="C253" s="5" t="s">
        <v>74</v>
      </c>
      <c r="D253" s="82">
        <v>36</v>
      </c>
      <c r="E253" s="166">
        <f>28.43*$C$11</f>
        <v>162.05100000000002</v>
      </c>
      <c r="F253" s="26">
        <f t="shared" si="16"/>
        <v>157.28098236678031</v>
      </c>
      <c r="G253" s="31">
        <f t="shared" si="17"/>
        <v>185.36004158675686</v>
      </c>
      <c r="H253" s="15"/>
      <c r="L253" s="5" t="s">
        <v>74</v>
      </c>
      <c r="M253" s="163">
        <v>0</v>
      </c>
      <c r="N253" s="26">
        <f t="shared" si="18"/>
        <v>0</v>
      </c>
      <c r="O253" s="31">
        <f t="shared" si="19"/>
        <v>0</v>
      </c>
      <c r="P253" s="15"/>
      <c r="S253" s="76"/>
      <c r="T253" s="103"/>
    </row>
    <row r="254" spans="1:21" ht="10.5" customHeight="1" x14ac:dyDescent="0.35">
      <c r="A254" s="275"/>
      <c r="B254" s="276"/>
      <c r="C254" s="5" t="s">
        <v>75</v>
      </c>
      <c r="D254" s="82">
        <v>12</v>
      </c>
      <c r="E254" s="166">
        <f>22.07*$C$11</f>
        <v>125.79900000000001</v>
      </c>
      <c r="F254" s="26">
        <f t="shared" si="16"/>
        <v>122.09607037758849</v>
      </c>
      <c r="G254" s="31">
        <f t="shared" si="17"/>
        <v>143.89363762995862</v>
      </c>
      <c r="H254" s="15"/>
      <c r="L254" s="5" t="s">
        <v>75</v>
      </c>
      <c r="M254" s="163">
        <v>0</v>
      </c>
      <c r="N254" s="26">
        <f t="shared" si="18"/>
        <v>0</v>
      </c>
      <c r="O254" s="31">
        <f t="shared" si="19"/>
        <v>0</v>
      </c>
      <c r="P254" s="15"/>
      <c r="S254" s="76"/>
      <c r="T254" s="103"/>
    </row>
    <row r="255" spans="1:21" ht="10.5" customHeight="1" x14ac:dyDescent="0.35">
      <c r="A255" s="275"/>
      <c r="B255" s="276"/>
      <c r="C255" s="5" t="s">
        <v>77</v>
      </c>
      <c r="D255" s="82">
        <v>48</v>
      </c>
      <c r="E255" s="166">
        <f>56.97*$C$11</f>
        <v>324.72899999999998</v>
      </c>
      <c r="F255" s="26">
        <f t="shared" si="16"/>
        <v>315.17050880884528</v>
      </c>
      <c r="G255" s="31">
        <f t="shared" si="17"/>
        <v>371.43726940547083</v>
      </c>
      <c r="H255" s="15"/>
      <c r="L255" s="5" t="s">
        <v>77</v>
      </c>
      <c r="M255" s="163">
        <v>0</v>
      </c>
      <c r="N255" s="26">
        <f t="shared" si="18"/>
        <v>0</v>
      </c>
      <c r="O255" s="31">
        <f t="shared" si="19"/>
        <v>0</v>
      </c>
      <c r="P255" s="15"/>
      <c r="S255" s="76"/>
      <c r="T255" s="68" t="s">
        <v>37</v>
      </c>
      <c r="U255" s="7"/>
    </row>
    <row r="256" spans="1:21" ht="10.5" customHeight="1" x14ac:dyDescent="0.35">
      <c r="A256" s="275"/>
      <c r="B256" s="276"/>
      <c r="C256" s="4" t="s">
        <v>94</v>
      </c>
      <c r="D256" s="34"/>
      <c r="E256" s="27">
        <f>SUMPRODUCT(E250:E255,$D$250:$D$255)</f>
        <v>149973.15599999999</v>
      </c>
      <c r="F256" s="27">
        <f>SUMPRODUCT(F250:F255,$D$250:$D$255)</f>
        <v>145558.65316675851</v>
      </c>
      <c r="G256" s="33">
        <f>SUMPRODUCT(G250:G255,$D$250:$D$255)</f>
        <v>171544.94839931358</v>
      </c>
      <c r="H256" s="15"/>
      <c r="L256" s="118" t="s">
        <v>94</v>
      </c>
      <c r="M256" s="27">
        <f>SUMPRODUCT(M250:M255,$D$250:$D$255)</f>
        <v>124530.18</v>
      </c>
      <c r="N256" s="27">
        <f>SUMPRODUCT(N250:N255,$D$250:$D$255)</f>
        <v>120864.59845796676</v>
      </c>
      <c r="O256" s="33">
        <f>SUMPRODUCT(O250:O255,$D$250:$D$255)</f>
        <v>142442.31349147068</v>
      </c>
      <c r="P256" s="15"/>
      <c r="S256" s="76"/>
      <c r="T256" s="69" t="s">
        <v>83</v>
      </c>
      <c r="U256" s="7"/>
    </row>
    <row r="257" spans="1:21" ht="10.5" customHeight="1" x14ac:dyDescent="0.35">
      <c r="A257" s="275"/>
      <c r="B257" s="276"/>
      <c r="C257" s="4" t="s">
        <v>93</v>
      </c>
      <c r="F257" s="95"/>
      <c r="G257" s="203">
        <f>G256/$C$13</f>
        <v>1491.695203472292</v>
      </c>
      <c r="H257" s="16"/>
      <c r="L257" s="4" t="s">
        <v>93</v>
      </c>
      <c r="M257" s="4"/>
      <c r="N257" s="95"/>
      <c r="O257" s="86">
        <f>O256/$C$13</f>
        <v>1238.6288129693103</v>
      </c>
      <c r="P257" s="16"/>
      <c r="S257" s="76"/>
      <c r="T257" s="70">
        <f>O257/G257-1</f>
        <v>-0.1696502005998991</v>
      </c>
      <c r="U257" s="7"/>
    </row>
    <row r="258" spans="1:21" ht="10.5" customHeight="1" x14ac:dyDescent="0.35">
      <c r="A258" s="275"/>
      <c r="B258" s="266"/>
      <c r="F258" s="57"/>
      <c r="G258" s="41"/>
      <c r="H258" s="15"/>
      <c r="O258" s="34"/>
      <c r="P258" s="15"/>
      <c r="T258" s="34"/>
    </row>
    <row r="259" spans="1:21" ht="10.5" customHeight="1" x14ac:dyDescent="0.35">
      <c r="A259" s="275"/>
      <c r="B259" s="277" t="s">
        <v>12</v>
      </c>
      <c r="C259" s="24" t="s">
        <v>17</v>
      </c>
      <c r="D259" s="46" t="s">
        <v>16</v>
      </c>
      <c r="E259" s="24" t="s">
        <v>18</v>
      </c>
      <c r="F259" s="89" t="s">
        <v>21</v>
      </c>
      <c r="G259" s="24" t="s">
        <v>19</v>
      </c>
      <c r="H259" s="15"/>
      <c r="L259" s="24" t="s">
        <v>17</v>
      </c>
      <c r="M259" s="249" t="s">
        <v>111</v>
      </c>
      <c r="N259" s="101" t="s">
        <v>21</v>
      </c>
      <c r="O259" s="101" t="s">
        <v>19</v>
      </c>
      <c r="P259" s="15"/>
    </row>
    <row r="260" spans="1:21" ht="10.5" customHeight="1" x14ac:dyDescent="0.35">
      <c r="A260" s="275"/>
      <c r="B260" s="278"/>
      <c r="C260" s="5" t="s">
        <v>73</v>
      </c>
      <c r="D260" s="173">
        <f>$D$250</f>
        <v>20</v>
      </c>
      <c r="E260" s="166">
        <f>833.4*$C$11</f>
        <v>4750.38</v>
      </c>
      <c r="F260" s="26">
        <f t="shared" ref="F260:F265" si="20">E260/$C$10/$C$21</f>
        <v>4610.5512031120179</v>
      </c>
      <c r="G260" s="31">
        <f t="shared" ref="G260:G265" si="21">E260/$C$10*$C$8</f>
        <v>5433.6636883012006</v>
      </c>
      <c r="H260" s="15"/>
      <c r="L260" s="5" t="s">
        <v>73</v>
      </c>
      <c r="M260" s="163">
        <f>833.4*$C$11</f>
        <v>4750.38</v>
      </c>
      <c r="N260" s="26">
        <f t="shared" ref="N260:N265" si="22">M260/$C$10/$C$21</f>
        <v>4610.5512031120179</v>
      </c>
      <c r="O260" s="31">
        <f t="shared" ref="O260:O265" si="23">M260/$C$10*$C$8</f>
        <v>5433.6636883012006</v>
      </c>
      <c r="P260" s="15"/>
    </row>
    <row r="261" spans="1:21" ht="10.5" customHeight="1" x14ac:dyDescent="0.35">
      <c r="A261" s="275"/>
      <c r="B261" s="278"/>
      <c r="C261" s="5" t="s">
        <v>76</v>
      </c>
      <c r="D261" s="173">
        <f>$D$251</f>
        <v>20</v>
      </c>
      <c r="E261" s="166">
        <f>224.04*$C$11</f>
        <v>1277.028</v>
      </c>
      <c r="F261" s="26">
        <f t="shared" si="20"/>
        <v>1239.4383147890769</v>
      </c>
      <c r="G261" s="31">
        <f t="shared" si="21"/>
        <v>1460.7127582517412</v>
      </c>
      <c r="H261" s="15"/>
      <c r="L261" s="5" t="s">
        <v>76</v>
      </c>
      <c r="M261" s="163">
        <f>204.37*$C$11</f>
        <v>1164.9090000000001</v>
      </c>
      <c r="N261" s="26">
        <f t="shared" si="22"/>
        <v>1130.6195696904288</v>
      </c>
      <c r="O261" s="31">
        <f t="shared" si="23"/>
        <v>1332.4668202281216</v>
      </c>
      <c r="P261" s="15"/>
    </row>
    <row r="262" spans="1:21" ht="10.5" customHeight="1" x14ac:dyDescent="0.35">
      <c r="A262" s="275"/>
      <c r="B262" s="278"/>
      <c r="C262" s="5" t="s">
        <v>77</v>
      </c>
      <c r="D262" s="173">
        <f>$D$252</f>
        <v>20</v>
      </c>
      <c r="E262" s="166">
        <f>56.97*$C$11</f>
        <v>324.72899999999998</v>
      </c>
      <c r="F262" s="26">
        <f t="shared" si="20"/>
        <v>315.17050880884528</v>
      </c>
      <c r="G262" s="31">
        <f t="shared" si="21"/>
        <v>371.43726940547083</v>
      </c>
      <c r="H262" s="15"/>
      <c r="L262" s="5" t="s">
        <v>77</v>
      </c>
      <c r="M262" s="163">
        <f>54.6*$C$11</f>
        <v>311.22000000000003</v>
      </c>
      <c r="N262" s="26">
        <f t="shared" si="22"/>
        <v>302.05915009589182</v>
      </c>
      <c r="O262" s="31">
        <f t="shared" si="23"/>
        <v>355.98516604421116</v>
      </c>
      <c r="P262" s="15"/>
      <c r="T262" s="58"/>
    </row>
    <row r="263" spans="1:21" ht="10.5" customHeight="1" x14ac:dyDescent="0.35">
      <c r="A263" s="275"/>
      <c r="B263" s="278"/>
      <c r="C263" s="5" t="s">
        <v>74</v>
      </c>
      <c r="D263" s="173">
        <f>$D$253</f>
        <v>36</v>
      </c>
      <c r="E263" s="166">
        <f>28.43*$C$11</f>
        <v>162.05100000000002</v>
      </c>
      <c r="F263" s="26">
        <f t="shared" si="20"/>
        <v>157.28098236678031</v>
      </c>
      <c r="G263" s="31">
        <f t="shared" si="21"/>
        <v>185.36004158675686</v>
      </c>
      <c r="H263" s="19"/>
      <c r="L263" s="5" t="s">
        <v>74</v>
      </c>
      <c r="M263" s="163">
        <v>0</v>
      </c>
      <c r="N263" s="26">
        <f t="shared" si="22"/>
        <v>0</v>
      </c>
      <c r="O263" s="31">
        <f t="shared" si="23"/>
        <v>0</v>
      </c>
      <c r="P263" s="19"/>
      <c r="S263" s="76"/>
      <c r="T263" s="103"/>
    </row>
    <row r="264" spans="1:21" ht="10.5" customHeight="1" x14ac:dyDescent="0.35">
      <c r="A264" s="275"/>
      <c r="B264" s="278"/>
      <c r="C264" s="5" t="s">
        <v>75</v>
      </c>
      <c r="D264" s="173">
        <f>$D$254</f>
        <v>12</v>
      </c>
      <c r="E264" s="166">
        <f>22.07*$C$11</f>
        <v>125.79900000000001</v>
      </c>
      <c r="F264" s="26">
        <f t="shared" si="20"/>
        <v>122.09607037758849</v>
      </c>
      <c r="G264" s="31">
        <f t="shared" si="21"/>
        <v>143.89363762995862</v>
      </c>
      <c r="H264" s="19"/>
      <c r="L264" s="5" t="s">
        <v>75</v>
      </c>
      <c r="M264" s="163">
        <v>0</v>
      </c>
      <c r="N264" s="26">
        <f t="shared" si="22"/>
        <v>0</v>
      </c>
      <c r="O264" s="31">
        <f t="shared" si="23"/>
        <v>0</v>
      </c>
      <c r="P264" s="19"/>
      <c r="S264" s="76"/>
      <c r="T264" s="58"/>
    </row>
    <row r="265" spans="1:21" ht="10.5" customHeight="1" x14ac:dyDescent="0.35">
      <c r="A265" s="275"/>
      <c r="B265" s="278"/>
      <c r="C265" s="5" t="s">
        <v>77</v>
      </c>
      <c r="D265" s="173">
        <f>$D$255</f>
        <v>48</v>
      </c>
      <c r="E265" s="166">
        <f>56.97*$C$11</f>
        <v>324.72899999999998</v>
      </c>
      <c r="F265" s="26">
        <f t="shared" si="20"/>
        <v>315.17050880884528</v>
      </c>
      <c r="G265" s="31">
        <f t="shared" si="21"/>
        <v>371.43726940547083</v>
      </c>
      <c r="H265" s="19"/>
      <c r="L265" s="5" t="s">
        <v>77</v>
      </c>
      <c r="M265" s="163">
        <v>0</v>
      </c>
      <c r="N265" s="26">
        <f t="shared" si="22"/>
        <v>0</v>
      </c>
      <c r="O265" s="31">
        <f t="shared" si="23"/>
        <v>0</v>
      </c>
      <c r="P265" s="19"/>
      <c r="S265" s="76"/>
      <c r="U265" s="7"/>
    </row>
    <row r="266" spans="1:21" ht="10.5" customHeight="1" x14ac:dyDescent="0.35">
      <c r="A266" s="275"/>
      <c r="B266" s="278"/>
      <c r="C266" s="4" t="s">
        <v>52</v>
      </c>
      <c r="D266" s="213"/>
      <c r="E266" s="47">
        <f>SUMPRODUCT(E260:E265,$D$260:$D$265)</f>
        <v>149973.15599999999</v>
      </c>
      <c r="F266" s="47">
        <f>SUMPRODUCT(F260:F265,$D$260:$D$265)</f>
        <v>145558.65316675851</v>
      </c>
      <c r="G266" s="38">
        <f>SUMPRODUCT(G260:G265,$D$260:$D$265)</f>
        <v>171544.94839931358</v>
      </c>
      <c r="H266" s="19"/>
      <c r="L266" s="118" t="s">
        <v>52</v>
      </c>
      <c r="M266" s="27">
        <f>SUMPRODUCT(M260:M265,$D$260:$D$265)</f>
        <v>124530.18</v>
      </c>
      <c r="N266" s="47">
        <f>SUMPRODUCT(N260:N265,$D$260:$D$265)</f>
        <v>120864.59845796676</v>
      </c>
      <c r="O266" s="38">
        <f>SUMPRODUCT(O260:O265,$D$260:$D$265)</f>
        <v>142442.31349147068</v>
      </c>
      <c r="P266" s="19"/>
      <c r="S266" s="76"/>
      <c r="U266" s="7"/>
    </row>
    <row r="267" spans="1:21" ht="10.5" customHeight="1" x14ac:dyDescent="0.35">
      <c r="A267" s="275"/>
      <c r="B267" s="278"/>
      <c r="C267" s="4" t="s">
        <v>97</v>
      </c>
      <c r="E267" s="165"/>
      <c r="F267" s="214"/>
      <c r="G267" s="236">
        <f>G266/$C$13</f>
        <v>1491.695203472292</v>
      </c>
      <c r="H267" s="57"/>
      <c r="L267" s="4" t="s">
        <v>97</v>
      </c>
      <c r="M267" s="166"/>
      <c r="N267" s="239"/>
      <c r="O267" s="236">
        <f>O266/$C$13</f>
        <v>1238.6288129693103</v>
      </c>
      <c r="P267" s="57"/>
      <c r="S267" s="76"/>
      <c r="U267" s="7"/>
    </row>
    <row r="268" spans="1:21" ht="10.5" customHeight="1" x14ac:dyDescent="0.35">
      <c r="A268" s="275"/>
      <c r="B268" s="278"/>
      <c r="C268" s="2" t="s">
        <v>87</v>
      </c>
      <c r="E268" s="165"/>
      <c r="F268" s="214"/>
      <c r="G268" s="221">
        <f>G266*$C$16</f>
        <v>6861.7979359725432</v>
      </c>
      <c r="L268" s="2" t="s">
        <v>87</v>
      </c>
      <c r="M268" s="166"/>
      <c r="N268" s="239"/>
      <c r="O268" s="221">
        <f>O266*$C$16</f>
        <v>5697.6925396588267</v>
      </c>
      <c r="S268" s="76"/>
      <c r="T268" s="58"/>
      <c r="U268" s="7"/>
    </row>
    <row r="269" spans="1:21" ht="10.5" customHeight="1" x14ac:dyDescent="0.35">
      <c r="A269" s="275"/>
      <c r="B269" s="278"/>
      <c r="C269" s="2" t="s">
        <v>88</v>
      </c>
      <c r="E269" s="165"/>
      <c r="F269" s="214"/>
      <c r="G269" s="163">
        <f>E266*$D$9</f>
        <v>4319.2268927999903</v>
      </c>
      <c r="L269" s="2" t="s">
        <v>88</v>
      </c>
      <c r="M269" s="166"/>
      <c r="N269" s="239"/>
      <c r="O269" s="163">
        <f>M266*$D$9</f>
        <v>3586.4691839999919</v>
      </c>
      <c r="S269" s="76"/>
      <c r="T269" s="262" t="s">
        <v>37</v>
      </c>
      <c r="U269" s="7"/>
    </row>
    <row r="270" spans="1:21" ht="10.5" customHeight="1" x14ac:dyDescent="0.35">
      <c r="A270" s="275"/>
      <c r="B270" s="278"/>
      <c r="C270" s="2" t="s">
        <v>90</v>
      </c>
      <c r="E270" s="165"/>
      <c r="F270" s="214"/>
      <c r="G270" s="220">
        <f>SUM(G268+G269)/G266</f>
        <v>6.5178397458524481E-2</v>
      </c>
      <c r="L270" s="2" t="s">
        <v>90</v>
      </c>
      <c r="M270" s="166"/>
      <c r="N270" s="239"/>
      <c r="O270" s="220">
        <f>SUM(O268+O269)/O266</f>
        <v>6.5178397458524481E-2</v>
      </c>
      <c r="S270" s="76"/>
      <c r="T270" s="263" t="s">
        <v>115</v>
      </c>
      <c r="U270" s="7"/>
    </row>
    <row r="271" spans="1:21" ht="10.5" customHeight="1" x14ac:dyDescent="0.35">
      <c r="A271" s="275"/>
      <c r="B271" s="278"/>
      <c r="C271" s="2" t="s">
        <v>98</v>
      </c>
      <c r="F271" s="28"/>
      <c r="G271" s="236">
        <f>G266/$C$17</f>
        <v>1400.4181900716542</v>
      </c>
      <c r="H271" s="219">
        <f>G271/G257-1</f>
        <v>-6.1190123282670483E-2</v>
      </c>
      <c r="L271" s="2" t="s">
        <v>98</v>
      </c>
      <c r="M271" s="166"/>
      <c r="N271" s="239"/>
      <c r="O271" s="236">
        <f>O266/$C$17</f>
        <v>1162.8369632022502</v>
      </c>
      <c r="P271" s="219">
        <f>O271/O257-1</f>
        <v>-6.1190123282670594E-2</v>
      </c>
      <c r="S271" s="76"/>
      <c r="T271" s="264">
        <f>O271/G271-1</f>
        <v>-0.16965020059989921</v>
      </c>
      <c r="U271" s="7"/>
    </row>
    <row r="272" spans="1:21" ht="10.5" customHeight="1" x14ac:dyDescent="0.35">
      <c r="A272" s="275"/>
      <c r="B272" s="266"/>
      <c r="F272" s="57"/>
      <c r="G272" s="41"/>
      <c r="H272" s="17"/>
      <c r="L272" s="19"/>
      <c r="O272" s="107"/>
      <c r="P272" s="17"/>
      <c r="T272" s="34"/>
    </row>
    <row r="273" spans="1:21" ht="10.5" customHeight="1" x14ac:dyDescent="0.35">
      <c r="A273" s="275"/>
      <c r="B273" s="279" t="s">
        <v>92</v>
      </c>
      <c r="C273" s="24" t="s">
        <v>17</v>
      </c>
      <c r="D273" s="46" t="s">
        <v>16</v>
      </c>
      <c r="E273" s="24" t="s">
        <v>18</v>
      </c>
      <c r="F273" s="89" t="s">
        <v>21</v>
      </c>
      <c r="G273" s="24" t="s">
        <v>19</v>
      </c>
      <c r="H273" s="15"/>
      <c r="L273" s="24" t="s">
        <v>17</v>
      </c>
      <c r="M273" s="249" t="s">
        <v>111</v>
      </c>
      <c r="N273" s="101" t="s">
        <v>21</v>
      </c>
      <c r="O273" s="101" t="s">
        <v>19</v>
      </c>
      <c r="P273" s="15"/>
    </row>
    <row r="274" spans="1:21" ht="10.5" customHeight="1" x14ac:dyDescent="0.35">
      <c r="A274" s="275"/>
      <c r="B274" s="279"/>
      <c r="C274" s="5" t="s">
        <v>73</v>
      </c>
      <c r="D274" s="173">
        <f>$D$250</f>
        <v>20</v>
      </c>
      <c r="E274" s="49">
        <f>833.4</f>
        <v>833.4</v>
      </c>
      <c r="F274" s="50">
        <f t="shared" ref="F274:F279" si="24">E274/$C$10/$C$21</f>
        <v>808.86863212491551</v>
      </c>
      <c r="G274" s="50">
        <f t="shared" ref="G274:G279" si="25">E274/$E$10*$E$8</f>
        <v>913.90507721812855</v>
      </c>
      <c r="H274" s="15"/>
      <c r="L274" s="5" t="s">
        <v>73</v>
      </c>
      <c r="M274" s="29">
        <f>833.4</f>
        <v>833.4</v>
      </c>
      <c r="N274" s="50">
        <f t="shared" ref="N274:N279" si="26">M274/$C$10/$C$21</f>
        <v>808.86863212491551</v>
      </c>
      <c r="O274" s="50">
        <f t="shared" ref="O274:O279" si="27">M274/$E$10*$E$8</f>
        <v>913.90507721812855</v>
      </c>
      <c r="P274" s="15"/>
    </row>
    <row r="275" spans="1:21" ht="10.5" customHeight="1" x14ac:dyDescent="0.35">
      <c r="A275" s="275"/>
      <c r="B275" s="279"/>
      <c r="C275" s="5" t="s">
        <v>76</v>
      </c>
      <c r="D275" s="173">
        <f>$D$251</f>
        <v>20</v>
      </c>
      <c r="E275" s="49">
        <f>224.04</f>
        <v>224.04</v>
      </c>
      <c r="F275" s="50">
        <f t="shared" si="24"/>
        <v>217.44531838404856</v>
      </c>
      <c r="G275" s="50">
        <f t="shared" si="25"/>
        <v>245.68189764812757</v>
      </c>
      <c r="H275" s="15"/>
      <c r="L275" s="5" t="s">
        <v>76</v>
      </c>
      <c r="M275" s="29">
        <f>204.37</f>
        <v>204.37</v>
      </c>
      <c r="N275" s="50">
        <f t="shared" si="26"/>
        <v>198.35431047200504</v>
      </c>
      <c r="O275" s="50">
        <f t="shared" si="27"/>
        <v>224.11180781265773</v>
      </c>
      <c r="P275" s="15"/>
    </row>
    <row r="276" spans="1:21" ht="10.5" customHeight="1" x14ac:dyDescent="0.35">
      <c r="A276" s="275"/>
      <c r="B276" s="279"/>
      <c r="C276" s="5" t="s">
        <v>77</v>
      </c>
      <c r="D276" s="173">
        <f>$D$252</f>
        <v>20</v>
      </c>
      <c r="E276" s="49">
        <f>56.97</f>
        <v>56.97</v>
      </c>
      <c r="F276" s="50">
        <f t="shared" si="24"/>
        <v>55.293071720850058</v>
      </c>
      <c r="G276" s="50">
        <f t="shared" si="25"/>
        <v>62.473208842232765</v>
      </c>
      <c r="H276" s="15"/>
      <c r="L276" s="5" t="s">
        <v>77</v>
      </c>
      <c r="M276" s="29">
        <f>54.6</f>
        <v>54.6</v>
      </c>
      <c r="N276" s="50">
        <f t="shared" si="26"/>
        <v>52.992833350156452</v>
      </c>
      <c r="O276" s="50">
        <f t="shared" si="27"/>
        <v>59.874270717674378</v>
      </c>
      <c r="P276" s="15"/>
      <c r="T276" s="58"/>
    </row>
    <row r="277" spans="1:21" ht="10.5" customHeight="1" x14ac:dyDescent="0.35">
      <c r="A277" s="275"/>
      <c r="B277" s="279"/>
      <c r="C277" s="5" t="s">
        <v>74</v>
      </c>
      <c r="D277" s="173">
        <f>$D$253</f>
        <v>36</v>
      </c>
      <c r="E277" s="49">
        <f>28.43</f>
        <v>28.43</v>
      </c>
      <c r="F277" s="50">
        <f t="shared" si="24"/>
        <v>27.593154801189524</v>
      </c>
      <c r="G277" s="50">
        <f t="shared" si="25"/>
        <v>31.176291511052792</v>
      </c>
      <c r="H277" s="15"/>
      <c r="I277" s="19"/>
      <c r="L277" s="5" t="s">
        <v>74</v>
      </c>
      <c r="M277" s="29">
        <v>0</v>
      </c>
      <c r="N277" s="50">
        <f t="shared" si="26"/>
        <v>0</v>
      </c>
      <c r="O277" s="50">
        <f t="shared" si="27"/>
        <v>0</v>
      </c>
      <c r="P277" s="15"/>
      <c r="Q277" s="19"/>
      <c r="S277" s="76"/>
      <c r="T277" s="103"/>
    </row>
    <row r="278" spans="1:21" ht="10.5" customHeight="1" x14ac:dyDescent="0.35">
      <c r="A278" s="275"/>
      <c r="B278" s="279"/>
      <c r="C278" s="5" t="s">
        <v>75</v>
      </c>
      <c r="D278" s="173">
        <f>$D$254</f>
        <v>12</v>
      </c>
      <c r="E278" s="49">
        <f>22.07</f>
        <v>22.07</v>
      </c>
      <c r="F278" s="50">
        <f t="shared" si="24"/>
        <v>21.420363224138335</v>
      </c>
      <c r="G278" s="50">
        <f t="shared" si="25"/>
        <v>24.201925910972044</v>
      </c>
      <c r="H278" s="15"/>
      <c r="I278" s="19"/>
      <c r="L278" s="5" t="s">
        <v>75</v>
      </c>
      <c r="M278" s="29">
        <v>0</v>
      </c>
      <c r="N278" s="50">
        <f t="shared" si="26"/>
        <v>0</v>
      </c>
      <c r="O278" s="50">
        <f t="shared" si="27"/>
        <v>0</v>
      </c>
      <c r="P278" s="15"/>
      <c r="Q278" s="19"/>
      <c r="S278" s="76"/>
      <c r="T278" s="103"/>
    </row>
    <row r="279" spans="1:21" ht="10.5" customHeight="1" x14ac:dyDescent="0.35">
      <c r="A279" s="275"/>
      <c r="B279" s="279"/>
      <c r="C279" s="5" t="s">
        <v>77</v>
      </c>
      <c r="D279" s="173">
        <f>$D$255</f>
        <v>48</v>
      </c>
      <c r="E279" s="49">
        <f>56.97</f>
        <v>56.97</v>
      </c>
      <c r="F279" s="50">
        <f t="shared" si="24"/>
        <v>55.293071720850058</v>
      </c>
      <c r="G279" s="50">
        <f t="shared" si="25"/>
        <v>62.473208842232765</v>
      </c>
      <c r="H279" s="15"/>
      <c r="I279" s="19"/>
      <c r="L279" s="5" t="s">
        <v>77</v>
      </c>
      <c r="M279" s="29">
        <v>0</v>
      </c>
      <c r="N279" s="50">
        <f t="shared" si="26"/>
        <v>0</v>
      </c>
      <c r="O279" s="50">
        <f t="shared" si="27"/>
        <v>0</v>
      </c>
      <c r="P279" s="15"/>
      <c r="Q279" s="19"/>
      <c r="S279" s="76"/>
      <c r="T279" s="68" t="s">
        <v>37</v>
      </c>
      <c r="U279" s="7"/>
    </row>
    <row r="280" spans="1:21" ht="10.5" customHeight="1" x14ac:dyDescent="0.35">
      <c r="A280" s="275"/>
      <c r="B280" s="279"/>
      <c r="C280" s="4" t="s">
        <v>95</v>
      </c>
      <c r="D280" s="34"/>
      <c r="E280" s="50">
        <f>SUMPRODUCT(E274:E279,$D$274:$D$279)</f>
        <v>26311.08</v>
      </c>
      <c r="F280" s="50">
        <f>SUMPRODUCT(F274:F279,$D$274:$D$279)</f>
        <v>25536.605818729571</v>
      </c>
      <c r="G280" s="218">
        <f>SUMPRODUCT(G274:G279,$D$274:$D$279)</f>
        <v>28852.687303926519</v>
      </c>
      <c r="H280" s="15"/>
      <c r="I280" s="19"/>
      <c r="L280" s="4" t="s">
        <v>95</v>
      </c>
      <c r="M280" s="49">
        <f>SUMPRODUCT(M274:M279,D274:D279)</f>
        <v>21847.4</v>
      </c>
      <c r="N280" s="49">
        <f>SUMPRODUCT(N274:N279,D274:D279)</f>
        <v>21204.315518941541</v>
      </c>
      <c r="O280" s="54">
        <f>SUMPRODUCT(O274:O279,D274:D279)</f>
        <v>23957.823114969215</v>
      </c>
      <c r="P280" s="15"/>
      <c r="Q280" s="19"/>
      <c r="S280" s="76"/>
      <c r="T280" s="69" t="s">
        <v>82</v>
      </c>
      <c r="U280" s="7"/>
    </row>
    <row r="281" spans="1:21" ht="10.5" customHeight="1" x14ac:dyDescent="0.35">
      <c r="A281" s="275"/>
      <c r="B281" s="279"/>
      <c r="C281" s="2" t="s">
        <v>96</v>
      </c>
      <c r="F281" s="95"/>
      <c r="G281" s="86">
        <f>G280/$D$14</f>
        <v>1373.9374906631676</v>
      </c>
      <c r="H281" s="61"/>
      <c r="I281" s="127">
        <f>G281/G257-1</f>
        <v>-7.8942207855206559E-2</v>
      </c>
      <c r="J281" s="16"/>
      <c r="L281" s="2" t="s">
        <v>96</v>
      </c>
      <c r="M281" s="4"/>
      <c r="N281" s="95"/>
      <c r="O281" s="86">
        <f>O280/$D$14</f>
        <v>1140.8487197604388</v>
      </c>
      <c r="P281" s="61"/>
      <c r="Q281" s="127">
        <f>O281/O257-1</f>
        <v>-7.8942207855206892E-2</v>
      </c>
      <c r="R281" s="16"/>
      <c r="S281" s="76"/>
      <c r="T281" s="70">
        <f>O281/G281-1</f>
        <v>-0.16965020059989944</v>
      </c>
      <c r="U281" s="7"/>
    </row>
    <row r="282" spans="1:21" ht="10.5" customHeight="1" x14ac:dyDescent="0.35">
      <c r="A282" s="275"/>
      <c r="B282" s="266"/>
      <c r="F282" s="57"/>
      <c r="G282" s="41"/>
      <c r="H282" s="15"/>
      <c r="I282" s="17"/>
      <c r="O282" s="34"/>
      <c r="P282" s="15"/>
      <c r="Q282" s="17"/>
      <c r="T282" s="34"/>
    </row>
    <row r="283" spans="1:21" ht="10.5" customHeight="1" x14ac:dyDescent="0.35">
      <c r="A283" s="275"/>
      <c r="B283" s="277" t="s">
        <v>23</v>
      </c>
      <c r="C283" s="24" t="s">
        <v>17</v>
      </c>
      <c r="D283" s="46" t="s">
        <v>16</v>
      </c>
      <c r="E283" s="24" t="s">
        <v>18</v>
      </c>
      <c r="F283" s="89" t="s">
        <v>21</v>
      </c>
      <c r="G283" s="24" t="s">
        <v>19</v>
      </c>
      <c r="H283" s="15"/>
      <c r="L283" s="24" t="s">
        <v>17</v>
      </c>
      <c r="M283" s="249" t="s">
        <v>111</v>
      </c>
      <c r="N283" s="101" t="s">
        <v>21</v>
      </c>
      <c r="O283" s="101" t="s">
        <v>19</v>
      </c>
      <c r="P283" s="15"/>
    </row>
    <row r="284" spans="1:21" ht="10.5" customHeight="1" x14ac:dyDescent="0.35">
      <c r="A284" s="275"/>
      <c r="B284" s="278"/>
      <c r="C284" s="5" t="s">
        <v>73</v>
      </c>
      <c r="D284" s="173">
        <f>$D$250</f>
        <v>20</v>
      </c>
      <c r="E284" s="49">
        <f>833.4</f>
        <v>833.4</v>
      </c>
      <c r="F284" s="50">
        <f t="shared" ref="F284:F289" si="28">E284/$C$10/$C$21</f>
        <v>808.86863212491551</v>
      </c>
      <c r="G284" s="50">
        <f t="shared" ref="G284:G289" si="29">E284/$E$10*$E$8</f>
        <v>913.90507721812855</v>
      </c>
      <c r="H284" s="15"/>
      <c r="L284" s="5" t="s">
        <v>73</v>
      </c>
      <c r="M284" s="29">
        <f>833.4</f>
        <v>833.4</v>
      </c>
      <c r="N284" s="50">
        <f t="shared" ref="N284:N289" si="30">M284/$C$10/$C$21</f>
        <v>808.86863212491551</v>
      </c>
      <c r="O284" s="50">
        <f t="shared" ref="O284:O289" si="31">M284/$E$10*$E$8</f>
        <v>913.90507721812855</v>
      </c>
      <c r="P284" s="15"/>
    </row>
    <row r="285" spans="1:21" ht="10.5" customHeight="1" x14ac:dyDescent="0.35">
      <c r="A285" s="275"/>
      <c r="B285" s="278"/>
      <c r="C285" s="5" t="s">
        <v>76</v>
      </c>
      <c r="D285" s="173">
        <f>$D$251</f>
        <v>20</v>
      </c>
      <c r="E285" s="49">
        <f>224.04</f>
        <v>224.04</v>
      </c>
      <c r="F285" s="50">
        <f t="shared" si="28"/>
        <v>217.44531838404856</v>
      </c>
      <c r="G285" s="50">
        <f t="shared" si="29"/>
        <v>245.68189764812757</v>
      </c>
      <c r="H285" s="15"/>
      <c r="L285" s="5" t="s">
        <v>76</v>
      </c>
      <c r="M285" s="29">
        <f>204.37</f>
        <v>204.37</v>
      </c>
      <c r="N285" s="50">
        <f t="shared" si="30"/>
        <v>198.35431047200504</v>
      </c>
      <c r="O285" s="50">
        <f t="shared" si="31"/>
        <v>224.11180781265773</v>
      </c>
      <c r="P285" s="15"/>
      <c r="Q285" s="15" t="s">
        <v>101</v>
      </c>
    </row>
    <row r="286" spans="1:21" ht="10.5" customHeight="1" x14ac:dyDescent="0.35">
      <c r="A286" s="275"/>
      <c r="B286" s="278"/>
      <c r="C286" s="5" t="s">
        <v>77</v>
      </c>
      <c r="D286" s="173">
        <f>$D$252</f>
        <v>20</v>
      </c>
      <c r="E286" s="49">
        <f>56.97</f>
        <v>56.97</v>
      </c>
      <c r="F286" s="50">
        <f t="shared" si="28"/>
        <v>55.293071720850058</v>
      </c>
      <c r="G286" s="50">
        <f t="shared" si="29"/>
        <v>62.473208842232765</v>
      </c>
      <c r="H286" s="15"/>
      <c r="L286" s="5" t="s">
        <v>77</v>
      </c>
      <c r="M286" s="29">
        <f>54.6</f>
        <v>54.6</v>
      </c>
      <c r="N286" s="50">
        <f t="shared" si="30"/>
        <v>52.992833350156452</v>
      </c>
      <c r="O286" s="50">
        <f t="shared" si="31"/>
        <v>59.874270717674378</v>
      </c>
      <c r="P286" s="15"/>
      <c r="T286" s="58"/>
    </row>
    <row r="287" spans="1:21" ht="10.5" customHeight="1" x14ac:dyDescent="0.35">
      <c r="A287" s="275"/>
      <c r="B287" s="278"/>
      <c r="C287" s="5" t="s">
        <v>74</v>
      </c>
      <c r="D287" s="173">
        <f>$D$253</f>
        <v>36</v>
      </c>
      <c r="E287" s="49">
        <f>28.43</f>
        <v>28.43</v>
      </c>
      <c r="F287" s="50">
        <f t="shared" si="28"/>
        <v>27.593154801189524</v>
      </c>
      <c r="G287" s="50">
        <f t="shared" si="29"/>
        <v>31.176291511052792</v>
      </c>
      <c r="H287" s="15"/>
      <c r="J287" s="19"/>
      <c r="L287" s="5" t="s">
        <v>74</v>
      </c>
      <c r="M287" s="29">
        <v>0</v>
      </c>
      <c r="N287" s="50">
        <f t="shared" si="30"/>
        <v>0</v>
      </c>
      <c r="O287" s="50">
        <f t="shared" si="31"/>
        <v>0</v>
      </c>
      <c r="P287" s="15"/>
      <c r="R287" s="19"/>
      <c r="S287" s="76"/>
      <c r="T287" s="103"/>
    </row>
    <row r="288" spans="1:21" ht="10.5" customHeight="1" x14ac:dyDescent="0.35">
      <c r="A288" s="275"/>
      <c r="B288" s="278"/>
      <c r="C288" s="5" t="s">
        <v>75</v>
      </c>
      <c r="D288" s="173">
        <f>$D$254</f>
        <v>12</v>
      </c>
      <c r="E288" s="49">
        <f>22.07</f>
        <v>22.07</v>
      </c>
      <c r="F288" s="50">
        <f t="shared" si="28"/>
        <v>21.420363224138335</v>
      </c>
      <c r="G288" s="50">
        <f t="shared" si="29"/>
        <v>24.201925910972044</v>
      </c>
      <c r="H288" s="15"/>
      <c r="J288" s="19"/>
      <c r="L288" s="5" t="s">
        <v>75</v>
      </c>
      <c r="M288" s="29">
        <v>0</v>
      </c>
      <c r="N288" s="50">
        <f t="shared" si="30"/>
        <v>0</v>
      </c>
      <c r="O288" s="50">
        <f t="shared" si="31"/>
        <v>0</v>
      </c>
      <c r="P288" s="15"/>
      <c r="R288" s="19"/>
      <c r="S288" s="76"/>
    </row>
    <row r="289" spans="1:21" ht="10.5" customHeight="1" x14ac:dyDescent="0.35">
      <c r="A289" s="275"/>
      <c r="B289" s="278"/>
      <c r="C289" s="5" t="s">
        <v>77</v>
      </c>
      <c r="D289" s="173">
        <f>$D$255</f>
        <v>48</v>
      </c>
      <c r="E289" s="49">
        <f>56.97</f>
        <v>56.97</v>
      </c>
      <c r="F289" s="50">
        <f t="shared" si="28"/>
        <v>55.293071720850058</v>
      </c>
      <c r="G289" s="50">
        <f t="shared" si="29"/>
        <v>62.473208842232765</v>
      </c>
      <c r="H289" s="15"/>
      <c r="J289" s="19"/>
      <c r="L289" s="5" t="s">
        <v>77</v>
      </c>
      <c r="M289" s="29">
        <v>0</v>
      </c>
      <c r="N289" s="50">
        <f t="shared" si="30"/>
        <v>0</v>
      </c>
      <c r="O289" s="50">
        <f t="shared" si="31"/>
        <v>0</v>
      </c>
      <c r="P289" s="15"/>
      <c r="R289" s="19"/>
      <c r="S289" s="76"/>
      <c r="U289" s="7"/>
    </row>
    <row r="290" spans="1:21" ht="10.5" customHeight="1" x14ac:dyDescent="0.35">
      <c r="A290" s="275"/>
      <c r="B290" s="278"/>
      <c r="C290" s="4" t="s">
        <v>53</v>
      </c>
      <c r="D290" s="213"/>
      <c r="E290" s="49">
        <f>SUMPRODUCT(E284:E289,$D$284:$D$289)</f>
        <v>26311.08</v>
      </c>
      <c r="F290" s="49">
        <f>SUMPRODUCT(F284:F289,$D$284:$D$289)</f>
        <v>25536.605818729571</v>
      </c>
      <c r="G290" s="91">
        <f>SUMPRODUCT(G284:G289,$D$284:$D$289)</f>
        <v>28852.687303926519</v>
      </c>
      <c r="H290" s="15"/>
      <c r="J290" s="19"/>
      <c r="L290" s="4" t="s">
        <v>53</v>
      </c>
      <c r="M290" s="49">
        <f>SUMPRODUCT(M284:M289,$D$284:$D$289)</f>
        <v>21847.4</v>
      </c>
      <c r="N290" s="49">
        <f>SUMPRODUCT(N284:N289,$D$284:$D$289)</f>
        <v>21204.315518941541</v>
      </c>
      <c r="O290" s="91">
        <f>SUMPRODUCT(O284:O289,$D$284:$D$289)</f>
        <v>23957.823114969215</v>
      </c>
      <c r="P290" s="15"/>
      <c r="R290" s="19"/>
      <c r="S290" s="76"/>
      <c r="U290" s="7"/>
    </row>
    <row r="291" spans="1:21" ht="10.5" customHeight="1" x14ac:dyDescent="0.35">
      <c r="A291" s="275"/>
      <c r="B291" s="278"/>
      <c r="C291" s="4" t="s">
        <v>97</v>
      </c>
      <c r="D291" s="213"/>
      <c r="E291" s="49"/>
      <c r="F291" s="240"/>
      <c r="G291" s="236">
        <f>G290/$D$14</f>
        <v>1373.9374906631676</v>
      </c>
      <c r="H291" s="139"/>
      <c r="I291" s="215"/>
      <c r="J291" s="215"/>
      <c r="L291" s="4" t="s">
        <v>97</v>
      </c>
      <c r="M291" s="49"/>
      <c r="N291" s="240"/>
      <c r="O291" s="236">
        <f>O290/$D$14</f>
        <v>1140.8487197604388</v>
      </c>
      <c r="P291" s="139"/>
      <c r="Q291" s="215"/>
      <c r="R291" s="215"/>
      <c r="S291" s="76"/>
      <c r="U291" s="7"/>
    </row>
    <row r="292" spans="1:21" ht="10.5" customHeight="1" x14ac:dyDescent="0.35">
      <c r="A292" s="275"/>
      <c r="B292" s="278"/>
      <c r="C292" s="2" t="s">
        <v>87</v>
      </c>
      <c r="D292" s="213"/>
      <c r="E292" s="49"/>
      <c r="F292" s="48"/>
      <c r="G292" s="230">
        <f>G290*$D$16</f>
        <v>1154.1074921570607</v>
      </c>
      <c r="H292" s="139"/>
      <c r="I292" s="215"/>
      <c r="J292" s="215"/>
      <c r="L292" s="2" t="s">
        <v>87</v>
      </c>
      <c r="M292" s="49"/>
      <c r="N292" s="48"/>
      <c r="O292" s="230">
        <f>O290*$D$16</f>
        <v>958.31292459876863</v>
      </c>
      <c r="P292" s="139"/>
      <c r="Q292" s="215"/>
      <c r="R292" s="215"/>
      <c r="S292" s="76"/>
      <c r="T292" s="58"/>
      <c r="U292" s="7"/>
    </row>
    <row r="293" spans="1:21" ht="10.5" customHeight="1" x14ac:dyDescent="0.35">
      <c r="A293" s="275"/>
      <c r="B293" s="278"/>
      <c r="C293" s="2" t="s">
        <v>88</v>
      </c>
      <c r="D293" s="213"/>
      <c r="E293" s="49"/>
      <c r="F293" s="48"/>
      <c r="G293" s="29">
        <f>E290*$F$9</f>
        <v>947.19888000000094</v>
      </c>
      <c r="H293" s="139"/>
      <c r="I293" s="215"/>
      <c r="J293" s="215"/>
      <c r="L293" s="2" t="s">
        <v>88</v>
      </c>
      <c r="M293" s="49"/>
      <c r="N293" s="48"/>
      <c r="O293" s="29">
        <f>M290*$F$9</f>
        <v>786.50640000000078</v>
      </c>
      <c r="P293" s="139"/>
      <c r="Q293" s="215"/>
      <c r="R293" s="215"/>
      <c r="S293" s="76"/>
      <c r="T293" s="68" t="s">
        <v>37</v>
      </c>
      <c r="U293" s="7"/>
    </row>
    <row r="294" spans="1:21" ht="10.5" customHeight="1" x14ac:dyDescent="0.35">
      <c r="A294" s="275"/>
      <c r="B294" s="278"/>
      <c r="C294" s="2" t="s">
        <v>90</v>
      </c>
      <c r="D294" s="213"/>
      <c r="E294" s="49"/>
      <c r="F294" s="48"/>
      <c r="G294" s="220">
        <f>SUM(G292+G293)/G290</f>
        <v>7.2828792341678966E-2</v>
      </c>
      <c r="H294" s="139"/>
      <c r="I294" s="215"/>
      <c r="J294" s="215"/>
      <c r="L294" s="2" t="s">
        <v>90</v>
      </c>
      <c r="M294" s="49"/>
      <c r="N294" s="48"/>
      <c r="O294" s="220">
        <f>SUM(O292+O293)/O290</f>
        <v>7.282879234167898E-2</v>
      </c>
      <c r="P294" s="139"/>
      <c r="Q294" s="215"/>
      <c r="R294" s="215"/>
      <c r="S294" s="76"/>
      <c r="T294" s="69" t="s">
        <v>84</v>
      </c>
      <c r="U294" s="7"/>
    </row>
    <row r="295" spans="1:21" ht="10.5" customHeight="1" x14ac:dyDescent="0.35">
      <c r="A295" s="275"/>
      <c r="B295" s="278"/>
      <c r="C295" s="2" t="s">
        <v>99</v>
      </c>
      <c r="D295" s="213"/>
      <c r="E295" s="49"/>
      <c r="F295" s="240"/>
      <c r="G295" s="236">
        <f>G290/$D$17</f>
        <v>1280.6679877264053</v>
      </c>
      <c r="H295" s="57"/>
      <c r="I295" s="18"/>
      <c r="J295" s="127">
        <f>G295/G257-1</f>
        <v>-0.14146805275948349</v>
      </c>
      <c r="L295" s="2" t="s">
        <v>99</v>
      </c>
      <c r="M295" s="49"/>
      <c r="N295" s="240"/>
      <c r="O295" s="236">
        <f>O290/$D$17</f>
        <v>1063.4024067067512</v>
      </c>
      <c r="P295" s="57"/>
      <c r="Q295" s="18"/>
      <c r="R295" s="127">
        <f>O295/O257-1</f>
        <v>-0.14146805275948371</v>
      </c>
      <c r="S295" s="76"/>
      <c r="T295" s="70">
        <f>O295/G295-1</f>
        <v>-0.16965020059989933</v>
      </c>
      <c r="U295" s="7"/>
    </row>
    <row r="296" spans="1:21" ht="10.5" customHeight="1" x14ac:dyDescent="0.35">
      <c r="G296" s="34"/>
      <c r="N296" s="39"/>
      <c r="O296" s="210">
        <f>O295/G257-1</f>
        <v>-0.28711816983025928</v>
      </c>
      <c r="P296" s="57"/>
      <c r="T296" s="34"/>
    </row>
    <row r="297" spans="1:21" ht="10.5" customHeight="1" x14ac:dyDescent="0.35">
      <c r="O297" s="34"/>
    </row>
    <row r="298" spans="1:21" ht="10.5" customHeight="1" x14ac:dyDescent="0.35"/>
  </sheetData>
  <mergeCells count="37">
    <mergeCell ref="A210:A244"/>
    <mergeCell ref="B210:B215"/>
    <mergeCell ref="B217:B226"/>
    <mergeCell ref="B228:B233"/>
    <mergeCell ref="B235:B244"/>
    <mergeCell ref="A249:A295"/>
    <mergeCell ref="B249:B257"/>
    <mergeCell ref="B259:B271"/>
    <mergeCell ref="B273:B281"/>
    <mergeCell ref="B283:B295"/>
    <mergeCell ref="A136:A166"/>
    <mergeCell ref="B136:B140"/>
    <mergeCell ref="B142:B150"/>
    <mergeCell ref="B152:B156"/>
    <mergeCell ref="B158:B166"/>
    <mergeCell ref="A171:A205"/>
    <mergeCell ref="B171:B176"/>
    <mergeCell ref="B178:B187"/>
    <mergeCell ref="B189:B194"/>
    <mergeCell ref="B196:B205"/>
    <mergeCell ref="A62:A97"/>
    <mergeCell ref="B62:B67"/>
    <mergeCell ref="B69:B78"/>
    <mergeCell ref="B80:B85"/>
    <mergeCell ref="B87:B97"/>
    <mergeCell ref="A101:A131"/>
    <mergeCell ref="B101:B105"/>
    <mergeCell ref="B107:B115"/>
    <mergeCell ref="B117:B121"/>
    <mergeCell ref="B123:B131"/>
    <mergeCell ref="B1:F1"/>
    <mergeCell ref="A13:A20"/>
    <mergeCell ref="A27:A58"/>
    <mergeCell ref="B27:B31"/>
    <mergeCell ref="B33:B41"/>
    <mergeCell ref="B43:B47"/>
    <mergeCell ref="B49:B58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IbpWorksheetKeyString_GUI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19BE-6C8D-48CC-9A26-A2F9849E8896}">
  <sheetPr>
    <tabColor rgb="FF00B050"/>
  </sheetPr>
  <dimension ref="A1:V298"/>
  <sheetViews>
    <sheetView zoomScaleNormal="100" workbookViewId="0">
      <selection activeCell="J19" sqref="J19"/>
    </sheetView>
  </sheetViews>
  <sheetFormatPr defaultColWidth="8.7265625" defaultRowHeight="10.5" x14ac:dyDescent="0.35"/>
  <cols>
    <col min="1" max="1" width="4.54296875" style="2" customWidth="1"/>
    <col min="2" max="2" width="22.81640625" style="114" customWidth="1"/>
    <col min="3" max="3" width="10.6328125" style="2" customWidth="1"/>
    <col min="4" max="7" width="12.6328125" style="23" customWidth="1"/>
    <col min="8" max="8" width="4.6328125" style="23" customWidth="1"/>
    <col min="9" max="10" width="4.6328125" style="15" customWidth="1"/>
    <col min="11" max="11" width="0.81640625" style="3" customWidth="1"/>
    <col min="12" max="12" width="13.90625" style="15" customWidth="1"/>
    <col min="13" max="13" width="13.453125" style="23" bestFit="1" customWidth="1"/>
    <col min="14" max="15" width="12.54296875" style="23" customWidth="1"/>
    <col min="16" max="16" width="4.6328125" style="23" customWidth="1"/>
    <col min="17" max="18" width="4.6328125" style="15" customWidth="1"/>
    <col min="19" max="19" width="0.81640625" style="3" customWidth="1"/>
    <col min="20" max="20" width="31.7265625" style="23" customWidth="1"/>
    <col min="21" max="16384" width="8.7265625" style="2"/>
  </cols>
  <sheetData>
    <row r="1" spans="1:20" ht="20" customHeight="1" x14ac:dyDescent="0.35">
      <c r="B1" s="298" t="s">
        <v>102</v>
      </c>
      <c r="C1" s="299"/>
      <c r="D1" s="299"/>
      <c r="E1" s="299"/>
      <c r="F1" s="300"/>
      <c r="P1" s="57"/>
    </row>
    <row r="2" spans="1:20" ht="10.5" customHeight="1" x14ac:dyDescent="0.35">
      <c r="B2" s="186" t="s">
        <v>10</v>
      </c>
      <c r="C2" s="172" t="s">
        <v>86</v>
      </c>
      <c r="D2" s="172" t="s">
        <v>12</v>
      </c>
      <c r="E2" s="172" t="s">
        <v>92</v>
      </c>
      <c r="F2" s="172" t="s">
        <v>23</v>
      </c>
      <c r="J2" s="2"/>
      <c r="K2" s="2"/>
      <c r="L2" s="2"/>
      <c r="M2" s="2"/>
      <c r="N2" s="2"/>
      <c r="O2" s="2"/>
      <c r="P2" s="57"/>
    </row>
    <row r="3" spans="1:20" ht="10.5" customHeight="1" x14ac:dyDescent="0.35">
      <c r="B3" s="186" t="s">
        <v>8</v>
      </c>
      <c r="C3" s="242" t="s">
        <v>9</v>
      </c>
      <c r="D3" s="242" t="s">
        <v>9</v>
      </c>
      <c r="E3" s="71" t="s">
        <v>11</v>
      </c>
      <c r="F3" s="71" t="s">
        <v>11</v>
      </c>
      <c r="G3" s="2"/>
      <c r="H3" s="2"/>
      <c r="I3" s="2"/>
      <c r="J3" s="2"/>
      <c r="K3" s="2"/>
      <c r="L3" s="2"/>
      <c r="M3" s="2"/>
      <c r="N3" s="2"/>
      <c r="O3" s="2"/>
      <c r="P3" s="57"/>
    </row>
    <row r="4" spans="1:20" ht="10.5" customHeight="1" x14ac:dyDescent="0.35">
      <c r="B4" s="241" t="s">
        <v>0</v>
      </c>
      <c r="C4" s="243">
        <v>46296</v>
      </c>
      <c r="D4" s="243">
        <v>46296</v>
      </c>
      <c r="E4" s="243">
        <v>46296</v>
      </c>
      <c r="F4" s="243">
        <v>46296</v>
      </c>
      <c r="G4" s="7"/>
      <c r="H4" s="2"/>
      <c r="I4" s="2"/>
      <c r="J4" s="2"/>
      <c r="K4" s="2"/>
      <c r="L4" s="2"/>
      <c r="M4" s="2"/>
      <c r="N4" s="2"/>
      <c r="O4" s="2"/>
      <c r="P4" s="57"/>
    </row>
    <row r="5" spans="1:20" ht="10.5" customHeight="1" x14ac:dyDescent="0.35">
      <c r="B5" s="241" t="s">
        <v>1</v>
      </c>
      <c r="C5" s="243">
        <v>46512</v>
      </c>
      <c r="D5" s="243">
        <v>46512</v>
      </c>
      <c r="E5" s="243">
        <v>46512</v>
      </c>
      <c r="F5" s="243">
        <v>46512</v>
      </c>
      <c r="G5" s="7"/>
      <c r="H5" s="2"/>
      <c r="I5" s="2"/>
      <c r="J5" s="2"/>
      <c r="K5" s="2"/>
      <c r="L5" s="2"/>
      <c r="M5" s="2"/>
      <c r="N5" s="2"/>
      <c r="O5" s="2"/>
      <c r="P5" s="57"/>
    </row>
    <row r="6" spans="1:20" ht="10.5" customHeight="1" x14ac:dyDescent="0.35">
      <c r="B6" s="186" t="s">
        <v>2</v>
      </c>
      <c r="C6" s="41">
        <f>C5-C4</f>
        <v>216</v>
      </c>
      <c r="D6" s="41">
        <f>D5-D4</f>
        <v>216</v>
      </c>
      <c r="E6" s="34">
        <f>E5-E4</f>
        <v>216</v>
      </c>
      <c r="F6" s="34">
        <f>F5-F4</f>
        <v>216</v>
      </c>
      <c r="G6" s="2"/>
      <c r="H6" s="2"/>
      <c r="I6" s="2"/>
      <c r="J6" s="2"/>
      <c r="K6" s="2"/>
      <c r="L6" s="2"/>
      <c r="M6" s="2"/>
      <c r="N6" s="2"/>
      <c r="O6" s="2"/>
      <c r="P6" s="57"/>
    </row>
    <row r="7" spans="1:20" ht="10.5" customHeight="1" x14ac:dyDescent="0.35">
      <c r="B7" s="186" t="s">
        <v>3</v>
      </c>
      <c r="C7" s="39">
        <v>1.85</v>
      </c>
      <c r="D7" s="39">
        <v>1.45</v>
      </c>
      <c r="E7" s="23">
        <v>1.2</v>
      </c>
      <c r="F7" s="23">
        <v>0.7</v>
      </c>
      <c r="G7" s="2"/>
      <c r="H7" s="2"/>
      <c r="I7" s="2"/>
      <c r="J7" s="2"/>
      <c r="K7" s="2"/>
      <c r="L7" s="2"/>
      <c r="M7" s="2"/>
      <c r="N7" s="2"/>
      <c r="O7" s="2"/>
      <c r="P7" s="57"/>
    </row>
    <row r="8" spans="1:20" ht="10.5" customHeight="1" x14ac:dyDescent="0.35">
      <c r="B8" s="186" t="s">
        <v>4</v>
      </c>
      <c r="C8" s="167">
        <f>SUM(C7/30)*C6/100+1</f>
        <v>1.1332</v>
      </c>
      <c r="D8" s="167">
        <f>SUM(D7/30)*D6/100+1</f>
        <v>1.1044</v>
      </c>
      <c r="E8" s="37">
        <f>SUM(E7/30)*E6/100+1</f>
        <v>1.0864</v>
      </c>
      <c r="F8" s="37">
        <f>SUM(F7/30)*F6/100+1</f>
        <v>1.0504</v>
      </c>
      <c r="G8" s="2"/>
      <c r="H8" s="2"/>
      <c r="I8" s="2"/>
      <c r="J8" s="2"/>
      <c r="K8" s="2"/>
      <c r="L8" s="2"/>
      <c r="M8" s="2"/>
      <c r="N8" s="2"/>
      <c r="O8" s="2"/>
      <c r="P8" s="57"/>
    </row>
    <row r="9" spans="1:20" ht="10.5" customHeight="1" x14ac:dyDescent="0.35">
      <c r="B9" s="186" t="s">
        <v>13</v>
      </c>
      <c r="C9" s="167"/>
      <c r="D9" s="180">
        <f>SUM(C8-D8)</f>
        <v>2.8799999999999937E-2</v>
      </c>
      <c r="E9" s="37"/>
      <c r="F9" s="180">
        <f>SUM(E8-F8)</f>
        <v>3.6000000000000032E-2</v>
      </c>
      <c r="G9" s="92"/>
      <c r="H9" s="92"/>
      <c r="I9" s="92"/>
      <c r="J9" s="92"/>
      <c r="K9" s="2"/>
      <c r="L9" s="2"/>
      <c r="M9" s="2"/>
      <c r="N9" s="2"/>
      <c r="O9" s="2"/>
      <c r="P9" s="57"/>
    </row>
    <row r="10" spans="1:20" ht="10.5" customHeight="1" x14ac:dyDescent="0.35">
      <c r="B10" s="186" t="s">
        <v>68</v>
      </c>
      <c r="C10" s="39">
        <v>0.99070000000000003</v>
      </c>
      <c r="E10" s="23">
        <v>0.99070000000000003</v>
      </c>
      <c r="F10" s="23">
        <v>0.99070000000000003</v>
      </c>
      <c r="G10" s="92"/>
      <c r="H10" s="92"/>
      <c r="I10" s="92"/>
      <c r="J10" s="92"/>
      <c r="K10" s="2"/>
      <c r="L10" s="2"/>
      <c r="M10" s="2"/>
      <c r="N10" s="2"/>
      <c r="O10" s="2"/>
      <c r="P10" s="57"/>
    </row>
    <row r="11" spans="1:20" ht="10.5" customHeight="1" x14ac:dyDescent="0.35">
      <c r="B11" s="186" t="s">
        <v>6</v>
      </c>
      <c r="C11" s="52">
        <v>5.7</v>
      </c>
      <c r="D11" s="51"/>
      <c r="E11" s="185"/>
      <c r="F11" s="185"/>
      <c r="G11" s="185"/>
      <c r="H11" s="185"/>
      <c r="I11" s="185"/>
      <c r="J11" s="185"/>
      <c r="K11" s="7"/>
      <c r="L11" s="2"/>
      <c r="M11" s="2"/>
      <c r="N11" s="2"/>
      <c r="O11" s="2"/>
      <c r="P11" s="57"/>
    </row>
    <row r="12" spans="1:20" ht="10.5" customHeight="1" x14ac:dyDescent="0.35">
      <c r="A12" s="3"/>
      <c r="B12" s="179"/>
      <c r="C12" s="172" t="s">
        <v>64</v>
      </c>
      <c r="D12" s="172" t="s">
        <v>65</v>
      </c>
      <c r="E12" s="185"/>
      <c r="F12" s="185"/>
      <c r="G12" s="185"/>
      <c r="H12" s="185"/>
      <c r="I12" s="185"/>
      <c r="J12" s="185"/>
      <c r="K12" s="7"/>
      <c r="L12" s="2"/>
      <c r="M12" s="2"/>
      <c r="N12" s="2"/>
      <c r="O12" s="2"/>
      <c r="P12" s="57"/>
      <c r="Q12" s="16"/>
      <c r="R12" s="16"/>
      <c r="S12" s="6"/>
    </row>
    <row r="13" spans="1:20" ht="10.5" customHeight="1" x14ac:dyDescent="0.35">
      <c r="A13" s="301" t="s">
        <v>80</v>
      </c>
      <c r="B13" s="187" t="s">
        <v>45</v>
      </c>
      <c r="C13" s="143">
        <v>115</v>
      </c>
      <c r="D13" s="181"/>
      <c r="E13" s="185"/>
      <c r="F13" s="185"/>
      <c r="G13" s="185"/>
      <c r="H13" s="185"/>
      <c r="I13" s="185"/>
      <c r="J13" s="185"/>
      <c r="K13" s="7"/>
      <c r="L13" s="2"/>
      <c r="M13" s="2"/>
      <c r="N13" s="2"/>
      <c r="O13" s="2"/>
      <c r="P13" s="57"/>
      <c r="Q13" s="16"/>
      <c r="R13" s="16"/>
      <c r="S13" s="6"/>
    </row>
    <row r="14" spans="1:20" ht="10.5" customHeight="1" x14ac:dyDescent="0.35">
      <c r="A14" s="301"/>
      <c r="B14" s="188" t="s">
        <v>46</v>
      </c>
      <c r="C14" s="160"/>
      <c r="D14" s="182">
        <v>21</v>
      </c>
      <c r="E14" s="185"/>
      <c r="F14" s="185"/>
      <c r="G14" s="185"/>
      <c r="H14" s="185"/>
      <c r="I14" s="185"/>
      <c r="J14" s="92" t="s">
        <v>117</v>
      </c>
      <c r="K14" s="184"/>
      <c r="M14" s="92"/>
      <c r="N14" s="92"/>
      <c r="O14" s="92"/>
      <c r="P14" s="139"/>
      <c r="Q14" s="16"/>
      <c r="R14" s="16"/>
      <c r="S14" s="6"/>
    </row>
    <row r="15" spans="1:20" ht="10.5" customHeight="1" x14ac:dyDescent="0.35">
      <c r="A15" s="301"/>
      <c r="B15" s="189" t="s">
        <v>54</v>
      </c>
      <c r="C15" s="217">
        <f>G40</f>
        <v>4.5178397458524477E-2</v>
      </c>
      <c r="D15" s="217">
        <f>G56</f>
        <v>5.2828792341678962E-2</v>
      </c>
      <c r="E15" s="185"/>
      <c r="F15" s="185"/>
      <c r="G15" s="185"/>
      <c r="H15" s="185"/>
      <c r="I15" s="185"/>
      <c r="J15" s="2" t="s">
        <v>116</v>
      </c>
      <c r="K15" s="7"/>
      <c r="M15" s="2"/>
      <c r="N15" s="2"/>
      <c r="O15" s="2"/>
      <c r="Q15" s="16"/>
    </row>
    <row r="16" spans="1:20" s="92" customFormat="1" ht="10.5" customHeight="1" x14ac:dyDescent="0.35">
      <c r="A16" s="301"/>
      <c r="B16" s="190" t="s">
        <v>78</v>
      </c>
      <c r="C16" s="175">
        <v>0.02</v>
      </c>
      <c r="D16" s="175">
        <v>0.02</v>
      </c>
      <c r="E16" s="185"/>
      <c r="F16" s="185"/>
      <c r="G16" s="185"/>
      <c r="H16" s="185"/>
      <c r="I16" s="185"/>
      <c r="J16" s="2" t="s">
        <v>119</v>
      </c>
      <c r="K16" s="7"/>
      <c r="M16" s="2"/>
      <c r="N16" s="2"/>
      <c r="O16" s="2"/>
      <c r="P16" s="23"/>
      <c r="Q16" s="59"/>
      <c r="R16" s="19"/>
      <c r="S16" s="8"/>
      <c r="T16" s="58"/>
    </row>
    <row r="17" spans="1:21" s="92" customFormat="1" ht="10.5" customHeight="1" x14ac:dyDescent="0.35">
      <c r="A17" s="301"/>
      <c r="B17" s="191" t="s">
        <v>70</v>
      </c>
      <c r="C17" s="176">
        <f>SUM(C13*C15)+C13</f>
        <v>120.19551570773031</v>
      </c>
      <c r="D17" s="183">
        <f>SUM(D14*D15)+D14</f>
        <v>22.10940463917526</v>
      </c>
      <c r="E17" s="185"/>
      <c r="F17" s="185"/>
      <c r="G17" s="185"/>
      <c r="H17" s="185"/>
      <c r="I17" s="185"/>
      <c r="J17" s="2" t="s">
        <v>118</v>
      </c>
      <c r="K17" s="7"/>
      <c r="M17" s="2"/>
      <c r="N17" s="2"/>
      <c r="O17" s="2"/>
      <c r="P17" s="23"/>
      <c r="Q17" s="59"/>
      <c r="R17" s="19"/>
      <c r="S17" s="8"/>
      <c r="T17" s="58"/>
    </row>
    <row r="18" spans="1:21" s="92" customFormat="1" ht="10.5" customHeight="1" x14ac:dyDescent="0.35">
      <c r="A18" s="301"/>
      <c r="B18" s="191" t="s">
        <v>85</v>
      </c>
      <c r="C18" s="217">
        <f>$G$77</f>
        <v>5.5178397458524472E-2</v>
      </c>
      <c r="D18" s="217">
        <f>G95</f>
        <v>6.2828792341678957E-2</v>
      </c>
      <c r="E18" s="185"/>
      <c r="F18" s="185"/>
      <c r="G18" s="185"/>
      <c r="H18" s="185"/>
      <c r="I18" s="185"/>
      <c r="J18" s="185"/>
      <c r="K18" s="7"/>
      <c r="L18" s="2"/>
      <c r="M18" s="2"/>
      <c r="N18" s="2"/>
      <c r="O18" s="2"/>
      <c r="P18" s="23"/>
      <c r="Q18" s="59"/>
      <c r="R18" s="19"/>
      <c r="S18" s="8"/>
      <c r="T18" s="58"/>
    </row>
    <row r="19" spans="1:21" s="92" customFormat="1" ht="10.5" customHeight="1" x14ac:dyDescent="0.35">
      <c r="A19" s="301"/>
      <c r="B19" s="190" t="s">
        <v>78</v>
      </c>
      <c r="C19" s="175">
        <v>0.03</v>
      </c>
      <c r="D19" s="175">
        <v>0.03</v>
      </c>
      <c r="E19" s="185"/>
      <c r="F19" s="185"/>
      <c r="G19" s="185"/>
      <c r="H19" s="185"/>
      <c r="I19" s="185"/>
      <c r="J19" s="185"/>
      <c r="K19" s="7"/>
      <c r="L19" s="2"/>
      <c r="M19" s="2"/>
      <c r="N19" s="2"/>
      <c r="O19" s="2"/>
      <c r="P19" s="23"/>
      <c r="Q19" s="59"/>
      <c r="R19" s="19"/>
      <c r="S19" s="8"/>
      <c r="T19" s="58"/>
    </row>
    <row r="20" spans="1:21" s="92" customFormat="1" ht="10.5" customHeight="1" x14ac:dyDescent="0.35">
      <c r="A20" s="301"/>
      <c r="B20" s="191" t="s">
        <v>85</v>
      </c>
      <c r="C20" s="176">
        <f>SUM(C13*C18)+C13</f>
        <v>121.34551570773031</v>
      </c>
      <c r="D20" s="183">
        <f>SUM(D14*D18)+D14</f>
        <v>22.319404639175257</v>
      </c>
      <c r="E20" s="185"/>
      <c r="F20" s="185"/>
      <c r="G20" s="185"/>
      <c r="H20" s="185"/>
      <c r="I20" s="185"/>
      <c r="J20" s="185"/>
      <c r="K20" s="7"/>
      <c r="L20" s="2"/>
      <c r="M20" s="2"/>
      <c r="N20" s="2"/>
      <c r="O20" s="2"/>
      <c r="P20" s="23"/>
      <c r="Q20" s="59"/>
      <c r="R20" s="19"/>
      <c r="S20" s="8"/>
      <c r="T20" s="58"/>
    </row>
    <row r="21" spans="1:21" s="92" customFormat="1" ht="10.5" customHeight="1" x14ac:dyDescent="0.35">
      <c r="A21" s="2"/>
      <c r="B21" s="192" t="s">
        <v>21</v>
      </c>
      <c r="C21" s="81">
        <v>1.04</v>
      </c>
      <c r="D21" s="81">
        <v>1.04</v>
      </c>
      <c r="E21" s="34"/>
      <c r="F21" s="83"/>
      <c r="G21" s="83"/>
      <c r="H21" s="34"/>
      <c r="I21" s="17"/>
      <c r="J21" s="17"/>
      <c r="K21" s="3"/>
      <c r="L21" s="15"/>
      <c r="M21" s="23"/>
      <c r="N21" s="2"/>
      <c r="O21" s="23"/>
      <c r="P21" s="23"/>
      <c r="Q21" s="59"/>
      <c r="R21" s="19"/>
      <c r="S21" s="8"/>
      <c r="T21" s="58"/>
    </row>
    <row r="22" spans="1:21" s="8" customFormat="1" ht="10.5" customHeight="1" x14ac:dyDescent="0.35">
      <c r="A22" s="3"/>
      <c r="B22" s="193"/>
      <c r="C22" s="177"/>
      <c r="D22" s="178"/>
      <c r="E22" s="17"/>
      <c r="F22" s="12"/>
      <c r="G22" s="12"/>
      <c r="H22" s="17"/>
      <c r="I22" s="17"/>
      <c r="J22" s="17"/>
      <c r="K22" s="12"/>
      <c r="L22" s="17"/>
      <c r="M22" s="17"/>
      <c r="N22" s="12"/>
      <c r="O22" s="17"/>
      <c r="P22" s="17"/>
      <c r="Q22" s="59"/>
      <c r="R22" s="19"/>
      <c r="T22" s="19"/>
    </row>
    <row r="23" spans="1:21" s="8" customFormat="1" ht="10.5" customHeight="1" x14ac:dyDescent="0.35">
      <c r="A23" s="3"/>
      <c r="B23" s="193"/>
      <c r="C23" s="177"/>
      <c r="D23" s="178"/>
      <c r="E23" s="17"/>
      <c r="F23" s="12"/>
      <c r="G23" s="12"/>
      <c r="H23" s="17"/>
      <c r="I23" s="17"/>
      <c r="J23" s="17"/>
      <c r="K23" s="12"/>
      <c r="L23" s="17"/>
      <c r="M23" s="17"/>
      <c r="N23" s="12"/>
      <c r="O23" s="17"/>
      <c r="P23" s="17"/>
      <c r="Q23" s="59"/>
      <c r="R23" s="19"/>
      <c r="T23" s="19"/>
    </row>
    <row r="24" spans="1:21" s="3" customFormat="1" ht="10.5" customHeight="1" x14ac:dyDescent="0.35">
      <c r="B24" s="194"/>
      <c r="C24" s="15"/>
      <c r="D24" s="17"/>
      <c r="E24" s="17"/>
      <c r="F24" s="17"/>
      <c r="G24" s="17"/>
      <c r="H24" s="17"/>
      <c r="I24" s="17"/>
      <c r="J24" s="17"/>
      <c r="K24" s="12"/>
      <c r="L24" s="17"/>
      <c r="M24" s="17"/>
      <c r="N24" s="17"/>
      <c r="O24" s="17"/>
      <c r="P24" s="17"/>
      <c r="Q24" s="15"/>
      <c r="R24" s="15"/>
      <c r="T24" s="15"/>
    </row>
    <row r="25" spans="1:21" s="83" customFormat="1" ht="10.5" customHeight="1" x14ac:dyDescent="0.35">
      <c r="A25" s="2"/>
      <c r="B25" s="195"/>
      <c r="C25" s="2"/>
      <c r="D25" s="23"/>
      <c r="E25" s="244" t="s">
        <v>103</v>
      </c>
      <c r="F25" s="57"/>
      <c r="G25" s="39"/>
      <c r="H25" s="15"/>
      <c r="I25" s="15"/>
      <c r="J25" s="15"/>
      <c r="K25" s="3"/>
      <c r="L25" s="15"/>
      <c r="M25" s="244" t="s">
        <v>104</v>
      </c>
      <c r="N25" s="39"/>
      <c r="P25" s="34"/>
      <c r="Q25" s="17"/>
      <c r="R25" s="17"/>
      <c r="S25" s="12"/>
      <c r="T25" s="34"/>
    </row>
    <row r="26" spans="1:21" ht="10.5" customHeight="1" x14ac:dyDescent="0.35">
      <c r="E26" s="30">
        <f>$C$4</f>
        <v>46296</v>
      </c>
      <c r="F26" s="24" t="s">
        <v>20</v>
      </c>
      <c r="G26" s="30">
        <f>$C$5</f>
        <v>46512</v>
      </c>
      <c r="M26" s="30">
        <f>$C$4</f>
        <v>46296</v>
      </c>
      <c r="N26" s="24" t="s">
        <v>20</v>
      </c>
      <c r="O26" s="30">
        <f>$C$5</f>
        <v>46512</v>
      </c>
      <c r="Q26" s="170"/>
      <c r="R26" s="168"/>
    </row>
    <row r="27" spans="1:21" ht="10.5" customHeight="1" x14ac:dyDescent="0.35">
      <c r="A27" s="294" t="s">
        <v>108</v>
      </c>
      <c r="B27" s="297" t="s">
        <v>100</v>
      </c>
      <c r="C27" s="24" t="s">
        <v>17</v>
      </c>
      <c r="D27" s="98" t="s">
        <v>44</v>
      </c>
      <c r="E27" s="24" t="s">
        <v>69</v>
      </c>
      <c r="F27" s="25">
        <v>0.04</v>
      </c>
      <c r="G27" s="24" t="s">
        <v>19</v>
      </c>
      <c r="K27" s="8"/>
      <c r="L27" s="24" t="s">
        <v>17</v>
      </c>
      <c r="M27" s="249" t="s">
        <v>111</v>
      </c>
      <c r="N27" s="25">
        <v>0.04</v>
      </c>
      <c r="O27" s="24" t="s">
        <v>19</v>
      </c>
      <c r="S27" s="8"/>
    </row>
    <row r="28" spans="1:21" ht="10.5" customHeight="1" x14ac:dyDescent="0.35">
      <c r="A28" s="295"/>
      <c r="B28" s="297"/>
      <c r="C28" s="5" t="s">
        <v>66</v>
      </c>
      <c r="D28" s="82">
        <v>100</v>
      </c>
      <c r="E28" s="166">
        <f>33.6*$C$11</f>
        <v>191.52</v>
      </c>
      <c r="F28" s="26">
        <f>E28/$C$10/$C$21</f>
        <v>185.88255390516417</v>
      </c>
      <c r="G28" s="31">
        <f>E28/$C$10*$C$8</f>
        <v>219.06779448874534</v>
      </c>
      <c r="K28" s="9"/>
      <c r="L28" s="5" t="s">
        <v>66</v>
      </c>
      <c r="M28" s="163">
        <f>31.16*$C$11</f>
        <v>177.61199999999999</v>
      </c>
      <c r="N28" s="94">
        <f>M28/$C$10/$C$21</f>
        <v>172.38393987157485</v>
      </c>
      <c r="O28" s="31">
        <f>M28/$C$10*$C$8</f>
        <v>203.15929988896738</v>
      </c>
      <c r="Q28" s="169"/>
      <c r="S28" s="9"/>
      <c r="T28" s="58"/>
    </row>
    <row r="29" spans="1:21" ht="10.5" customHeight="1" x14ac:dyDescent="0.35">
      <c r="A29" s="295"/>
      <c r="B29" s="297"/>
      <c r="C29" s="5" t="s">
        <v>67</v>
      </c>
      <c r="D29" s="82">
        <v>200</v>
      </c>
      <c r="E29" s="166">
        <f>42.7*$C$11</f>
        <v>243.39000000000001</v>
      </c>
      <c r="F29" s="26">
        <f>E29/$C$10/$C$21</f>
        <v>236.22574558781281</v>
      </c>
      <c r="G29" s="31">
        <f>E29/$C$10*$C$8</f>
        <v>278.39865549611386</v>
      </c>
      <c r="K29" s="9"/>
      <c r="L29" s="5" t="s">
        <v>67</v>
      </c>
      <c r="M29" s="163">
        <f>33.33*$C$11</f>
        <v>189.98099999999999</v>
      </c>
      <c r="N29" s="94">
        <f>M29/$C$10/$C$21</f>
        <v>184.38885481128338</v>
      </c>
      <c r="O29" s="31">
        <f>M29/$C$10*$C$8</f>
        <v>217.30742828303218</v>
      </c>
      <c r="Q29" s="168"/>
      <c r="S29" s="65"/>
      <c r="T29" s="68" t="s">
        <v>37</v>
      </c>
      <c r="U29" s="7"/>
    </row>
    <row r="30" spans="1:21" ht="10.5" customHeight="1" x14ac:dyDescent="0.35">
      <c r="A30" s="295"/>
      <c r="B30" s="297"/>
      <c r="C30" s="4" t="s">
        <v>94</v>
      </c>
      <c r="D30" s="34"/>
      <c r="E30" s="163">
        <f>SUMPRODUCT(E28:E29,D28:D29)</f>
        <v>67830</v>
      </c>
      <c r="F30" s="163">
        <f>SUMPRODUCT(F28:F29,D28:D29)</f>
        <v>65833.40450807898</v>
      </c>
      <c r="G30" s="164">
        <f>SUMPRODUCT(G28:G29,D28:D29)</f>
        <v>77586.510548097314</v>
      </c>
      <c r="K30" s="9"/>
      <c r="L30" s="4" t="s">
        <v>94</v>
      </c>
      <c r="M30" s="163">
        <f>SUMPRODUCT(M28:M29,D28:D29)</f>
        <v>55757.399999999994</v>
      </c>
      <c r="N30" s="163">
        <f>SUMPRODUCT(N28:N29,D28:D29)</f>
        <v>54116.16494941416</v>
      </c>
      <c r="O30" s="164">
        <f>SUMPRODUCT(O28:O29,D28:D29)</f>
        <v>63777.415645503177</v>
      </c>
      <c r="S30" s="65"/>
      <c r="T30" s="69" t="s">
        <v>83</v>
      </c>
      <c r="U30" s="7"/>
    </row>
    <row r="31" spans="1:21" ht="10.5" customHeight="1" x14ac:dyDescent="0.35">
      <c r="A31" s="295"/>
      <c r="B31" s="297"/>
      <c r="C31" s="4" t="s">
        <v>93</v>
      </c>
      <c r="F31" s="28"/>
      <c r="G31" s="203">
        <f>G30/$C$13</f>
        <v>674.66530911388963</v>
      </c>
      <c r="H31" s="57"/>
      <c r="I31" s="16"/>
      <c r="J31" s="16"/>
      <c r="K31" s="10"/>
      <c r="L31" s="4" t="s">
        <v>93</v>
      </c>
      <c r="M31" s="2"/>
      <c r="N31" s="28"/>
      <c r="O31" s="86">
        <f>O30/$C$13</f>
        <v>554.58622300437548</v>
      </c>
      <c r="P31" s="57"/>
      <c r="Q31" s="16"/>
      <c r="R31" s="16"/>
      <c r="S31" s="66"/>
      <c r="T31" s="70">
        <f>O31/G31-1</f>
        <v>-0.17798319327731094</v>
      </c>
      <c r="U31" s="7"/>
    </row>
    <row r="32" spans="1:21" ht="10.5" customHeight="1" x14ac:dyDescent="0.35">
      <c r="A32" s="295"/>
      <c r="B32" s="267"/>
      <c r="C32" s="92"/>
      <c r="D32" s="58"/>
      <c r="E32" s="58"/>
      <c r="F32" s="58"/>
      <c r="G32" s="90"/>
      <c r="K32" s="8"/>
      <c r="L32" s="19"/>
      <c r="O32" s="34"/>
      <c r="S32" s="8"/>
      <c r="T32" s="67"/>
    </row>
    <row r="33" spans="1:21" ht="10.5" customHeight="1" x14ac:dyDescent="0.35">
      <c r="A33" s="295"/>
      <c r="B33" s="286" t="s">
        <v>12</v>
      </c>
      <c r="C33" s="24" t="s">
        <v>17</v>
      </c>
      <c r="D33" s="24" t="s">
        <v>16</v>
      </c>
      <c r="E33" s="24" t="s">
        <v>18</v>
      </c>
      <c r="F33" s="24" t="s">
        <v>21</v>
      </c>
      <c r="G33" s="89" t="s">
        <v>19</v>
      </c>
      <c r="K33" s="8"/>
      <c r="L33" s="24" t="s">
        <v>17</v>
      </c>
      <c r="M33" s="249" t="s">
        <v>111</v>
      </c>
      <c r="N33" s="24" t="s">
        <v>21</v>
      </c>
      <c r="O33" s="24" t="s">
        <v>19</v>
      </c>
      <c r="S33" s="8"/>
      <c r="T33" s="22"/>
    </row>
    <row r="34" spans="1:21" ht="10.5" customHeight="1" x14ac:dyDescent="0.35">
      <c r="A34" s="295"/>
      <c r="B34" s="287"/>
      <c r="C34" s="5" t="s">
        <v>66</v>
      </c>
      <c r="D34" s="84">
        <f>D28</f>
        <v>100</v>
      </c>
      <c r="E34" s="166">
        <f>33.6*$C$11</f>
        <v>191.52</v>
      </c>
      <c r="F34" s="26">
        <f>E34/$C$10/$C$21</f>
        <v>185.88255390516417</v>
      </c>
      <c r="G34" s="31">
        <f>E34/$C$10*$C$8</f>
        <v>219.06779448874534</v>
      </c>
      <c r="K34" s="9"/>
      <c r="L34" s="5" t="s">
        <v>66</v>
      </c>
      <c r="M34" s="163">
        <f>31.16*$C$11</f>
        <v>177.61199999999999</v>
      </c>
      <c r="N34" s="94">
        <f>M34/$C$10/$C$21</f>
        <v>172.38393987157485</v>
      </c>
      <c r="O34" s="31">
        <f>M34/$C$10*$C$8</f>
        <v>203.15929988896738</v>
      </c>
      <c r="P34" s="58"/>
      <c r="Q34" s="19"/>
      <c r="S34" s="9"/>
      <c r="T34" s="71"/>
    </row>
    <row r="35" spans="1:21" ht="10.5" customHeight="1" x14ac:dyDescent="0.35">
      <c r="A35" s="295"/>
      <c r="B35" s="287"/>
      <c r="C35" s="5" t="s">
        <v>67</v>
      </c>
      <c r="D35" s="84">
        <f>D29</f>
        <v>200</v>
      </c>
      <c r="E35" s="166">
        <f>42.7*$C$11</f>
        <v>243.39000000000001</v>
      </c>
      <c r="F35" s="26">
        <f>E35/$C$10/$C$21</f>
        <v>236.22574558781281</v>
      </c>
      <c r="G35" s="31">
        <f>E35/$C$10*$C$8</f>
        <v>278.39865549611386</v>
      </c>
      <c r="K35" s="9"/>
      <c r="L35" s="5" t="s">
        <v>67</v>
      </c>
      <c r="M35" s="163">
        <f>33.33*$C$11</f>
        <v>189.98099999999999</v>
      </c>
      <c r="N35" s="94">
        <f>M35/$C$10/$C$21</f>
        <v>184.38885481128338</v>
      </c>
      <c r="O35" s="55">
        <f>M35/$C$10*$C$8</f>
        <v>217.30742828303218</v>
      </c>
      <c r="R35" s="16"/>
      <c r="S35" s="65"/>
      <c r="T35" s="2"/>
      <c r="U35" s="7"/>
    </row>
    <row r="36" spans="1:21" ht="10.5" customHeight="1" x14ac:dyDescent="0.35">
      <c r="A36" s="295"/>
      <c r="B36" s="287"/>
      <c r="C36" s="4" t="s">
        <v>52</v>
      </c>
      <c r="E36" s="165">
        <f>SUMPRODUCT(E34:E35,D34:D35)</f>
        <v>67830</v>
      </c>
      <c r="F36" s="163">
        <f>SUMPRODUCT(F34:F35,D34:D35)</f>
        <v>65833.40450807898</v>
      </c>
      <c r="G36" s="165">
        <f>SUMPRODUCT(G34:G35,D34:D35)</f>
        <v>77586.510548097314</v>
      </c>
      <c r="H36" s="58"/>
      <c r="I36" s="19"/>
      <c r="J36" s="19"/>
      <c r="K36" s="9"/>
      <c r="L36" s="4" t="s">
        <v>52</v>
      </c>
      <c r="M36" s="164">
        <f>SUMPRODUCT(M34:M35,D34:D35)</f>
        <v>55757.399999999994</v>
      </c>
      <c r="N36" s="164">
        <f>SUMPRODUCT(N34:N35,D34:D35)</f>
        <v>54116.16494941416</v>
      </c>
      <c r="O36" s="171">
        <f>SUMPRODUCT(O34:O35,D34:D35)</f>
        <v>63777.415645503177</v>
      </c>
      <c r="R36" s="59"/>
      <c r="S36" s="65"/>
      <c r="T36" s="2"/>
      <c r="U36" s="7"/>
    </row>
    <row r="37" spans="1:21" ht="10.5" customHeight="1" x14ac:dyDescent="0.35">
      <c r="A37" s="295"/>
      <c r="B37" s="287"/>
      <c r="C37" s="4" t="s">
        <v>97</v>
      </c>
      <c r="E37" s="165"/>
      <c r="F37" s="214"/>
      <c r="G37" s="236">
        <f>G36/$C$13</f>
        <v>674.66530911388963</v>
      </c>
      <c r="H37" s="57"/>
      <c r="I37" s="215"/>
      <c r="J37" s="215"/>
      <c r="K37" s="207"/>
      <c r="L37" s="4" t="s">
        <v>97</v>
      </c>
      <c r="M37" s="4"/>
      <c r="N37" s="171"/>
      <c r="O37" s="236">
        <f>O36/$C$13</f>
        <v>554.58622300437548</v>
      </c>
      <c r="P37" s="57"/>
      <c r="R37" s="215"/>
      <c r="S37" s="207"/>
      <c r="T37" s="2"/>
      <c r="U37" s="7"/>
    </row>
    <row r="38" spans="1:21" ht="10.5" customHeight="1" x14ac:dyDescent="0.35">
      <c r="A38" s="295"/>
      <c r="B38" s="287"/>
      <c r="C38" s="2" t="s">
        <v>87</v>
      </c>
      <c r="E38" s="165"/>
      <c r="F38" s="214"/>
      <c r="G38" s="221">
        <f>G36*$C$16</f>
        <v>1551.7302109619463</v>
      </c>
      <c r="I38" s="215"/>
      <c r="J38" s="215"/>
      <c r="K38" s="207"/>
      <c r="L38" s="2" t="s">
        <v>87</v>
      </c>
      <c r="M38" s="4"/>
      <c r="N38" s="171"/>
      <c r="O38" s="224">
        <f>O36*$C$16</f>
        <v>1275.5483129100635</v>
      </c>
      <c r="R38" s="215"/>
      <c r="S38" s="207"/>
      <c r="T38" s="92"/>
      <c r="U38" s="7"/>
    </row>
    <row r="39" spans="1:21" ht="10.5" customHeight="1" x14ac:dyDescent="0.35">
      <c r="A39" s="295"/>
      <c r="B39" s="287"/>
      <c r="C39" s="2" t="s">
        <v>88</v>
      </c>
      <c r="E39" s="165"/>
      <c r="F39" s="214"/>
      <c r="G39" s="163">
        <f>E36*$D$9</f>
        <v>1953.5039999999958</v>
      </c>
      <c r="I39" s="215"/>
      <c r="J39" s="215"/>
      <c r="K39" s="207"/>
      <c r="L39" s="2" t="s">
        <v>88</v>
      </c>
      <c r="M39" s="4"/>
      <c r="N39" s="171"/>
      <c r="O39" s="214">
        <f>M36*$D$9</f>
        <v>1605.8131199999964</v>
      </c>
      <c r="R39" s="215"/>
      <c r="S39" s="207"/>
      <c r="T39" s="68" t="s">
        <v>37</v>
      </c>
      <c r="U39" s="7"/>
    </row>
    <row r="40" spans="1:21" ht="10.5" customHeight="1" x14ac:dyDescent="0.35">
      <c r="A40" s="295"/>
      <c r="B40" s="287"/>
      <c r="C40" s="2" t="s">
        <v>90</v>
      </c>
      <c r="E40" s="165"/>
      <c r="F40" s="214"/>
      <c r="G40" s="220">
        <f>SUM(G38+G39)/G36</f>
        <v>4.5178397458524477E-2</v>
      </c>
      <c r="I40" s="215"/>
      <c r="J40" s="215"/>
      <c r="K40" s="207"/>
      <c r="L40" s="2" t="s">
        <v>90</v>
      </c>
      <c r="M40" s="4"/>
      <c r="N40" s="171"/>
      <c r="O40" s="225">
        <f>SUM(O38+O39)/O36</f>
        <v>4.5178397458524477E-2</v>
      </c>
      <c r="R40" s="215"/>
      <c r="S40" s="207"/>
      <c r="T40" s="69" t="s">
        <v>81</v>
      </c>
      <c r="U40" s="7"/>
    </row>
    <row r="41" spans="1:21" ht="10.5" customHeight="1" x14ac:dyDescent="0.35">
      <c r="A41" s="295"/>
      <c r="B41" s="288"/>
      <c r="C41" s="2" t="s">
        <v>98</v>
      </c>
      <c r="F41" s="28"/>
      <c r="G41" s="236">
        <f>G36/$C$17</f>
        <v>645.5025388530978</v>
      </c>
      <c r="H41" s="219">
        <f>G41/G31-1</f>
        <v>-4.322553696898157E-2</v>
      </c>
      <c r="I41" s="18"/>
      <c r="J41" s="18"/>
      <c r="K41" s="11"/>
      <c r="L41" s="2" t="s">
        <v>98</v>
      </c>
      <c r="M41" s="4"/>
      <c r="N41" s="5"/>
      <c r="O41" s="86">
        <f>O36/$C$17</f>
        <v>530.61393571941198</v>
      </c>
      <c r="P41" s="219">
        <f>O41/O31-1</f>
        <v>-4.322553696898157E-2</v>
      </c>
      <c r="Q41" s="18"/>
      <c r="R41" s="18"/>
      <c r="S41" s="11"/>
      <c r="T41" s="70">
        <f>O41/G41-1</f>
        <v>-0.17798319327731094</v>
      </c>
      <c r="U41" s="7"/>
    </row>
    <row r="42" spans="1:21" ht="10.5" customHeight="1" x14ac:dyDescent="0.35">
      <c r="A42" s="295"/>
      <c r="B42" s="266"/>
      <c r="G42" s="108"/>
      <c r="H42" s="109"/>
      <c r="I42" s="17"/>
      <c r="J42" s="17"/>
      <c r="K42" s="9"/>
      <c r="L42" s="111"/>
      <c r="O42" s="110"/>
      <c r="P42" s="109"/>
      <c r="Q42" s="17"/>
      <c r="R42" s="17"/>
      <c r="S42" s="9"/>
      <c r="T42" s="67"/>
    </row>
    <row r="43" spans="1:21" ht="10.5" customHeight="1" x14ac:dyDescent="0.35">
      <c r="A43" s="295"/>
      <c r="B43" s="279" t="s">
        <v>92</v>
      </c>
      <c r="C43" s="24" t="s">
        <v>17</v>
      </c>
      <c r="D43" s="24" t="s">
        <v>16</v>
      </c>
      <c r="E43" s="24" t="s">
        <v>18</v>
      </c>
      <c r="F43" s="24" t="s">
        <v>21</v>
      </c>
      <c r="G43" s="89" t="s">
        <v>19</v>
      </c>
      <c r="K43" s="8"/>
      <c r="L43" s="24" t="s">
        <v>17</v>
      </c>
      <c r="M43" s="249" t="s">
        <v>111</v>
      </c>
      <c r="N43" s="24" t="s">
        <v>21</v>
      </c>
      <c r="O43" s="24" t="s">
        <v>19</v>
      </c>
      <c r="S43" s="8"/>
      <c r="T43" s="22"/>
    </row>
    <row r="44" spans="1:21" ht="10.5" customHeight="1" x14ac:dyDescent="0.35">
      <c r="A44" s="295"/>
      <c r="B44" s="279"/>
      <c r="C44" s="5" t="s">
        <v>66</v>
      </c>
      <c r="D44" s="84">
        <f>D28</f>
        <v>100</v>
      </c>
      <c r="E44" s="49">
        <v>33.6</v>
      </c>
      <c r="F44" s="50">
        <f>E44/$E$10/$D$21</f>
        <v>32.610974369327046</v>
      </c>
      <c r="G44" s="50">
        <f>E44/$E$10*$E$8</f>
        <v>36.845705057030386</v>
      </c>
      <c r="K44" s="9"/>
      <c r="L44" s="5" t="s">
        <v>66</v>
      </c>
      <c r="M44" s="29">
        <v>31.16</v>
      </c>
      <c r="N44" s="50">
        <f>M44/$E$10/$D$21</f>
        <v>30.242796468697346</v>
      </c>
      <c r="O44" s="50">
        <f>M44/$E$10*$E$8</f>
        <v>34.17000504693651</v>
      </c>
      <c r="S44" s="9"/>
      <c r="T44" s="71"/>
    </row>
    <row r="45" spans="1:21" ht="10.5" customHeight="1" x14ac:dyDescent="0.35">
      <c r="A45" s="295"/>
      <c r="B45" s="279"/>
      <c r="C45" s="5" t="s">
        <v>67</v>
      </c>
      <c r="D45" s="84">
        <f>D29</f>
        <v>200</v>
      </c>
      <c r="E45" s="49">
        <v>42.7</v>
      </c>
      <c r="F45" s="50">
        <f>E45/$E$10/$D$21</f>
        <v>41.443113261019789</v>
      </c>
      <c r="G45" s="50">
        <f>E45/$E$10*$E$8</f>
        <v>46.82475017664278</v>
      </c>
      <c r="K45" s="9"/>
      <c r="L45" s="5" t="s">
        <v>67</v>
      </c>
      <c r="M45" s="50">
        <v>33.33</v>
      </c>
      <c r="N45" s="50">
        <f>M45/$E$10/$D$21</f>
        <v>32.348921896716377</v>
      </c>
      <c r="O45" s="50">
        <f>M45/$E$10*$E$8</f>
        <v>36.549623498536384</v>
      </c>
      <c r="S45" s="65"/>
      <c r="T45" s="68" t="s">
        <v>37</v>
      </c>
      <c r="U45" s="7"/>
    </row>
    <row r="46" spans="1:21" ht="10.5" customHeight="1" x14ac:dyDescent="0.35">
      <c r="A46" s="295"/>
      <c r="B46" s="279"/>
      <c r="C46" s="4" t="s">
        <v>95</v>
      </c>
      <c r="E46" s="132">
        <f>SUMPRODUCT(E44:E45,D44:D45)</f>
        <v>11900</v>
      </c>
      <c r="F46" s="132">
        <f>SUMPRODUCT(F44:F45,D44:D45)</f>
        <v>11549.720089136663</v>
      </c>
      <c r="G46" s="134">
        <f>SUMPRODUCT(G44:G45,D44:D45)</f>
        <v>13049.520541031596</v>
      </c>
      <c r="H46" s="58"/>
      <c r="I46" s="19"/>
      <c r="J46" s="19"/>
      <c r="K46" s="9"/>
      <c r="L46" s="4" t="s">
        <v>95</v>
      </c>
      <c r="M46" s="132">
        <f>SUMPRODUCT(M44:M45,D44:D45)</f>
        <v>9782</v>
      </c>
      <c r="N46" s="132">
        <f>SUMPRODUCT(N44:N45,D44:D45)</f>
        <v>9494.0640262130091</v>
      </c>
      <c r="O46" s="133">
        <f>SUMPRODUCT(O44:O45,D44:D45)</f>
        <v>10726.925204400928</v>
      </c>
      <c r="P46" s="58"/>
      <c r="Q46" s="19"/>
      <c r="R46" s="19"/>
      <c r="S46" s="65"/>
      <c r="T46" s="69" t="s">
        <v>82</v>
      </c>
      <c r="U46" s="7"/>
    </row>
    <row r="47" spans="1:21" s="92" customFormat="1" ht="10.5" customHeight="1" x14ac:dyDescent="0.35">
      <c r="A47" s="295"/>
      <c r="B47" s="279"/>
      <c r="C47" s="2" t="s">
        <v>96</v>
      </c>
      <c r="D47" s="58"/>
      <c r="E47" s="58"/>
      <c r="F47" s="204"/>
      <c r="G47" s="236">
        <f>G46/$D$14</f>
        <v>621.40574004912355</v>
      </c>
      <c r="H47" s="103"/>
      <c r="I47" s="205">
        <f>G47/G31-1</f>
        <v>-7.8942207855206892E-2</v>
      </c>
      <c r="J47" s="59"/>
      <c r="K47" s="206"/>
      <c r="L47" s="2" t="s">
        <v>96</v>
      </c>
      <c r="M47" s="4"/>
      <c r="N47" s="204"/>
      <c r="O47" s="86">
        <f>O46/$D$14</f>
        <v>510.80596211432993</v>
      </c>
      <c r="P47" s="103"/>
      <c r="Q47" s="205">
        <f>O47/O31-1</f>
        <v>-7.8942207855206892E-2</v>
      </c>
      <c r="R47" s="59"/>
      <c r="S47" s="207"/>
      <c r="T47" s="70">
        <f>O47/G47-1</f>
        <v>-0.17798319327731094</v>
      </c>
      <c r="U47" s="184"/>
    </row>
    <row r="48" spans="1:21" ht="10.5" customHeight="1" x14ac:dyDescent="0.35">
      <c r="A48" s="295"/>
      <c r="B48" s="268"/>
      <c r="G48" s="34"/>
      <c r="O48" s="34"/>
      <c r="T48" s="67"/>
    </row>
    <row r="49" spans="1:21" s="83" customFormat="1" ht="10.5" customHeight="1" x14ac:dyDescent="0.35">
      <c r="A49" s="295"/>
      <c r="B49" s="286" t="s">
        <v>23</v>
      </c>
      <c r="C49" s="201" t="s">
        <v>17</v>
      </c>
      <c r="D49" s="201" t="s">
        <v>16</v>
      </c>
      <c r="E49" s="201" t="s">
        <v>18</v>
      </c>
      <c r="F49" s="201" t="s">
        <v>21</v>
      </c>
      <c r="G49" s="223" t="s">
        <v>19</v>
      </c>
      <c r="H49" s="34"/>
      <c r="I49" s="17"/>
      <c r="J49" s="17"/>
      <c r="K49" s="9"/>
      <c r="L49" s="201" t="s">
        <v>17</v>
      </c>
      <c r="M49" s="249" t="s">
        <v>111</v>
      </c>
      <c r="N49" s="201" t="s">
        <v>21</v>
      </c>
      <c r="O49" s="201" t="s">
        <v>19</v>
      </c>
      <c r="P49" s="34"/>
      <c r="Q49" s="17"/>
      <c r="R49" s="17"/>
      <c r="S49" s="9"/>
      <c r="T49" s="67"/>
    </row>
    <row r="50" spans="1:21" ht="10.5" customHeight="1" x14ac:dyDescent="0.35">
      <c r="A50" s="295"/>
      <c r="B50" s="287"/>
      <c r="C50" s="5" t="s">
        <v>66</v>
      </c>
      <c r="D50" s="84">
        <f>D28</f>
        <v>100</v>
      </c>
      <c r="E50" s="49">
        <v>33.6</v>
      </c>
      <c r="F50" s="50">
        <f>E50/$E$10/$D$21</f>
        <v>32.610974369327046</v>
      </c>
      <c r="G50" s="50">
        <f>E50/$E$10*$E$8</f>
        <v>36.845705057030386</v>
      </c>
      <c r="K50" s="9"/>
      <c r="L50" s="5" t="s">
        <v>66</v>
      </c>
      <c r="M50" s="29">
        <v>31.16</v>
      </c>
      <c r="N50" s="50">
        <f>M50/$E$10/$D$21</f>
        <v>30.242796468697346</v>
      </c>
      <c r="O50" s="50">
        <f>M50/$E$10*$E$8</f>
        <v>34.17000504693651</v>
      </c>
      <c r="S50" s="9"/>
      <c r="T50" s="71"/>
    </row>
    <row r="51" spans="1:21" ht="10.5" customHeight="1" x14ac:dyDescent="0.35">
      <c r="A51" s="295"/>
      <c r="B51" s="287"/>
      <c r="C51" s="5" t="s">
        <v>67</v>
      </c>
      <c r="D51" s="84">
        <f>D29</f>
        <v>200</v>
      </c>
      <c r="E51" s="49">
        <v>42.7</v>
      </c>
      <c r="F51" s="50">
        <f>E51/$E$10/$D$21</f>
        <v>41.443113261019789</v>
      </c>
      <c r="G51" s="50">
        <f>E51/$E$10*$E$8</f>
        <v>46.82475017664278</v>
      </c>
      <c r="K51" s="9"/>
      <c r="L51" s="5" t="s">
        <v>67</v>
      </c>
      <c r="M51" s="50">
        <v>33.33</v>
      </c>
      <c r="N51" s="50">
        <f>M51/$E$10/$D$21</f>
        <v>32.348921896716377</v>
      </c>
      <c r="O51" s="50">
        <f>M51/$E$10*$E$8</f>
        <v>36.549623498536384</v>
      </c>
      <c r="S51" s="65"/>
      <c r="T51" s="2"/>
      <c r="U51" s="7"/>
    </row>
    <row r="52" spans="1:21" ht="10.5" customHeight="1" x14ac:dyDescent="0.35">
      <c r="A52" s="295"/>
      <c r="B52" s="287"/>
      <c r="C52" s="4" t="s">
        <v>53</v>
      </c>
      <c r="E52" s="132">
        <f>SUMPRODUCT(E50:E51,D50:D51)</f>
        <v>11900</v>
      </c>
      <c r="F52" s="132">
        <f>SUMPRODUCT(F50:F51,D50:D51)</f>
        <v>11549.720089136663</v>
      </c>
      <c r="G52" s="134">
        <f>SUMPRODUCT(G50:G51,D50:D51)</f>
        <v>13049.520541031596</v>
      </c>
      <c r="H52" s="58"/>
      <c r="I52" s="19"/>
      <c r="J52" s="19"/>
      <c r="K52" s="9"/>
      <c r="L52" s="4" t="s">
        <v>53</v>
      </c>
      <c r="M52" s="133">
        <f>SUMPRODUCT(M50:M51,D50:D51)</f>
        <v>9782</v>
      </c>
      <c r="N52" s="133">
        <f>SUMPRODUCT(N50:N51,D50:D51)</f>
        <v>9494.0640262130091</v>
      </c>
      <c r="O52" s="133">
        <f>SUMPRODUCT(O50:O51,D50:D51)</f>
        <v>10726.925204400928</v>
      </c>
      <c r="P52" s="58"/>
      <c r="Q52" s="19"/>
      <c r="R52" s="19"/>
      <c r="S52" s="65"/>
      <c r="T52" s="92"/>
      <c r="U52" s="7"/>
    </row>
    <row r="53" spans="1:21" ht="10.5" customHeight="1" x14ac:dyDescent="0.35">
      <c r="A53" s="295"/>
      <c r="B53" s="287"/>
      <c r="C53" s="4" t="s">
        <v>97</v>
      </c>
      <c r="E53" s="165"/>
      <c r="F53" s="214"/>
      <c r="G53" s="236">
        <f>G52/$D$14</f>
        <v>621.40574004912355</v>
      </c>
      <c r="H53" s="139"/>
      <c r="I53" s="215"/>
      <c r="J53" s="215"/>
      <c r="K53" s="207"/>
      <c r="L53" s="4" t="s">
        <v>89</v>
      </c>
      <c r="M53" s="118"/>
      <c r="N53" s="136"/>
      <c r="O53" s="236">
        <f>O52/$D$14</f>
        <v>510.80596211432993</v>
      </c>
      <c r="P53" s="139"/>
      <c r="Q53" s="215"/>
      <c r="R53" s="215"/>
      <c r="U53" s="7"/>
    </row>
    <row r="54" spans="1:21" ht="10.5" customHeight="1" x14ac:dyDescent="0.35">
      <c r="A54" s="295"/>
      <c r="B54" s="287"/>
      <c r="C54" s="2" t="s">
        <v>87</v>
      </c>
      <c r="E54" s="165"/>
      <c r="F54" s="214"/>
      <c r="G54" s="230">
        <f>G52*$D$16</f>
        <v>260.99041082063189</v>
      </c>
      <c r="H54" s="139"/>
      <c r="I54" s="215"/>
      <c r="J54" s="215"/>
      <c r="K54" s="207"/>
      <c r="L54" s="2" t="s">
        <v>87</v>
      </c>
      <c r="M54" s="118"/>
      <c r="N54" s="136"/>
      <c r="O54" s="230">
        <f>O52*$D$16</f>
        <v>214.53850408801856</v>
      </c>
      <c r="P54" s="139"/>
      <c r="Q54" s="215"/>
      <c r="R54" s="215"/>
      <c r="T54" s="58"/>
      <c r="U54" s="7"/>
    </row>
    <row r="55" spans="1:21" ht="10.5" customHeight="1" x14ac:dyDescent="0.35">
      <c r="A55" s="295"/>
      <c r="B55" s="287"/>
      <c r="C55" s="2" t="s">
        <v>88</v>
      </c>
      <c r="E55" s="165"/>
      <c r="F55" s="214"/>
      <c r="G55" s="29">
        <f>E52*$F$9</f>
        <v>428.40000000000038</v>
      </c>
      <c r="H55" s="139"/>
      <c r="I55" s="215"/>
      <c r="J55" s="215"/>
      <c r="K55" s="207"/>
      <c r="L55" s="2" t="s">
        <v>88</v>
      </c>
      <c r="M55" s="118"/>
      <c r="N55" s="136"/>
      <c r="O55" s="29">
        <f>M52*$F$9</f>
        <v>352.15200000000033</v>
      </c>
      <c r="P55" s="139"/>
      <c r="Q55" s="215"/>
      <c r="R55" s="215"/>
      <c r="S55" s="207"/>
      <c r="T55" s="68" t="s">
        <v>37</v>
      </c>
      <c r="U55" s="7"/>
    </row>
    <row r="56" spans="1:21" ht="10.5" customHeight="1" x14ac:dyDescent="0.35">
      <c r="A56" s="295"/>
      <c r="B56" s="287"/>
      <c r="C56" s="2" t="s">
        <v>90</v>
      </c>
      <c r="E56" s="165"/>
      <c r="F56" s="214"/>
      <c r="G56" s="220">
        <f>SUM(G54+G55)/G52</f>
        <v>5.2828792341678962E-2</v>
      </c>
      <c r="H56" s="139"/>
      <c r="I56" s="215"/>
      <c r="J56" s="215"/>
      <c r="K56" s="207"/>
      <c r="L56" s="2" t="s">
        <v>90</v>
      </c>
      <c r="M56" s="118"/>
      <c r="N56" s="136"/>
      <c r="O56" s="220">
        <f>SUM(O54+O55)/O52</f>
        <v>5.2828792341678969E-2</v>
      </c>
      <c r="P56" s="139"/>
      <c r="Q56" s="215"/>
      <c r="R56" s="215"/>
      <c r="S56" s="207"/>
      <c r="T56" s="69" t="s">
        <v>84</v>
      </c>
      <c r="U56" s="7"/>
    </row>
    <row r="57" spans="1:21" ht="10.5" customHeight="1" x14ac:dyDescent="0.35">
      <c r="A57" s="295"/>
      <c r="B57" s="287"/>
      <c r="C57" s="2" t="s">
        <v>99</v>
      </c>
      <c r="F57" s="28"/>
      <c r="G57" s="236">
        <f>G52/$D$17</f>
        <v>590.22487280862299</v>
      </c>
      <c r="H57" s="57"/>
      <c r="I57" s="18"/>
      <c r="J57" s="127">
        <f>G57/G31-1</f>
        <v>-0.12515900130713897</v>
      </c>
      <c r="K57" s="11"/>
      <c r="L57" s="2" t="s">
        <v>99</v>
      </c>
      <c r="M57" s="118"/>
      <c r="N57" s="28"/>
      <c r="O57" s="236">
        <f>O52/$D$17</f>
        <v>485.17476519444944</v>
      </c>
      <c r="P57" s="57"/>
      <c r="Q57" s="18"/>
      <c r="R57" s="127">
        <f>O57/O31-1</f>
        <v>-0.12515900130713919</v>
      </c>
      <c r="S57" s="11"/>
      <c r="T57" s="70">
        <f>O57/G57-1</f>
        <v>-0.17798319327731116</v>
      </c>
      <c r="U57" s="7"/>
    </row>
    <row r="58" spans="1:21" ht="10.5" customHeight="1" x14ac:dyDescent="0.35">
      <c r="A58" s="296"/>
      <c r="B58" s="288"/>
      <c r="C58" s="112"/>
      <c r="D58" s="34"/>
      <c r="E58" s="34"/>
      <c r="F58" s="2"/>
      <c r="G58" s="125"/>
      <c r="H58" s="34"/>
      <c r="I58" s="17"/>
      <c r="J58" s="17"/>
      <c r="K58" s="12"/>
      <c r="L58" s="199"/>
      <c r="M58" s="112"/>
      <c r="N58" s="5"/>
      <c r="O58" s="210">
        <f>O57/G31-1</f>
        <v>-0.28086599586440641</v>
      </c>
      <c r="P58" s="90"/>
      <c r="Q58" s="17"/>
      <c r="R58" s="17"/>
      <c r="S58" s="12"/>
      <c r="T58" s="34"/>
    </row>
    <row r="59" spans="1:21" s="8" customFormat="1" ht="10.5" customHeight="1" x14ac:dyDescent="0.35">
      <c r="B59" s="196"/>
      <c r="C59" s="197"/>
      <c r="D59" s="111"/>
      <c r="E59" s="111"/>
      <c r="G59" s="198"/>
      <c r="H59" s="111"/>
      <c r="I59" s="111"/>
      <c r="J59" s="111"/>
      <c r="K59" s="9"/>
      <c r="L59" s="199"/>
      <c r="M59" s="197"/>
      <c r="O59" s="9"/>
      <c r="P59" s="111"/>
      <c r="Q59" s="111"/>
      <c r="R59" s="111"/>
      <c r="S59" s="9"/>
      <c r="T59" s="111"/>
    </row>
    <row r="60" spans="1:21" ht="10.5" customHeight="1" x14ac:dyDescent="0.35">
      <c r="B60" s="268"/>
      <c r="E60" s="244" t="s">
        <v>103</v>
      </c>
      <c r="F60" s="57"/>
      <c r="G60" s="39"/>
      <c r="H60" s="15"/>
      <c r="M60" s="244" t="s">
        <v>104</v>
      </c>
      <c r="O60" s="2"/>
    </row>
    <row r="61" spans="1:21" s="83" customFormat="1" ht="10.5" customHeight="1" x14ac:dyDescent="0.35">
      <c r="B61" s="269"/>
      <c r="C61" s="2"/>
      <c r="D61" s="23"/>
      <c r="E61" s="200">
        <f>$C$4</f>
        <v>46296</v>
      </c>
      <c r="F61" s="201" t="s">
        <v>20</v>
      </c>
      <c r="G61" s="202">
        <f>$C$5</f>
        <v>46512</v>
      </c>
      <c r="H61" s="34"/>
      <c r="I61" s="17"/>
      <c r="J61" s="17"/>
      <c r="K61" s="12"/>
      <c r="L61" s="17"/>
      <c r="M61" s="202">
        <f>$C$4</f>
        <v>46296</v>
      </c>
      <c r="N61" s="201" t="s">
        <v>20</v>
      </c>
      <c r="O61" s="202">
        <f>$C$5</f>
        <v>46512</v>
      </c>
      <c r="P61" s="34"/>
      <c r="Q61" s="17"/>
      <c r="R61" s="17"/>
      <c r="S61" s="12"/>
      <c r="T61" s="34"/>
    </row>
    <row r="62" spans="1:21" ht="10.5" customHeight="1" x14ac:dyDescent="0.35">
      <c r="A62" s="292" t="s">
        <v>109</v>
      </c>
      <c r="B62" s="276" t="s">
        <v>22</v>
      </c>
      <c r="C62" s="24" t="s">
        <v>17</v>
      </c>
      <c r="D62" s="98" t="s">
        <v>44</v>
      </c>
      <c r="E62" s="24" t="s">
        <v>18</v>
      </c>
      <c r="F62" s="93">
        <v>0.04</v>
      </c>
      <c r="G62" s="24" t="s">
        <v>19</v>
      </c>
      <c r="K62" s="8"/>
      <c r="L62" s="46" t="s">
        <v>17</v>
      </c>
      <c r="M62" s="249" t="s">
        <v>111</v>
      </c>
      <c r="N62" s="229">
        <v>0.04</v>
      </c>
      <c r="O62" s="24" t="s">
        <v>19</v>
      </c>
      <c r="S62" s="8"/>
    </row>
    <row r="63" spans="1:21" ht="10.5" customHeight="1" x14ac:dyDescent="0.35">
      <c r="A63" s="293"/>
      <c r="B63" s="276"/>
      <c r="C63" s="5" t="s">
        <v>66</v>
      </c>
      <c r="D63" s="82">
        <v>100</v>
      </c>
      <c r="E63" s="166">
        <f>33.6*$C$11</f>
        <v>191.52</v>
      </c>
      <c r="F63" s="26">
        <f>E63/$C$10/$C$21</f>
        <v>185.88255390516417</v>
      </c>
      <c r="G63" s="31">
        <f t="shared" ref="G63:G65" si="0">E63/$C$10*$C$8</f>
        <v>219.06779448874534</v>
      </c>
      <c r="K63" s="9"/>
      <c r="L63" s="2" t="s">
        <v>66</v>
      </c>
      <c r="M63" s="163">
        <f>31.16*$C$11</f>
        <v>177.61199999999999</v>
      </c>
      <c r="N63" s="26">
        <f>M63/$C$10/$C$21</f>
        <v>172.38393987157485</v>
      </c>
      <c r="O63" s="227">
        <f t="shared" ref="O63:O65" si="1">M63/$C$10*$C$8</f>
        <v>203.15929988896738</v>
      </c>
      <c r="S63" s="9"/>
    </row>
    <row r="64" spans="1:21" ht="10.5" customHeight="1" x14ac:dyDescent="0.35">
      <c r="A64" s="293"/>
      <c r="B64" s="276"/>
      <c r="C64" s="5" t="s">
        <v>67</v>
      </c>
      <c r="D64" s="82">
        <v>200</v>
      </c>
      <c r="E64" s="166">
        <f>42.7*$C$11</f>
        <v>243.39000000000001</v>
      </c>
      <c r="F64" s="26">
        <f>E64/$C$10/$C$21</f>
        <v>236.22574558781281</v>
      </c>
      <c r="G64" s="31">
        <f t="shared" si="0"/>
        <v>278.39865549611386</v>
      </c>
      <c r="K64" s="9"/>
      <c r="L64" s="2" t="s">
        <v>67</v>
      </c>
      <c r="M64" s="163">
        <f>33.33*$C$11</f>
        <v>189.98099999999999</v>
      </c>
      <c r="N64" s="26">
        <f>M64/$C$10/$C$21</f>
        <v>184.38885481128338</v>
      </c>
      <c r="O64" s="227">
        <f t="shared" si="1"/>
        <v>217.30742828303218</v>
      </c>
      <c r="S64" s="9"/>
      <c r="T64" s="58"/>
    </row>
    <row r="65" spans="1:21" ht="10.5" customHeight="1" x14ac:dyDescent="0.35">
      <c r="A65" s="293"/>
      <c r="B65" s="276"/>
      <c r="C65" s="5" t="s">
        <v>14</v>
      </c>
      <c r="D65" s="82">
        <v>100</v>
      </c>
      <c r="E65" s="166">
        <f>86.4*$C$11</f>
        <v>492.48000000000008</v>
      </c>
      <c r="F65" s="26">
        <f>E65/$C$10/$C$21</f>
        <v>477.98371004185077</v>
      </c>
      <c r="G65" s="31">
        <f t="shared" si="0"/>
        <v>563.31718582820235</v>
      </c>
      <c r="K65" s="9"/>
      <c r="L65" s="2" t="s">
        <v>14</v>
      </c>
      <c r="M65" s="163">
        <f>77*$C$11</f>
        <v>438.90000000000003</v>
      </c>
      <c r="N65" s="26">
        <f>M65/$C$10/$C$21</f>
        <v>425.98085269933455</v>
      </c>
      <c r="O65" s="227">
        <f t="shared" si="1"/>
        <v>502.03036237004136</v>
      </c>
      <c r="S65" s="65"/>
      <c r="T65" s="68" t="s">
        <v>37</v>
      </c>
      <c r="U65" s="7"/>
    </row>
    <row r="66" spans="1:21" ht="10.5" customHeight="1" x14ac:dyDescent="0.35">
      <c r="A66" s="293"/>
      <c r="B66" s="276"/>
      <c r="C66" s="4" t="s">
        <v>94</v>
      </c>
      <c r="D66" s="34"/>
      <c r="E66" s="164">
        <f>SUMPRODUCT(E63:E65,$D$63:$D$65)</f>
        <v>117078</v>
      </c>
      <c r="F66" s="164">
        <f>SUMPRODUCT(F63:F65,$D$63:$D$65)</f>
        <v>113631.77551226405</v>
      </c>
      <c r="G66" s="164">
        <f>SUMPRODUCT(G63:G65,$D$63:$D$65)</f>
        <v>133918.22913091755</v>
      </c>
      <c r="K66" s="12"/>
      <c r="L66" s="4" t="s">
        <v>94</v>
      </c>
      <c r="M66" s="221">
        <f>SUMPRODUCT(M63:M65,D63:D65)</f>
        <v>99647.4</v>
      </c>
      <c r="N66" s="221">
        <f>SUMPRODUCT(N63:N65,D63:D65)</f>
        <v>96714.250219347625</v>
      </c>
      <c r="O66" s="164">
        <f>SUMPRODUCT(O63:O65,D63:D65)</f>
        <v>113980.4518825073</v>
      </c>
      <c r="S66" s="74"/>
      <c r="T66" s="69" t="s">
        <v>83</v>
      </c>
      <c r="U66" s="7"/>
    </row>
    <row r="67" spans="1:21" ht="10.5" customHeight="1" x14ac:dyDescent="0.35">
      <c r="A67" s="293"/>
      <c r="B67" s="276"/>
      <c r="C67" s="4" t="s">
        <v>93</v>
      </c>
      <c r="F67" s="95"/>
      <c r="G67" s="203">
        <f>G66/$C$13</f>
        <v>1164.5063402688484</v>
      </c>
      <c r="H67" s="57"/>
      <c r="I67" s="16"/>
      <c r="J67" s="16"/>
      <c r="K67" s="6"/>
      <c r="L67" s="4" t="s">
        <v>93</v>
      </c>
      <c r="M67" s="4"/>
      <c r="N67" s="28"/>
      <c r="O67" s="86">
        <f>O66/$C$13</f>
        <v>991.13436419571565</v>
      </c>
      <c r="P67" s="57"/>
      <c r="Q67" s="16"/>
      <c r="R67" s="16"/>
      <c r="S67" s="13"/>
      <c r="T67" s="70">
        <f>O67/G67-1</f>
        <v>-0.14888023369036063</v>
      </c>
      <c r="U67" s="7"/>
    </row>
    <row r="68" spans="1:21" ht="10.5" customHeight="1" x14ac:dyDescent="0.35">
      <c r="A68" s="293"/>
      <c r="B68" s="266"/>
      <c r="F68" s="57"/>
      <c r="G68" s="34"/>
      <c r="L68" s="19"/>
      <c r="O68" s="34"/>
      <c r="T68" s="34"/>
    </row>
    <row r="69" spans="1:21" ht="10.5" customHeight="1" x14ac:dyDescent="0.35">
      <c r="A69" s="293"/>
      <c r="B69" s="286" t="s">
        <v>12</v>
      </c>
      <c r="C69" s="24" t="s">
        <v>17</v>
      </c>
      <c r="D69" s="46" t="s">
        <v>16</v>
      </c>
      <c r="E69" s="24" t="s">
        <v>18</v>
      </c>
      <c r="F69" s="89" t="s">
        <v>21</v>
      </c>
      <c r="G69" s="24" t="s">
        <v>19</v>
      </c>
      <c r="K69" s="73"/>
      <c r="L69" s="24" t="s">
        <v>17</v>
      </c>
      <c r="M69" s="249" t="s">
        <v>111</v>
      </c>
      <c r="N69" s="46" t="s">
        <v>21</v>
      </c>
      <c r="O69" s="24" t="s">
        <v>19</v>
      </c>
      <c r="S69" s="8"/>
    </row>
    <row r="70" spans="1:21" ht="10.5" customHeight="1" x14ac:dyDescent="0.35">
      <c r="A70" s="293"/>
      <c r="B70" s="287"/>
      <c r="C70" s="5" t="s">
        <v>66</v>
      </c>
      <c r="D70" s="173">
        <f>$D$63</f>
        <v>100</v>
      </c>
      <c r="E70" s="166">
        <f>33.6*$C$11</f>
        <v>191.52</v>
      </c>
      <c r="F70" s="26">
        <f>E70/$C$10/$C$21</f>
        <v>185.88255390516417</v>
      </c>
      <c r="G70" s="31">
        <f>E70/$C$10*$C$8</f>
        <v>219.06779448874534</v>
      </c>
      <c r="K70" s="65"/>
      <c r="L70" s="5" t="s">
        <v>66</v>
      </c>
      <c r="M70" s="163">
        <f>31.16*$C$11</f>
        <v>177.61199999999999</v>
      </c>
      <c r="N70" s="26">
        <f>M70/$C$10/$C$21</f>
        <v>172.38393987157485</v>
      </c>
      <c r="O70" s="227">
        <f>M70/$C$10*$C$8</f>
        <v>203.15929988896738</v>
      </c>
      <c r="S70" s="9"/>
    </row>
    <row r="71" spans="1:21" ht="10.5" customHeight="1" x14ac:dyDescent="0.35">
      <c r="A71" s="293"/>
      <c r="B71" s="287"/>
      <c r="C71" s="5" t="s">
        <v>67</v>
      </c>
      <c r="D71" s="173">
        <f>$D$64</f>
        <v>200</v>
      </c>
      <c r="E71" s="166">
        <f>42.7*$C$11</f>
        <v>243.39000000000001</v>
      </c>
      <c r="F71" s="26">
        <f>E71/$C$10/$C$21</f>
        <v>236.22574558781281</v>
      </c>
      <c r="G71" s="31">
        <f>E71/$C$10*$C$8</f>
        <v>278.39865549611386</v>
      </c>
      <c r="H71" s="58"/>
      <c r="K71" s="65"/>
      <c r="L71" s="5" t="s">
        <v>67</v>
      </c>
      <c r="M71" s="163">
        <f>33.33*$C$11</f>
        <v>189.98099999999999</v>
      </c>
      <c r="N71" s="26">
        <f>M71/$C$10/$C$21</f>
        <v>184.38885481128338</v>
      </c>
      <c r="O71" s="227">
        <f>M71/$C$10*$C$8</f>
        <v>217.30742828303218</v>
      </c>
      <c r="P71" s="58"/>
      <c r="S71" s="9"/>
      <c r="T71" s="58"/>
    </row>
    <row r="72" spans="1:21" ht="10.5" customHeight="1" x14ac:dyDescent="0.35">
      <c r="A72" s="293"/>
      <c r="B72" s="287"/>
      <c r="C72" s="5" t="s">
        <v>14</v>
      </c>
      <c r="D72" s="173">
        <f>$D$65</f>
        <v>100</v>
      </c>
      <c r="E72" s="166">
        <f>86.4*$C$11</f>
        <v>492.48000000000008</v>
      </c>
      <c r="F72" s="26">
        <f>E72/$C$10/$C$21</f>
        <v>477.98371004185077</v>
      </c>
      <c r="G72" s="31">
        <f>E72/$C$10*$C$8</f>
        <v>563.31718582820235</v>
      </c>
      <c r="H72" s="15"/>
      <c r="I72" s="59"/>
      <c r="J72" s="19"/>
      <c r="K72" s="65"/>
      <c r="L72" s="5" t="s">
        <v>14</v>
      </c>
      <c r="M72" s="163">
        <f>77*$C$11</f>
        <v>438.90000000000003</v>
      </c>
      <c r="N72" s="26">
        <f>M72/$C$10/$C$21</f>
        <v>425.98085269933455</v>
      </c>
      <c r="O72" s="227">
        <f>M72/$C$10*$C$8</f>
        <v>502.03036237004136</v>
      </c>
      <c r="P72" s="15"/>
      <c r="Q72" s="59"/>
      <c r="R72" s="19"/>
      <c r="S72" s="65"/>
      <c r="U72" s="7"/>
    </row>
    <row r="73" spans="1:21" ht="10.5" customHeight="1" x14ac:dyDescent="0.35">
      <c r="A73" s="293"/>
      <c r="B73" s="287"/>
      <c r="C73" s="4" t="s">
        <v>52</v>
      </c>
      <c r="D73" s="34"/>
      <c r="E73" s="165">
        <f>SUMPRODUCT(E70:E72,D70:D72)</f>
        <v>117078</v>
      </c>
      <c r="F73" s="163">
        <f>SUMPRODUCT(F70:F72,D70:D72)</f>
        <v>113631.77551226405</v>
      </c>
      <c r="G73" s="165">
        <f>SUMPRODUCT(G70:G72,D70:D72)</f>
        <v>133918.22913091755</v>
      </c>
      <c r="H73" s="19"/>
      <c r="I73" s="59"/>
      <c r="J73" s="19"/>
      <c r="K73" s="65"/>
      <c r="L73" s="4" t="s">
        <v>52</v>
      </c>
      <c r="M73" s="221">
        <f>SUMPRODUCT(M70:M72,D70:D72)</f>
        <v>99647.4</v>
      </c>
      <c r="N73" s="221">
        <f>SUMPRODUCT(N70:N72,D70:D72)</f>
        <v>96714.250219347625</v>
      </c>
      <c r="O73" s="165">
        <f>SUMPRODUCT(O70:O72,D70:D72)</f>
        <v>113980.4518825073</v>
      </c>
      <c r="P73" s="19"/>
      <c r="Q73" s="59"/>
      <c r="R73" s="19"/>
      <c r="S73" s="65"/>
      <c r="U73" s="7"/>
    </row>
    <row r="74" spans="1:21" ht="10.5" customHeight="1" x14ac:dyDescent="0.35">
      <c r="A74" s="293"/>
      <c r="B74" s="287"/>
      <c r="C74" s="4" t="s">
        <v>97</v>
      </c>
      <c r="E74" s="165"/>
      <c r="F74" s="214"/>
      <c r="G74" s="236">
        <f>G73/$C$13</f>
        <v>1164.5063402688484</v>
      </c>
      <c r="H74" s="7"/>
      <c r="I74" s="18"/>
      <c r="J74" s="18"/>
      <c r="K74" s="11"/>
      <c r="L74" s="4" t="s">
        <v>97</v>
      </c>
      <c r="M74" s="121"/>
      <c r="N74" s="214"/>
      <c r="O74" s="236">
        <f>O73/$C$13</f>
        <v>991.13436419571565</v>
      </c>
      <c r="P74" s="7"/>
      <c r="Q74" s="18"/>
      <c r="R74" s="18"/>
      <c r="S74" s="11"/>
      <c r="U74" s="7"/>
    </row>
    <row r="75" spans="1:21" ht="10.5" customHeight="1" x14ac:dyDescent="0.35">
      <c r="A75" s="293"/>
      <c r="B75" s="287"/>
      <c r="C75" s="2" t="s">
        <v>91</v>
      </c>
      <c r="E75" s="165"/>
      <c r="F75" s="214"/>
      <c r="G75" s="221">
        <f>G73*$C$19</f>
        <v>4017.5468739275261</v>
      </c>
      <c r="H75" s="228"/>
      <c r="I75" s="18"/>
      <c r="J75" s="18"/>
      <c r="K75" s="11"/>
      <c r="L75" s="2" t="s">
        <v>91</v>
      </c>
      <c r="M75" s="121"/>
      <c r="N75" s="214"/>
      <c r="O75" s="221">
        <f>O73*$C$19</f>
        <v>3419.4135564752191</v>
      </c>
      <c r="P75" s="228"/>
      <c r="Q75" s="18"/>
      <c r="R75" s="18"/>
      <c r="S75" s="11"/>
      <c r="T75" s="226"/>
      <c r="U75" s="7"/>
    </row>
    <row r="76" spans="1:21" ht="10.5" customHeight="1" x14ac:dyDescent="0.35">
      <c r="A76" s="293"/>
      <c r="B76" s="287"/>
      <c r="C76" s="2" t="s">
        <v>88</v>
      </c>
      <c r="E76" s="165"/>
      <c r="F76" s="214"/>
      <c r="G76" s="163">
        <f>E73*$D$9</f>
        <v>3371.8463999999926</v>
      </c>
      <c r="H76" s="228"/>
      <c r="I76" s="18"/>
      <c r="J76" s="18"/>
      <c r="K76" s="11"/>
      <c r="L76" s="2" t="s">
        <v>88</v>
      </c>
      <c r="M76" s="121"/>
      <c r="N76" s="214"/>
      <c r="O76" s="163">
        <f>M73*$D$9</f>
        <v>2869.8451199999936</v>
      </c>
      <c r="P76" s="228"/>
      <c r="Q76" s="18"/>
      <c r="R76" s="18"/>
      <c r="S76" s="11"/>
      <c r="T76" s="68" t="s">
        <v>37</v>
      </c>
      <c r="U76" s="7"/>
    </row>
    <row r="77" spans="1:21" ht="10.5" customHeight="1" x14ac:dyDescent="0.35">
      <c r="A77" s="293"/>
      <c r="B77" s="287"/>
      <c r="C77" s="2" t="s">
        <v>90</v>
      </c>
      <c r="E77" s="165"/>
      <c r="F77" s="214"/>
      <c r="G77" s="220">
        <f>SUM(G75+G76)/G73</f>
        <v>5.5178397458524472E-2</v>
      </c>
      <c r="H77" s="228"/>
      <c r="I77" s="18"/>
      <c r="J77" s="18"/>
      <c r="K77" s="11"/>
      <c r="L77" s="2" t="s">
        <v>90</v>
      </c>
      <c r="M77" s="121"/>
      <c r="N77" s="214"/>
      <c r="O77" s="220">
        <f>SUM(O75+O76)/O73</f>
        <v>5.5178397458524472E-2</v>
      </c>
      <c r="P77" s="228"/>
      <c r="Q77" s="18"/>
      <c r="R77" s="18"/>
      <c r="S77" s="11"/>
      <c r="T77" s="69" t="s">
        <v>81</v>
      </c>
      <c r="U77" s="7"/>
    </row>
    <row r="78" spans="1:21" ht="10.5" customHeight="1" x14ac:dyDescent="0.35">
      <c r="A78" s="293"/>
      <c r="B78" s="288"/>
      <c r="C78" s="2" t="s">
        <v>98</v>
      </c>
      <c r="F78" s="28"/>
      <c r="G78" s="236">
        <f>G73/$C$17</f>
        <v>1114.1699284069437</v>
      </c>
      <c r="H78" s="126">
        <f>G78/G67-1</f>
        <v>-4.3225536968981682E-2</v>
      </c>
      <c r="I78" s="18"/>
      <c r="J78" s="18"/>
      <c r="K78" s="11"/>
      <c r="L78" s="2" t="s">
        <v>98</v>
      </c>
      <c r="M78" s="121"/>
      <c r="N78" s="28"/>
      <c r="O78" s="236">
        <f>O73/$C$17</f>
        <v>948.2920490949457</v>
      </c>
      <c r="P78" s="126">
        <f>O78/O67-1</f>
        <v>-4.322553696898157E-2</v>
      </c>
      <c r="Q78" s="18"/>
      <c r="R78" s="18"/>
      <c r="S78" s="11"/>
      <c r="T78" s="70">
        <f>O78/G78-1</f>
        <v>-0.14888023369036041</v>
      </c>
      <c r="U78" s="7"/>
    </row>
    <row r="79" spans="1:21" ht="10.5" customHeight="1" x14ac:dyDescent="0.35">
      <c r="A79" s="293"/>
      <c r="B79" s="266"/>
      <c r="F79" s="57"/>
      <c r="G79" s="41"/>
      <c r="H79" s="17"/>
      <c r="I79" s="60"/>
      <c r="J79" s="17"/>
      <c r="K79" s="12"/>
      <c r="L79" s="111"/>
      <c r="O79" s="34"/>
      <c r="P79" s="17"/>
      <c r="Q79" s="60"/>
      <c r="R79" s="17"/>
      <c r="S79" s="12"/>
      <c r="T79" s="34"/>
    </row>
    <row r="80" spans="1:21" ht="10.5" customHeight="1" x14ac:dyDescent="0.35">
      <c r="A80" s="293"/>
      <c r="B80" s="279" t="s">
        <v>92</v>
      </c>
      <c r="C80" s="24" t="s">
        <v>17</v>
      </c>
      <c r="D80" s="46" t="s">
        <v>16</v>
      </c>
      <c r="E80" s="24" t="s">
        <v>18</v>
      </c>
      <c r="F80" s="89" t="s">
        <v>21</v>
      </c>
      <c r="G80" s="72" t="s">
        <v>19</v>
      </c>
      <c r="H80" s="15"/>
      <c r="I80" s="16"/>
      <c r="L80" s="24" t="s">
        <v>17</v>
      </c>
      <c r="M80" s="249" t="s">
        <v>111</v>
      </c>
      <c r="N80" s="24" t="s">
        <v>21</v>
      </c>
      <c r="O80" s="24" t="s">
        <v>19</v>
      </c>
      <c r="P80" s="15"/>
      <c r="Q80" s="16"/>
    </row>
    <row r="81" spans="1:22" ht="10.5" customHeight="1" x14ac:dyDescent="0.35">
      <c r="A81" s="293"/>
      <c r="B81" s="279"/>
      <c r="C81" s="5" t="s">
        <v>66</v>
      </c>
      <c r="D81" s="173">
        <f>$D$63</f>
        <v>100</v>
      </c>
      <c r="E81" s="49">
        <v>33.6</v>
      </c>
      <c r="F81" s="50">
        <f>E81/$E$10/$D$21</f>
        <v>32.610974369327046</v>
      </c>
      <c r="G81" s="50">
        <f>E81/$E$10*$E$8</f>
        <v>36.845705057030386</v>
      </c>
      <c r="H81" s="15"/>
      <c r="I81" s="16"/>
      <c r="L81" s="5" t="s">
        <v>66</v>
      </c>
      <c r="M81" s="29">
        <v>31.16</v>
      </c>
      <c r="N81" s="50">
        <f>M81/$E$10/$D$21</f>
        <v>30.242796468697346</v>
      </c>
      <c r="O81" s="50">
        <f>M81/$E$10*$E$8</f>
        <v>34.17000504693651</v>
      </c>
      <c r="P81" s="15"/>
      <c r="Q81" s="16"/>
    </row>
    <row r="82" spans="1:22" ht="10.5" customHeight="1" x14ac:dyDescent="0.35">
      <c r="A82" s="293"/>
      <c r="B82" s="279"/>
      <c r="C82" s="5" t="s">
        <v>67</v>
      </c>
      <c r="D82" s="173">
        <f>$D$64</f>
        <v>200</v>
      </c>
      <c r="E82" s="49">
        <v>42.7</v>
      </c>
      <c r="F82" s="50">
        <f>E82/$E$10/$D$21</f>
        <v>41.443113261019789</v>
      </c>
      <c r="G82" s="50">
        <f>E82/$E$10*$E$8</f>
        <v>46.82475017664278</v>
      </c>
      <c r="H82" s="15"/>
      <c r="I82" s="16"/>
      <c r="L82" s="5" t="s">
        <v>67</v>
      </c>
      <c r="M82" s="50">
        <v>33.33</v>
      </c>
      <c r="N82" s="50">
        <f>M82/$E$10/$D$21</f>
        <v>32.348921896716377</v>
      </c>
      <c r="O82" s="50">
        <f>M82/$E$10*$E$8</f>
        <v>36.549623498536384</v>
      </c>
      <c r="P82" s="15"/>
      <c r="Q82" s="16"/>
      <c r="T82" s="58"/>
    </row>
    <row r="83" spans="1:22" ht="10.5" customHeight="1" x14ac:dyDescent="0.35">
      <c r="A83" s="293"/>
      <c r="B83" s="279"/>
      <c r="C83" s="5" t="s">
        <v>14</v>
      </c>
      <c r="D83" s="173">
        <f>$D$65</f>
        <v>100</v>
      </c>
      <c r="E83" s="49">
        <v>86.4</v>
      </c>
      <c r="F83" s="50">
        <f>E83/$E$10/$D$21</f>
        <v>83.856791235412402</v>
      </c>
      <c r="G83" s="50">
        <f>E83/$E$10*$E$8</f>
        <v>94.74609871807813</v>
      </c>
      <c r="H83" s="15"/>
      <c r="I83" s="59"/>
      <c r="J83" s="19"/>
      <c r="K83" s="8"/>
      <c r="L83" s="5" t="s">
        <v>14</v>
      </c>
      <c r="M83" s="50">
        <v>77</v>
      </c>
      <c r="N83" s="50">
        <f>M83/$E$10/$D$21</f>
        <v>74.733482929707819</v>
      </c>
      <c r="O83" s="50">
        <f>M83/$E$10*$E$8</f>
        <v>84.438074089027964</v>
      </c>
      <c r="P83" s="15"/>
      <c r="Q83" s="59"/>
      <c r="R83" s="19"/>
      <c r="S83" s="73"/>
      <c r="T83" s="68" t="s">
        <v>37</v>
      </c>
      <c r="U83" s="7"/>
    </row>
    <row r="84" spans="1:22" ht="10.5" customHeight="1" x14ac:dyDescent="0.35">
      <c r="A84" s="293"/>
      <c r="B84" s="279"/>
      <c r="C84" s="4" t="s">
        <v>95</v>
      </c>
      <c r="D84" s="34"/>
      <c r="E84" s="50">
        <f>SUMPRODUCT(E81:E83,$D$81:$D$83)</f>
        <v>20540</v>
      </c>
      <c r="F84" s="50">
        <f>SUMPRODUCT(F81:F83,$D$81:$D$83)</f>
        <v>19935.399212677905</v>
      </c>
      <c r="G84" s="218">
        <f>SUMPRODUCT(G81:G83,$D$81:$D$83)</f>
        <v>22524.130412839411</v>
      </c>
      <c r="H84" s="15"/>
      <c r="I84" s="59"/>
      <c r="J84" s="19"/>
      <c r="K84" s="8"/>
      <c r="L84" s="4" t="s">
        <v>95</v>
      </c>
      <c r="M84" s="29">
        <f>SUMPRODUCT(M81:M83,D81:D83)</f>
        <v>17482</v>
      </c>
      <c r="N84" s="29">
        <f>SUMPRODUCT(N81:N83,D81:D83)</f>
        <v>16967.41231918379</v>
      </c>
      <c r="O84" s="35">
        <f>SUMPRODUCT(O81:O83,D81:D83)</f>
        <v>19170.732613303724</v>
      </c>
      <c r="P84" s="15"/>
      <c r="Q84" s="59"/>
      <c r="R84" s="19"/>
      <c r="S84" s="73"/>
      <c r="T84" s="69" t="s">
        <v>82</v>
      </c>
      <c r="U84" s="7"/>
    </row>
    <row r="85" spans="1:22" ht="10.5" customHeight="1" x14ac:dyDescent="0.35">
      <c r="A85" s="293"/>
      <c r="B85" s="279"/>
      <c r="C85" s="2" t="s">
        <v>96</v>
      </c>
      <c r="F85" s="95"/>
      <c r="G85" s="236">
        <f>G84/$D$14</f>
        <v>1072.5776387066387</v>
      </c>
      <c r="H85" s="61"/>
      <c r="I85" s="127">
        <f>G85/G67-1</f>
        <v>-7.8942207855206892E-2</v>
      </c>
      <c r="J85" s="16"/>
      <c r="K85" s="6"/>
      <c r="L85" s="2" t="s">
        <v>96</v>
      </c>
      <c r="M85" s="4"/>
      <c r="N85" s="28"/>
      <c r="O85" s="236">
        <f>O84/$D$14</f>
        <v>912.89202920493926</v>
      </c>
      <c r="P85" s="61"/>
      <c r="Q85" s="127">
        <f>O85/O67-1</f>
        <v>-7.8942207855206781E-2</v>
      </c>
      <c r="R85" s="16"/>
      <c r="S85" s="13"/>
      <c r="T85" s="70">
        <f>O85/G85-1</f>
        <v>-0.14888023369036052</v>
      </c>
      <c r="U85" s="7"/>
    </row>
    <row r="86" spans="1:22" ht="10.5" customHeight="1" x14ac:dyDescent="0.35">
      <c r="A86" s="293"/>
      <c r="B86" s="266"/>
      <c r="F86" s="57"/>
      <c r="G86" s="41"/>
      <c r="H86" s="15"/>
      <c r="I86" s="60"/>
      <c r="J86" s="17"/>
      <c r="K86" s="12"/>
      <c r="L86" s="111"/>
      <c r="O86" s="34"/>
      <c r="P86" s="15"/>
      <c r="Q86" s="60"/>
      <c r="R86" s="17"/>
      <c r="S86" s="12"/>
      <c r="T86" s="34"/>
    </row>
    <row r="87" spans="1:22" ht="10.5" customHeight="1" x14ac:dyDescent="0.35">
      <c r="A87" s="293"/>
      <c r="B87" s="286" t="s">
        <v>23</v>
      </c>
      <c r="C87" s="24" t="s">
        <v>17</v>
      </c>
      <c r="D87" s="46" t="s">
        <v>16</v>
      </c>
      <c r="E87" s="24" t="s">
        <v>18</v>
      </c>
      <c r="F87" s="89" t="s">
        <v>21</v>
      </c>
      <c r="G87" s="72" t="s">
        <v>19</v>
      </c>
      <c r="H87" s="15"/>
      <c r="I87" s="16"/>
      <c r="K87" s="76"/>
      <c r="L87" s="24" t="s">
        <v>17</v>
      </c>
      <c r="M87" s="249" t="s">
        <v>111</v>
      </c>
      <c r="N87" s="24" t="s">
        <v>21</v>
      </c>
      <c r="O87" s="24" t="s">
        <v>19</v>
      </c>
      <c r="P87" s="15"/>
      <c r="Q87" s="16"/>
    </row>
    <row r="88" spans="1:22" ht="10.5" customHeight="1" x14ac:dyDescent="0.35">
      <c r="A88" s="293"/>
      <c r="B88" s="287"/>
      <c r="C88" s="5" t="s">
        <v>66</v>
      </c>
      <c r="D88" s="173">
        <f>$D$63</f>
        <v>100</v>
      </c>
      <c r="E88" s="49">
        <v>33.6</v>
      </c>
      <c r="F88" s="50">
        <f>E88/$E$10/$D$21</f>
        <v>32.610974369327046</v>
      </c>
      <c r="G88" s="50">
        <f>E88/$E$10*$E$8</f>
        <v>36.845705057030386</v>
      </c>
      <c r="H88" s="15"/>
      <c r="I88" s="16"/>
      <c r="K88" s="76"/>
      <c r="L88" s="5" t="s">
        <v>66</v>
      </c>
      <c r="M88" s="29">
        <v>31.16</v>
      </c>
      <c r="N88" s="50">
        <f>M88/$E$10/$D$21</f>
        <v>30.242796468697346</v>
      </c>
      <c r="O88" s="50">
        <f>M88/$E$10*$E$8</f>
        <v>34.17000504693651</v>
      </c>
      <c r="P88" s="15"/>
      <c r="Q88" s="16"/>
    </row>
    <row r="89" spans="1:22" ht="10.5" customHeight="1" x14ac:dyDescent="0.35">
      <c r="A89" s="293"/>
      <c r="B89" s="287"/>
      <c r="C89" s="5" t="s">
        <v>67</v>
      </c>
      <c r="D89" s="173">
        <f>$D$64</f>
        <v>200</v>
      </c>
      <c r="E89" s="49">
        <v>42.7</v>
      </c>
      <c r="F89" s="50">
        <f>E89/$E$10/$D$21</f>
        <v>41.443113261019789</v>
      </c>
      <c r="G89" s="50">
        <f>E89/$E$10*$E$8</f>
        <v>46.82475017664278</v>
      </c>
      <c r="H89" s="15"/>
      <c r="I89" s="16"/>
      <c r="K89" s="76"/>
      <c r="L89" s="5" t="s">
        <v>67</v>
      </c>
      <c r="M89" s="50">
        <v>33.33</v>
      </c>
      <c r="N89" s="50">
        <f>M89/$E$10/$D$21</f>
        <v>32.348921896716377</v>
      </c>
      <c r="O89" s="50">
        <f>M89/$E$10*$E$8</f>
        <v>36.549623498536384</v>
      </c>
      <c r="P89" s="15"/>
      <c r="Q89" s="16"/>
      <c r="T89" s="58"/>
    </row>
    <row r="90" spans="1:22" ht="10.5" customHeight="1" x14ac:dyDescent="0.35">
      <c r="A90" s="293"/>
      <c r="B90" s="287"/>
      <c r="C90" s="5" t="s">
        <v>14</v>
      </c>
      <c r="D90" s="173">
        <f>$D$65</f>
        <v>100</v>
      </c>
      <c r="E90" s="49">
        <v>86.4</v>
      </c>
      <c r="F90" s="50">
        <f>E90/$E$10/$D$21</f>
        <v>83.856791235412402</v>
      </c>
      <c r="G90" s="50">
        <f>E90/$E$10*$E$8</f>
        <v>94.74609871807813</v>
      </c>
      <c r="H90" s="15"/>
      <c r="I90" s="59"/>
      <c r="J90" s="19"/>
      <c r="K90" s="73"/>
      <c r="L90" s="5" t="s">
        <v>14</v>
      </c>
      <c r="M90" s="50">
        <v>77</v>
      </c>
      <c r="N90" s="50">
        <f>M90/$E$10/$D$21</f>
        <v>74.733482929707819</v>
      </c>
      <c r="O90" s="50">
        <f>M90/$E$10*$E$8</f>
        <v>84.438074089027964</v>
      </c>
      <c r="P90" s="15"/>
      <c r="Q90" s="59"/>
      <c r="R90" s="19"/>
      <c r="S90" s="73"/>
      <c r="U90" s="7"/>
    </row>
    <row r="91" spans="1:22" ht="10.5" customHeight="1" x14ac:dyDescent="0.35">
      <c r="A91" s="293"/>
      <c r="B91" s="287"/>
      <c r="C91" s="4" t="s">
        <v>53</v>
      </c>
      <c r="D91" s="34"/>
      <c r="E91" s="165">
        <f>SUMPRODUCT(E88:E90,D88:D90)</f>
        <v>20540</v>
      </c>
      <c r="F91" s="163">
        <f>SUMPRODUCT(F88:F90,D88:D90)</f>
        <v>19935.399212677905</v>
      </c>
      <c r="G91" s="165">
        <f>SUMPRODUCT(G88:G90,D88:D90)</f>
        <v>22524.130412839411</v>
      </c>
      <c r="H91" s="19"/>
      <c r="I91" s="59"/>
      <c r="J91" s="19"/>
      <c r="K91" s="73"/>
      <c r="L91" s="4" t="s">
        <v>53</v>
      </c>
      <c r="M91" s="29">
        <f>SUMPRODUCT(M88:M90,D88:D90)</f>
        <v>17482</v>
      </c>
      <c r="N91" s="29">
        <f>SUMPRODUCT(N88:N90,D88:D90)</f>
        <v>16967.41231918379</v>
      </c>
      <c r="O91" s="35">
        <f>SUMPRODUCT(O88:O90,D88:D90)</f>
        <v>19170.732613303724</v>
      </c>
      <c r="P91" s="15"/>
      <c r="Q91" s="59"/>
      <c r="R91" s="19"/>
      <c r="S91" s="73"/>
      <c r="U91" s="7"/>
    </row>
    <row r="92" spans="1:22" ht="10.5" customHeight="1" x14ac:dyDescent="0.35">
      <c r="A92" s="293"/>
      <c r="B92" s="287"/>
      <c r="C92" s="4" t="s">
        <v>97</v>
      </c>
      <c r="E92" s="165"/>
      <c r="F92" s="214"/>
      <c r="G92" s="236">
        <f>G91/$D$14</f>
        <v>1072.5776387066387</v>
      </c>
      <c r="H92" s="231"/>
      <c r="I92" s="20"/>
      <c r="J92" s="208"/>
      <c r="K92" s="11"/>
      <c r="L92" s="4" t="s">
        <v>97</v>
      </c>
      <c r="M92" s="121"/>
      <c r="N92" s="214"/>
      <c r="O92" s="236">
        <f>O91/$D$14</f>
        <v>912.89202920493926</v>
      </c>
      <c r="P92" s="62"/>
      <c r="Q92" s="18"/>
      <c r="S92" s="11"/>
      <c r="U92" s="184"/>
    </row>
    <row r="93" spans="1:22" ht="10.5" customHeight="1" x14ac:dyDescent="0.35">
      <c r="A93" s="293"/>
      <c r="B93" s="287"/>
      <c r="C93" s="2" t="s">
        <v>87</v>
      </c>
      <c r="E93" s="165"/>
      <c r="F93" s="214"/>
      <c r="G93" s="221">
        <f>G91*$D$19</f>
        <v>675.7239123851823</v>
      </c>
      <c r="H93" s="228"/>
      <c r="I93" s="20"/>
      <c r="J93" s="208"/>
      <c r="K93" s="11"/>
      <c r="L93" s="2" t="s">
        <v>87</v>
      </c>
      <c r="M93" s="121"/>
      <c r="N93" s="214"/>
      <c r="O93" s="221">
        <f>O91*$D$19</f>
        <v>575.12197839911175</v>
      </c>
      <c r="P93" s="232"/>
      <c r="Q93" s="20"/>
      <c r="R93" s="208"/>
      <c r="S93" s="14"/>
      <c r="T93" s="256"/>
      <c r="U93" s="3"/>
      <c r="V93" s="7"/>
    </row>
    <row r="94" spans="1:22" ht="10.5" customHeight="1" x14ac:dyDescent="0.35">
      <c r="A94" s="293"/>
      <c r="B94" s="287"/>
      <c r="C94" s="2" t="s">
        <v>88</v>
      </c>
      <c r="E94" s="165"/>
      <c r="F94" s="214"/>
      <c r="G94" s="163">
        <f>E91*$F$9</f>
        <v>739.44000000000062</v>
      </c>
      <c r="H94" s="228"/>
      <c r="I94" s="20"/>
      <c r="J94" s="208"/>
      <c r="K94" s="11"/>
      <c r="L94" s="2" t="s">
        <v>88</v>
      </c>
      <c r="M94" s="121"/>
      <c r="N94" s="214"/>
      <c r="O94" s="163">
        <f>M91*$F$9</f>
        <v>629.35200000000054</v>
      </c>
      <c r="P94" s="232"/>
      <c r="Q94" s="20"/>
      <c r="R94" s="208"/>
      <c r="S94" s="77"/>
      <c r="T94" s="68" t="s">
        <v>37</v>
      </c>
      <c r="U94" s="6"/>
      <c r="V94" s="7"/>
    </row>
    <row r="95" spans="1:22" ht="10.5" customHeight="1" x14ac:dyDescent="0.35">
      <c r="A95" s="293"/>
      <c r="B95" s="287"/>
      <c r="C95" s="2" t="s">
        <v>90</v>
      </c>
      <c r="E95" s="165"/>
      <c r="F95" s="214"/>
      <c r="G95" s="220">
        <f>SUM(G93+G94)/G91</f>
        <v>6.2828792341678957E-2</v>
      </c>
      <c r="H95" s="228"/>
      <c r="I95" s="20"/>
      <c r="J95" s="208"/>
      <c r="K95" s="11"/>
      <c r="L95" s="2" t="s">
        <v>90</v>
      </c>
      <c r="M95" s="121"/>
      <c r="N95" s="214"/>
      <c r="O95" s="220">
        <f>SUM(O93+O94)/O91</f>
        <v>6.2828792341678971E-2</v>
      </c>
      <c r="P95" s="232"/>
      <c r="Q95" s="20"/>
      <c r="R95" s="208"/>
      <c r="S95" s="77"/>
      <c r="T95" s="69" t="s">
        <v>84</v>
      </c>
      <c r="U95" s="6"/>
      <c r="V95" s="7"/>
    </row>
    <row r="96" spans="1:22" ht="10.5" customHeight="1" x14ac:dyDescent="0.35">
      <c r="A96" s="293"/>
      <c r="B96" s="287"/>
      <c r="C96" s="2" t="s">
        <v>99</v>
      </c>
      <c r="F96" s="28"/>
      <c r="G96" s="236">
        <f>G91/$D$20</f>
        <v>1009.1725463547901</v>
      </c>
      <c r="H96" s="235"/>
      <c r="I96" s="233"/>
      <c r="J96" s="234">
        <f>G96/G67-1</f>
        <v>-0.13339025176814101</v>
      </c>
      <c r="K96" s="11"/>
      <c r="L96" s="2" t="s">
        <v>99</v>
      </c>
      <c r="M96" s="121"/>
      <c r="N96" s="28"/>
      <c r="O96" s="236">
        <f>O91/$D$20</f>
        <v>858.92670181959284</v>
      </c>
      <c r="P96" s="232"/>
      <c r="Q96" s="20"/>
      <c r="R96" s="205">
        <f>O96/O67-1</f>
        <v>-0.1333902517681409</v>
      </c>
      <c r="S96" s="77"/>
      <c r="T96" s="70">
        <f>O96/G96-1</f>
        <v>-0.14888023369036052</v>
      </c>
      <c r="U96" s="6"/>
      <c r="V96" s="7"/>
    </row>
    <row r="97" spans="1:22" ht="10.5" customHeight="1" x14ac:dyDescent="0.35">
      <c r="A97" s="293"/>
      <c r="B97" s="288"/>
      <c r="C97" s="4"/>
      <c r="F97" s="95"/>
      <c r="G97" s="211"/>
      <c r="H97" s="20"/>
      <c r="I97" s="20"/>
      <c r="J97" s="208"/>
      <c r="K97" s="11"/>
      <c r="M97" s="121"/>
      <c r="N97" s="39"/>
      <c r="O97" s="237">
        <f>O96/G67-1</f>
        <v>-0.26241131360324466</v>
      </c>
      <c r="P97" s="232"/>
      <c r="Q97" s="20"/>
      <c r="R97" s="208"/>
      <c r="S97" s="14"/>
      <c r="T97" s="257"/>
      <c r="U97" s="3"/>
      <c r="V97" s="7"/>
    </row>
    <row r="98" spans="1:22" s="3" customFormat="1" ht="10.5" customHeight="1" x14ac:dyDescent="0.35">
      <c r="A98" s="251"/>
      <c r="B98" s="252"/>
      <c r="C98" s="104"/>
      <c r="D98" s="15"/>
      <c r="E98" s="15"/>
      <c r="F98" s="253"/>
      <c r="G98" s="250"/>
      <c r="H98" s="20"/>
      <c r="I98" s="20"/>
      <c r="J98" s="208"/>
      <c r="K98" s="11"/>
      <c r="L98" s="15"/>
      <c r="M98" s="254"/>
      <c r="N98" s="97"/>
      <c r="O98" s="255"/>
      <c r="P98" s="232"/>
      <c r="Q98" s="20"/>
      <c r="R98" s="208"/>
      <c r="S98" s="14"/>
      <c r="T98" s="209"/>
      <c r="V98" s="6"/>
    </row>
    <row r="99" spans="1:22" ht="10.5" customHeight="1" x14ac:dyDescent="0.35">
      <c r="A99" s="212"/>
      <c r="B99" s="266"/>
      <c r="E99" s="244" t="s">
        <v>103</v>
      </c>
      <c r="F99" s="57"/>
      <c r="G99" s="39"/>
      <c r="H99" s="15"/>
      <c r="M99" s="244" t="s">
        <v>104</v>
      </c>
      <c r="N99" s="39"/>
      <c r="O99" s="83"/>
      <c r="P99" s="40"/>
      <c r="T99" s="15"/>
      <c r="U99" s="3"/>
      <c r="V99" s="7"/>
    </row>
    <row r="100" spans="1:22" ht="10.5" customHeight="1" x14ac:dyDescent="0.35">
      <c r="B100" s="266"/>
      <c r="C100" s="247"/>
      <c r="D100" s="247"/>
      <c r="E100" s="30">
        <f>$C$4</f>
        <v>46296</v>
      </c>
      <c r="F100" s="89" t="s">
        <v>20</v>
      </c>
      <c r="G100" s="30">
        <f>$C$5</f>
        <v>46512</v>
      </c>
      <c r="M100" s="30">
        <f>$C$4</f>
        <v>46296</v>
      </c>
      <c r="N100" s="24" t="s">
        <v>20</v>
      </c>
      <c r="O100" s="30">
        <f>$C$5</f>
        <v>46512</v>
      </c>
      <c r="Q100" s="17"/>
      <c r="R100" s="17"/>
      <c r="S100" s="12"/>
      <c r="T100" s="17"/>
      <c r="U100" s="12"/>
    </row>
    <row r="101" spans="1:22" ht="10.5" customHeight="1" x14ac:dyDescent="0.35">
      <c r="A101" s="289" t="s">
        <v>110</v>
      </c>
      <c r="B101" s="276" t="s">
        <v>22</v>
      </c>
      <c r="C101" s="24" t="s">
        <v>17</v>
      </c>
      <c r="D101" s="98" t="s">
        <v>44</v>
      </c>
      <c r="E101" s="24" t="s">
        <v>18</v>
      </c>
      <c r="F101" s="93">
        <v>0.04</v>
      </c>
      <c r="G101" s="24" t="s">
        <v>19</v>
      </c>
      <c r="L101" s="24" t="s">
        <v>17</v>
      </c>
      <c r="M101" s="249" t="s">
        <v>111</v>
      </c>
      <c r="N101" s="25">
        <v>0.04</v>
      </c>
      <c r="O101" s="24" t="s">
        <v>19</v>
      </c>
    </row>
    <row r="102" spans="1:22" ht="10.5" customHeight="1" x14ac:dyDescent="0.35">
      <c r="A102" s="290"/>
      <c r="B102" s="276"/>
      <c r="C102" s="5" t="s">
        <v>67</v>
      </c>
      <c r="D102" s="82">
        <v>200</v>
      </c>
      <c r="E102" s="166">
        <f>42.7*$C$11</f>
        <v>243.39000000000001</v>
      </c>
      <c r="F102" s="26">
        <f>E102/$C$10/$C$21</f>
        <v>236.22574558781281</v>
      </c>
      <c r="G102" s="31">
        <f>E102/$C$10*$C$8</f>
        <v>278.39865549611386</v>
      </c>
      <c r="L102" s="5" t="s">
        <v>67</v>
      </c>
      <c r="M102" s="163">
        <f>33.33*$C$11</f>
        <v>189.98099999999999</v>
      </c>
      <c r="N102" s="26">
        <f>M102/$C$10/$C$21</f>
        <v>184.38885481128338</v>
      </c>
      <c r="O102" s="31">
        <f>M102/$C$10*$C$8</f>
        <v>217.30742828303218</v>
      </c>
      <c r="T102" s="58"/>
    </row>
    <row r="103" spans="1:22" ht="10.5" customHeight="1" x14ac:dyDescent="0.35">
      <c r="A103" s="290"/>
      <c r="B103" s="276"/>
      <c r="C103" s="5" t="s">
        <v>71</v>
      </c>
      <c r="D103" s="82">
        <v>200</v>
      </c>
      <c r="E103" s="166">
        <f>6.5*$C$11</f>
        <v>37.050000000000004</v>
      </c>
      <c r="F103" s="26">
        <f>E103/$C$10/$C$21</f>
        <v>35.959422630463308</v>
      </c>
      <c r="G103" s="31">
        <f>E103/$C$10*$C$8</f>
        <v>42.379186433834661</v>
      </c>
      <c r="L103" s="5" t="s">
        <v>71</v>
      </c>
      <c r="M103" s="163">
        <f>6.1*$C$11</f>
        <v>34.769999999999996</v>
      </c>
      <c r="N103" s="26">
        <f>M103/$C$10/$C$21</f>
        <v>33.746535083973257</v>
      </c>
      <c r="O103" s="31">
        <f>M103/$C$10*$C$8</f>
        <v>39.771236499444832</v>
      </c>
      <c r="S103" s="76"/>
      <c r="T103" s="68" t="s">
        <v>37</v>
      </c>
      <c r="U103" s="7"/>
    </row>
    <row r="104" spans="1:22" ht="10.5" customHeight="1" x14ac:dyDescent="0.35">
      <c r="A104" s="290"/>
      <c r="B104" s="276"/>
      <c r="C104" s="4" t="s">
        <v>94</v>
      </c>
      <c r="D104" s="34"/>
      <c r="E104" s="166">
        <f>SUMPRODUCT(E102:E103,D102:D103)</f>
        <v>56088</v>
      </c>
      <c r="F104" s="166">
        <f>SUMPRODUCT(F102:F103,D102:D103)</f>
        <v>54437.033643655224</v>
      </c>
      <c r="G104" s="164">
        <f>SUMPRODUCT(G102:G103,D102:D103)</f>
        <v>64155.568385989704</v>
      </c>
      <c r="L104" s="118" t="s">
        <v>94</v>
      </c>
      <c r="M104" s="163">
        <f>SUMPRODUCT(M102:M103,D102:D103)</f>
        <v>44950.2</v>
      </c>
      <c r="N104" s="163">
        <f>SUMPRODUCT(N102:N103,D102:D103)</f>
        <v>43627.077979051326</v>
      </c>
      <c r="O104" s="164">
        <f>SUMPRODUCT(O102:O103,D102:D103)</f>
        <v>51415.732956495398</v>
      </c>
      <c r="S104" s="76"/>
      <c r="T104" s="69" t="s">
        <v>83</v>
      </c>
      <c r="U104" s="7"/>
    </row>
    <row r="105" spans="1:22" ht="10.5" customHeight="1" x14ac:dyDescent="0.35">
      <c r="A105" s="290"/>
      <c r="B105" s="276"/>
      <c r="C105" s="4" t="s">
        <v>93</v>
      </c>
      <c r="F105" s="95"/>
      <c r="G105" s="203">
        <f>G104/$C$13</f>
        <v>557.87450770425824</v>
      </c>
      <c r="H105" s="57"/>
      <c r="I105" s="16"/>
      <c r="J105" s="16"/>
      <c r="K105" s="6"/>
      <c r="L105" s="4" t="s">
        <v>93</v>
      </c>
      <c r="M105" s="4"/>
      <c r="N105" s="87"/>
      <c r="O105" s="86">
        <f>O104/$C$13</f>
        <v>447.0933300564817</v>
      </c>
      <c r="P105" s="57"/>
      <c r="Q105" s="16"/>
      <c r="R105" s="16"/>
      <c r="S105" s="13"/>
      <c r="T105" s="70">
        <f>O105/G105-1</f>
        <v>-0.19857723577235786</v>
      </c>
      <c r="U105" s="7"/>
    </row>
    <row r="106" spans="1:22" ht="10.5" customHeight="1" x14ac:dyDescent="0.35">
      <c r="A106" s="290"/>
      <c r="B106" s="266"/>
      <c r="F106" s="57"/>
      <c r="G106" s="34"/>
      <c r="O106" s="34"/>
      <c r="T106" s="34"/>
    </row>
    <row r="107" spans="1:22" ht="10.5" customHeight="1" x14ac:dyDescent="0.35">
      <c r="A107" s="290"/>
      <c r="B107" s="286" t="s">
        <v>12</v>
      </c>
      <c r="C107" s="24" t="s">
        <v>17</v>
      </c>
      <c r="D107" s="46" t="s">
        <v>16</v>
      </c>
      <c r="E107" s="24" t="s">
        <v>18</v>
      </c>
      <c r="F107" s="89" t="s">
        <v>21</v>
      </c>
      <c r="G107" s="24" t="s">
        <v>19</v>
      </c>
      <c r="L107" s="24" t="s">
        <v>17</v>
      </c>
      <c r="M107" s="249" t="s">
        <v>111</v>
      </c>
      <c r="N107" s="24" t="s">
        <v>21</v>
      </c>
      <c r="O107" s="24" t="s">
        <v>19</v>
      </c>
    </row>
    <row r="108" spans="1:22" ht="10.5" customHeight="1" x14ac:dyDescent="0.35">
      <c r="A108" s="290"/>
      <c r="B108" s="287"/>
      <c r="C108" s="5" t="s">
        <v>67</v>
      </c>
      <c r="D108" s="173">
        <f>$D$102</f>
        <v>200</v>
      </c>
      <c r="E108" s="166">
        <f>42.7*$C$11</f>
        <v>243.39000000000001</v>
      </c>
      <c r="F108" s="26">
        <f>E108/$C$10/$C$21</f>
        <v>236.22574558781281</v>
      </c>
      <c r="G108" s="31">
        <f>E108/$C$10*$C$8</f>
        <v>278.39865549611386</v>
      </c>
      <c r="L108" s="5" t="s">
        <v>67</v>
      </c>
      <c r="M108" s="163">
        <f>33.33*$C$11</f>
        <v>189.98099999999999</v>
      </c>
      <c r="N108" s="94">
        <f>M108/$C$10/$C$21</f>
        <v>184.38885481128338</v>
      </c>
      <c r="O108" s="31">
        <f>M108/$C$10*$C$8</f>
        <v>217.30742828303218</v>
      </c>
      <c r="T108" s="58"/>
    </row>
    <row r="109" spans="1:22" ht="10.5" customHeight="1" x14ac:dyDescent="0.35">
      <c r="A109" s="290"/>
      <c r="B109" s="287"/>
      <c r="C109" s="5" t="s">
        <v>71</v>
      </c>
      <c r="D109" s="173">
        <f>$D$103</f>
        <v>200</v>
      </c>
      <c r="E109" s="166">
        <f>6.5*$C$11</f>
        <v>37.050000000000004</v>
      </c>
      <c r="F109" s="26">
        <f>E109/$C$10/$C$21</f>
        <v>35.959422630463308</v>
      </c>
      <c r="G109" s="31">
        <f>E109/$C$10*$C$8</f>
        <v>42.379186433834661</v>
      </c>
      <c r="H109" s="58"/>
      <c r="I109" s="19"/>
      <c r="J109" s="19"/>
      <c r="K109" s="8"/>
      <c r="L109" s="5" t="s">
        <v>71</v>
      </c>
      <c r="M109" s="163">
        <f>6.1*$C$11</f>
        <v>34.769999999999996</v>
      </c>
      <c r="N109" s="94">
        <f>M109/$C$10/$C$21</f>
        <v>33.746535083973257</v>
      </c>
      <c r="O109" s="31">
        <f>M109/$C$10*$C$8</f>
        <v>39.771236499444832</v>
      </c>
      <c r="P109" s="58"/>
      <c r="Q109" s="19"/>
      <c r="R109" s="19"/>
      <c r="S109" s="73"/>
      <c r="T109" s="2"/>
      <c r="U109" s="7"/>
    </row>
    <row r="110" spans="1:22" ht="10.5" customHeight="1" x14ac:dyDescent="0.35">
      <c r="A110" s="290"/>
      <c r="B110" s="287"/>
      <c r="C110" s="4" t="s">
        <v>52</v>
      </c>
      <c r="D110" s="34"/>
      <c r="E110" s="165">
        <f>SUMPRODUCT(E108:E109,D108:D109)</f>
        <v>56088</v>
      </c>
      <c r="F110" s="163">
        <f>SUMPRODUCT(F108:F109,D108:D109)</f>
        <v>54437.033643655224</v>
      </c>
      <c r="G110" s="165">
        <f>SUMPRODUCT(G108:G109,D108:D109)</f>
        <v>64155.568385989704</v>
      </c>
      <c r="H110" s="58"/>
      <c r="L110" s="118" t="s">
        <v>52</v>
      </c>
      <c r="M110" s="163">
        <f>SUMPRODUCT(M108:M109,D108:D109)</f>
        <v>44950.2</v>
      </c>
      <c r="N110" s="165">
        <f>SUMPRODUCT(N108:N109,D108:D109)</f>
        <v>43627.077979051326</v>
      </c>
      <c r="O110" s="171">
        <f>SUMPRODUCT(O108:O109,D108:D109)</f>
        <v>51415.732956495398</v>
      </c>
      <c r="S110" s="76"/>
      <c r="T110" s="2"/>
      <c r="U110" s="7"/>
    </row>
    <row r="111" spans="1:22" ht="10.5" customHeight="1" x14ac:dyDescent="0.35">
      <c r="A111" s="290"/>
      <c r="B111" s="287"/>
      <c r="C111" s="4" t="s">
        <v>97</v>
      </c>
      <c r="E111" s="165"/>
      <c r="F111" s="214"/>
      <c r="G111" s="236">
        <f>G110/$C$13</f>
        <v>557.87450770425824</v>
      </c>
      <c r="H111" s="57"/>
      <c r="I111" s="16"/>
      <c r="L111" s="4" t="s">
        <v>97</v>
      </c>
      <c r="M111" s="100"/>
      <c r="N111" s="171"/>
      <c r="O111" s="236">
        <f>O110/$C$13</f>
        <v>447.0933300564817</v>
      </c>
      <c r="P111" s="57"/>
      <c r="Q111" s="16"/>
      <c r="S111" s="76"/>
      <c r="U111" s="7"/>
    </row>
    <row r="112" spans="1:22" ht="10.5" customHeight="1" x14ac:dyDescent="0.35">
      <c r="A112" s="290"/>
      <c r="B112" s="287"/>
      <c r="C112" s="2" t="s">
        <v>87</v>
      </c>
      <c r="E112" s="165">
        <f>E108/5.7</f>
        <v>42.7</v>
      </c>
      <c r="F112" s="214"/>
      <c r="G112" s="221">
        <f>G110*$C$16</f>
        <v>1283.1113677197941</v>
      </c>
      <c r="I112" s="16"/>
      <c r="L112" s="2" t="s">
        <v>87</v>
      </c>
      <c r="M112" s="4"/>
      <c r="N112" s="171"/>
      <c r="O112" s="224">
        <f>O110*$C$16</f>
        <v>1028.314659129908</v>
      </c>
      <c r="Q112" s="16"/>
      <c r="S112" s="76"/>
      <c r="T112" s="58"/>
      <c r="U112" s="7"/>
    </row>
    <row r="113" spans="1:21" ht="10.5" customHeight="1" x14ac:dyDescent="0.35">
      <c r="A113" s="290"/>
      <c r="B113" s="287"/>
      <c r="C113" s="2" t="s">
        <v>88</v>
      </c>
      <c r="E113" s="165">
        <f>E109/5.7</f>
        <v>6.5000000000000009</v>
      </c>
      <c r="F113" s="214"/>
      <c r="G113" s="163">
        <f>E110*$D$9</f>
        <v>1615.3343999999965</v>
      </c>
      <c r="I113" s="16"/>
      <c r="L113" s="2" t="s">
        <v>88</v>
      </c>
      <c r="M113" s="4"/>
      <c r="N113" s="171"/>
      <c r="O113" s="214">
        <f>M110*$D$9</f>
        <v>1294.565759999997</v>
      </c>
      <c r="Q113" s="16"/>
      <c r="S113" s="76"/>
      <c r="T113" s="68" t="s">
        <v>37</v>
      </c>
      <c r="U113" s="7"/>
    </row>
    <row r="114" spans="1:21" ht="10.5" customHeight="1" x14ac:dyDescent="0.35">
      <c r="A114" s="290"/>
      <c r="B114" s="287"/>
      <c r="C114" s="2" t="s">
        <v>90</v>
      </c>
      <c r="E114" s="165"/>
      <c r="F114" s="214"/>
      <c r="G114" s="220">
        <f>SUM(G112+G113)/G110</f>
        <v>4.5178397458524477E-2</v>
      </c>
      <c r="I114" s="16"/>
      <c r="L114" s="2" t="s">
        <v>90</v>
      </c>
      <c r="M114" s="4"/>
      <c r="N114" s="171"/>
      <c r="O114" s="225">
        <f>SUM(O112+O113)/O110</f>
        <v>4.5178397458524477E-2</v>
      </c>
      <c r="Q114" s="16"/>
      <c r="S114" s="76"/>
      <c r="T114" s="216" t="s">
        <v>81</v>
      </c>
      <c r="U114" s="7"/>
    </row>
    <row r="115" spans="1:21" ht="10.5" customHeight="1" x14ac:dyDescent="0.35">
      <c r="A115" s="290"/>
      <c r="B115" s="288"/>
      <c r="C115" s="2" t="s">
        <v>98</v>
      </c>
      <c r="F115" s="28"/>
      <c r="G115" s="236">
        <f>G110/$C$17</f>
        <v>533.76008254743545</v>
      </c>
      <c r="H115" s="219">
        <f>G115/G105-1</f>
        <v>-4.322553696898157E-2</v>
      </c>
      <c r="I115" s="16"/>
      <c r="L115" s="2" t="s">
        <v>98</v>
      </c>
      <c r="M115" s="4"/>
      <c r="N115" s="5"/>
      <c r="O115" s="86">
        <f>O110/$C$17</f>
        <v>427.76748078954017</v>
      </c>
      <c r="P115" s="219">
        <f>O115/O105-1</f>
        <v>-4.322553696898157E-2</v>
      </c>
      <c r="Q115" s="16"/>
      <c r="S115" s="76"/>
      <c r="T115" s="70">
        <f>O115/G115-1</f>
        <v>-0.19857723577235786</v>
      </c>
      <c r="U115" s="7"/>
    </row>
    <row r="116" spans="1:21" ht="10.5" customHeight="1" x14ac:dyDescent="0.35">
      <c r="A116" s="290"/>
      <c r="B116" s="266"/>
      <c r="F116" s="57"/>
      <c r="G116" s="41"/>
      <c r="H116" s="17"/>
      <c r="L116" s="19"/>
      <c r="O116" s="34"/>
      <c r="P116" s="17"/>
      <c r="S116" s="76"/>
      <c r="T116" s="34"/>
      <c r="U116" s="7"/>
    </row>
    <row r="117" spans="1:21" ht="10.5" customHeight="1" x14ac:dyDescent="0.35">
      <c r="A117" s="290"/>
      <c r="B117" s="279" t="s">
        <v>92</v>
      </c>
      <c r="C117" s="24" t="s">
        <v>17</v>
      </c>
      <c r="D117" s="46" t="s">
        <v>16</v>
      </c>
      <c r="E117" s="24" t="s">
        <v>18</v>
      </c>
      <c r="F117" s="89" t="s">
        <v>21</v>
      </c>
      <c r="G117" s="24" t="s">
        <v>19</v>
      </c>
      <c r="H117" s="15"/>
      <c r="L117" s="24" t="s">
        <v>17</v>
      </c>
      <c r="M117" s="249" t="s">
        <v>111</v>
      </c>
      <c r="N117" s="24" t="s">
        <v>21</v>
      </c>
      <c r="O117" s="24" t="s">
        <v>19</v>
      </c>
      <c r="P117" s="15"/>
      <c r="T117" s="34"/>
    </row>
    <row r="118" spans="1:21" ht="10.5" customHeight="1" x14ac:dyDescent="0.35">
      <c r="A118" s="290"/>
      <c r="B118" s="279"/>
      <c r="C118" s="5" t="s">
        <v>67</v>
      </c>
      <c r="D118" s="173">
        <f>$D$102</f>
        <v>200</v>
      </c>
      <c r="E118" s="49">
        <f>42.7</f>
        <v>42.7</v>
      </c>
      <c r="F118" s="50">
        <f>E118/$C$10/$C$21</f>
        <v>41.443113261019789</v>
      </c>
      <c r="G118" s="50">
        <f>E118/$E$10*$E$8</f>
        <v>46.82475017664278</v>
      </c>
      <c r="H118" s="15"/>
      <c r="L118" s="5" t="s">
        <v>67</v>
      </c>
      <c r="M118" s="29">
        <v>33.33</v>
      </c>
      <c r="N118" s="50">
        <f>M118/$E$8/$D$21</f>
        <v>29.499334428458134</v>
      </c>
      <c r="O118" s="50">
        <f>M118/$E$10*$E$8</f>
        <v>36.549623498536384</v>
      </c>
      <c r="P118" s="15"/>
      <c r="T118" s="58"/>
    </row>
    <row r="119" spans="1:21" ht="10.5" customHeight="1" x14ac:dyDescent="0.35">
      <c r="A119" s="290"/>
      <c r="B119" s="279"/>
      <c r="C119" s="5" t="s">
        <v>71</v>
      </c>
      <c r="D119" s="173">
        <f>$D$103</f>
        <v>200</v>
      </c>
      <c r="E119" s="49">
        <f>6.5</f>
        <v>6.5</v>
      </c>
      <c r="F119" s="50">
        <f>E119/$C$10/$C$21</f>
        <v>6.3086706369233871</v>
      </c>
      <c r="G119" s="50">
        <f>E119/$E$10*$E$8</f>
        <v>7.1278893711517108</v>
      </c>
      <c r="H119" s="15"/>
      <c r="L119" s="5" t="s">
        <v>71</v>
      </c>
      <c r="M119" s="50">
        <v>6.1</v>
      </c>
      <c r="N119" s="50">
        <f>M119/$E$8/$D$21</f>
        <v>5.3989180922170608</v>
      </c>
      <c r="O119" s="50">
        <f>M119/$E$10*$E$8</f>
        <v>6.6892500252346823</v>
      </c>
      <c r="P119" s="15"/>
      <c r="S119" s="76"/>
      <c r="T119" s="68" t="s">
        <v>37</v>
      </c>
      <c r="U119" s="7"/>
    </row>
    <row r="120" spans="1:21" ht="10.5" customHeight="1" x14ac:dyDescent="0.35">
      <c r="A120" s="290"/>
      <c r="B120" s="279"/>
      <c r="C120" s="4" t="s">
        <v>95</v>
      </c>
      <c r="D120" s="34"/>
      <c r="E120" s="132">
        <f>SUMPRODUCT(E118:E119,D118:D119)</f>
        <v>9840</v>
      </c>
      <c r="F120" s="132">
        <f>SUMPRODUCT(F118:F119,D118:D119)</f>
        <v>9550.3567795886356</v>
      </c>
      <c r="G120" s="134">
        <f>SUMPRODUCT(G118:G119,D118:D119)</f>
        <v>10790.527909558899</v>
      </c>
      <c r="H120" s="58"/>
      <c r="I120" s="19"/>
      <c r="L120" s="4" t="s">
        <v>95</v>
      </c>
      <c r="M120" s="132">
        <f>SUMPRODUCT(M118:M119,D118:D119)</f>
        <v>7886</v>
      </c>
      <c r="N120" s="132">
        <f>SUMPRODUCT(N118:N119,D118:D119)</f>
        <v>6979.6505041350392</v>
      </c>
      <c r="O120" s="133">
        <f>SUMPRODUCT(O118:O119,D118:D119)</f>
        <v>8647.7747047542143</v>
      </c>
      <c r="P120" s="58"/>
      <c r="Q120" s="19"/>
      <c r="S120" s="76"/>
      <c r="T120" s="69" t="s">
        <v>82</v>
      </c>
      <c r="U120" s="7"/>
    </row>
    <row r="121" spans="1:21" ht="10.5" customHeight="1" x14ac:dyDescent="0.35">
      <c r="A121" s="290"/>
      <c r="B121" s="279"/>
      <c r="C121" s="2" t="s">
        <v>96</v>
      </c>
      <c r="D121" s="58"/>
      <c r="E121" s="58"/>
      <c r="F121" s="204"/>
      <c r="G121" s="236">
        <f>G120/$D$14</f>
        <v>513.83466235994763</v>
      </c>
      <c r="H121" s="103"/>
      <c r="I121" s="205">
        <f>G121/G105-1</f>
        <v>-7.8942207855206559E-2</v>
      </c>
      <c r="J121" s="16"/>
      <c r="L121" s="2" t="s">
        <v>96</v>
      </c>
      <c r="M121" s="4"/>
      <c r="N121" s="204"/>
      <c r="O121" s="86">
        <f>O120/$D$14</f>
        <v>411.79879546448637</v>
      </c>
      <c r="P121" s="103"/>
      <c r="Q121" s="205">
        <f>O121/O105-1</f>
        <v>-7.8942207855206781E-2</v>
      </c>
      <c r="R121" s="16"/>
      <c r="S121" s="76"/>
      <c r="T121" s="70">
        <f>O121/G121-1</f>
        <v>-0.19857723577235797</v>
      </c>
      <c r="U121" s="7"/>
    </row>
    <row r="122" spans="1:21" ht="10.5" customHeight="1" x14ac:dyDescent="0.35">
      <c r="A122" s="290"/>
      <c r="B122" s="266"/>
      <c r="F122" s="57"/>
      <c r="G122" s="41"/>
      <c r="H122" s="15"/>
      <c r="I122" s="17"/>
      <c r="O122" s="34"/>
      <c r="P122" s="15"/>
      <c r="Q122" s="17"/>
      <c r="T122" s="34"/>
    </row>
    <row r="123" spans="1:21" ht="10.5" customHeight="1" x14ac:dyDescent="0.35">
      <c r="A123" s="290"/>
      <c r="B123" s="286" t="s">
        <v>23</v>
      </c>
      <c r="C123" s="24" t="s">
        <v>17</v>
      </c>
      <c r="D123" s="46" t="s">
        <v>16</v>
      </c>
      <c r="E123" s="24" t="s">
        <v>18</v>
      </c>
      <c r="F123" s="89" t="s">
        <v>21</v>
      </c>
      <c r="G123" s="24" t="s">
        <v>19</v>
      </c>
      <c r="H123" s="15"/>
      <c r="L123" s="24" t="s">
        <v>17</v>
      </c>
      <c r="M123" s="249" t="s">
        <v>111</v>
      </c>
      <c r="N123" s="24" t="s">
        <v>21</v>
      </c>
      <c r="O123" s="24" t="s">
        <v>19</v>
      </c>
      <c r="P123" s="15"/>
    </row>
    <row r="124" spans="1:21" ht="10.5" customHeight="1" x14ac:dyDescent="0.35">
      <c r="A124" s="290"/>
      <c r="B124" s="287"/>
      <c r="C124" s="5" t="s">
        <v>67</v>
      </c>
      <c r="D124" s="173">
        <f>$D$102</f>
        <v>200</v>
      </c>
      <c r="E124" s="49">
        <f>42.7</f>
        <v>42.7</v>
      </c>
      <c r="F124" s="50">
        <f>E124/$C$10/$C$21</f>
        <v>41.443113261019789</v>
      </c>
      <c r="G124" s="50">
        <f>E124/$E$10*$E$8</f>
        <v>46.82475017664278</v>
      </c>
      <c r="H124" s="15"/>
      <c r="L124" s="5" t="s">
        <v>67</v>
      </c>
      <c r="M124" s="29">
        <v>33.33</v>
      </c>
      <c r="N124" s="50">
        <f>M124/$E$8/$D$21</f>
        <v>29.499334428458134</v>
      </c>
      <c r="O124" s="50">
        <f>M124/$E$10*$E$8</f>
        <v>36.549623498536384</v>
      </c>
      <c r="P124" s="15"/>
      <c r="T124" s="58"/>
    </row>
    <row r="125" spans="1:21" ht="10.5" customHeight="1" x14ac:dyDescent="0.35">
      <c r="A125" s="290"/>
      <c r="B125" s="287"/>
      <c r="C125" s="5" t="s">
        <v>71</v>
      </c>
      <c r="D125" s="173">
        <f>$D$103</f>
        <v>200</v>
      </c>
      <c r="E125" s="49">
        <f>6.5</f>
        <v>6.5</v>
      </c>
      <c r="F125" s="50">
        <f>E125/$C$10/$C$21</f>
        <v>6.3086706369233871</v>
      </c>
      <c r="G125" s="50">
        <f>E125/$E$10*$E$8</f>
        <v>7.1278893711517108</v>
      </c>
      <c r="H125" s="15"/>
      <c r="L125" s="5" t="s">
        <v>71</v>
      </c>
      <c r="M125" s="50">
        <v>6.1</v>
      </c>
      <c r="N125" s="50">
        <f>M125/$E$8/$D$21</f>
        <v>5.3989180922170608</v>
      </c>
      <c r="O125" s="50">
        <f>M125/$E$10*$E$8</f>
        <v>6.6892500252346823</v>
      </c>
      <c r="P125" s="15"/>
      <c r="S125" s="76"/>
      <c r="T125" s="2"/>
      <c r="U125" s="7"/>
    </row>
    <row r="126" spans="1:21" ht="10.5" customHeight="1" x14ac:dyDescent="0.35">
      <c r="A126" s="290"/>
      <c r="B126" s="287"/>
      <c r="C126" s="4" t="s">
        <v>53</v>
      </c>
      <c r="D126" s="34"/>
      <c r="E126" s="132">
        <f>SUMPRODUCT(E124:E125,D124:D125)</f>
        <v>9840</v>
      </c>
      <c r="F126" s="132">
        <f>SUMPRODUCT(F124:F125,D124:D125)</f>
        <v>9550.3567795886356</v>
      </c>
      <c r="G126" s="134">
        <f>SUMPRODUCT(G124:G125,D124:D125)</f>
        <v>10790.527909558899</v>
      </c>
      <c r="H126" s="58"/>
      <c r="I126" s="19"/>
      <c r="J126" s="19"/>
      <c r="L126" s="4" t="s">
        <v>53</v>
      </c>
      <c r="M126" s="133">
        <f>SUMPRODUCT(M124:M125,D124:D125)</f>
        <v>7886</v>
      </c>
      <c r="N126" s="133">
        <f>SUMPRODUCT(N124:N125,D124:D125)</f>
        <v>6979.6505041350392</v>
      </c>
      <c r="O126" s="133">
        <f>SUMPRODUCT(O124:O125,D124:D125)</f>
        <v>8647.7747047542143</v>
      </c>
      <c r="P126" s="58"/>
      <c r="Q126" s="19"/>
      <c r="R126" s="19"/>
      <c r="S126" s="76"/>
      <c r="T126" s="2"/>
      <c r="U126" s="7"/>
    </row>
    <row r="127" spans="1:21" ht="10.5" customHeight="1" x14ac:dyDescent="0.35">
      <c r="A127" s="290"/>
      <c r="B127" s="287"/>
      <c r="C127" s="4" t="s">
        <v>97</v>
      </c>
      <c r="E127" s="165"/>
      <c r="F127" s="214"/>
      <c r="G127" s="236">
        <f>G126/$D$14</f>
        <v>513.83466235994763</v>
      </c>
      <c r="H127" s="139"/>
      <c r="I127" s="215"/>
      <c r="J127" s="215"/>
      <c r="K127" s="11"/>
      <c r="L127" s="4" t="s">
        <v>89</v>
      </c>
      <c r="M127" s="118"/>
      <c r="N127" s="136"/>
      <c r="O127" s="236">
        <f>O126/$D$14</f>
        <v>411.79879546448637</v>
      </c>
      <c r="P127" s="139"/>
      <c r="Q127" s="215"/>
      <c r="R127" s="215"/>
      <c r="S127" s="11"/>
      <c r="T127" s="2"/>
      <c r="U127" s="7"/>
    </row>
    <row r="128" spans="1:21" ht="10.5" customHeight="1" x14ac:dyDescent="0.35">
      <c r="A128" s="290"/>
      <c r="B128" s="287"/>
      <c r="C128" s="2" t="s">
        <v>87</v>
      </c>
      <c r="E128" s="165"/>
      <c r="F128" s="214"/>
      <c r="G128" s="230">
        <f>G126*$D$16</f>
        <v>215.81055819117799</v>
      </c>
      <c r="H128" s="139"/>
      <c r="I128" s="215"/>
      <c r="J128" s="215"/>
      <c r="K128" s="11"/>
      <c r="L128" s="2" t="s">
        <v>87</v>
      </c>
      <c r="M128" s="118"/>
      <c r="N128" s="136"/>
      <c r="O128" s="230">
        <f>O126*$D$16</f>
        <v>172.95549409508428</v>
      </c>
      <c r="P128" s="139"/>
      <c r="Q128" s="215"/>
      <c r="R128" s="215"/>
      <c r="S128" s="11"/>
      <c r="T128" s="226"/>
      <c r="U128" s="7"/>
    </row>
    <row r="129" spans="1:21" ht="10.5" customHeight="1" x14ac:dyDescent="0.35">
      <c r="A129" s="290"/>
      <c r="B129" s="287"/>
      <c r="C129" s="2" t="s">
        <v>88</v>
      </c>
      <c r="E129" s="165"/>
      <c r="F129" s="214"/>
      <c r="G129" s="29">
        <f>E126*$F$9</f>
        <v>354.24000000000029</v>
      </c>
      <c r="H129" s="139"/>
      <c r="I129" s="215"/>
      <c r="J129" s="215"/>
      <c r="K129" s="11"/>
      <c r="L129" s="2" t="s">
        <v>88</v>
      </c>
      <c r="M129" s="118"/>
      <c r="N129" s="136"/>
      <c r="O129" s="29">
        <f>M126*$F$9</f>
        <v>283.89600000000024</v>
      </c>
      <c r="P129" s="139"/>
      <c r="Q129" s="215"/>
      <c r="R129" s="215"/>
      <c r="S129" s="11"/>
      <c r="T129" s="68" t="s">
        <v>37</v>
      </c>
      <c r="U129" s="7"/>
    </row>
    <row r="130" spans="1:21" ht="10.5" customHeight="1" x14ac:dyDescent="0.35">
      <c r="A130" s="290"/>
      <c r="B130" s="287"/>
      <c r="C130" s="2" t="s">
        <v>90</v>
      </c>
      <c r="E130" s="165"/>
      <c r="F130" s="214"/>
      <c r="G130" s="220">
        <f>SUM(G128+G129)/G126</f>
        <v>5.2828792341678962E-2</v>
      </c>
      <c r="H130" s="139"/>
      <c r="I130" s="215"/>
      <c r="J130" s="215"/>
      <c r="K130" s="11"/>
      <c r="L130" s="2" t="s">
        <v>90</v>
      </c>
      <c r="M130" s="118"/>
      <c r="N130" s="136"/>
      <c r="O130" s="220">
        <f>SUM(O128+O129)/O126</f>
        <v>5.2828792341678962E-2</v>
      </c>
      <c r="P130" s="139"/>
      <c r="Q130" s="215"/>
      <c r="R130" s="215"/>
      <c r="S130" s="11"/>
      <c r="T130" s="69" t="s">
        <v>84</v>
      </c>
      <c r="U130" s="7"/>
    </row>
    <row r="131" spans="1:21" ht="10.5" customHeight="1" x14ac:dyDescent="0.35">
      <c r="A131" s="291"/>
      <c r="B131" s="288"/>
      <c r="C131" s="2" t="s">
        <v>99</v>
      </c>
      <c r="F131" s="28"/>
      <c r="G131" s="236">
        <f>G126/$D$17</f>
        <v>488.05149146528152</v>
      </c>
      <c r="H131" s="57"/>
      <c r="I131" s="18"/>
      <c r="J131" s="127">
        <f>G131/G105-1</f>
        <v>-0.12515900130713886</v>
      </c>
      <c r="K131" s="11"/>
      <c r="L131" s="2" t="s">
        <v>99</v>
      </c>
      <c r="M131" s="118"/>
      <c r="N131" s="28"/>
      <c r="O131" s="236">
        <f>O126/$D$17</f>
        <v>391.13557537552941</v>
      </c>
      <c r="P131" s="57"/>
      <c r="Q131" s="18"/>
      <c r="R131" s="127">
        <f>O131/O105-1</f>
        <v>-0.12515900130713897</v>
      </c>
      <c r="S131" s="11"/>
      <c r="T131" s="70">
        <f>O131/G131-1</f>
        <v>-0.19857723577235786</v>
      </c>
      <c r="U131" s="7"/>
    </row>
    <row r="132" spans="1:21" ht="10.5" customHeight="1" x14ac:dyDescent="0.35">
      <c r="B132" s="266"/>
      <c r="F132" s="57"/>
      <c r="G132" s="41"/>
      <c r="H132" s="15"/>
      <c r="L132" s="199"/>
      <c r="M132" s="112"/>
      <c r="N132" s="5"/>
      <c r="O132" s="210">
        <f>O131/G105-1</f>
        <v>-0.29888250856789622</v>
      </c>
      <c r="P132" s="90"/>
      <c r="Q132" s="17"/>
      <c r="R132" s="17"/>
      <c r="T132" s="34"/>
    </row>
    <row r="133" spans="1:21" s="3" customFormat="1" ht="10.5" customHeight="1" x14ac:dyDescent="0.35">
      <c r="B133" s="270"/>
      <c r="D133" s="15"/>
      <c r="E133" s="15"/>
      <c r="F133" s="16"/>
      <c r="G133" s="222"/>
      <c r="H133" s="15"/>
      <c r="I133" s="15"/>
      <c r="J133" s="15"/>
      <c r="L133" s="199"/>
      <c r="M133" s="265"/>
      <c r="N133" s="76"/>
      <c r="O133" s="255"/>
      <c r="P133" s="60"/>
      <c r="Q133" s="17"/>
      <c r="R133" s="17"/>
      <c r="T133" s="17"/>
    </row>
    <row r="134" spans="1:21" ht="10.5" customHeight="1" x14ac:dyDescent="0.35">
      <c r="B134" s="266"/>
      <c r="E134" s="244" t="s">
        <v>103</v>
      </c>
      <c r="F134" s="57"/>
      <c r="G134" s="39"/>
      <c r="H134" s="15"/>
      <c r="M134" s="244" t="s">
        <v>104</v>
      </c>
      <c r="O134" s="34"/>
      <c r="P134" s="15"/>
    </row>
    <row r="135" spans="1:21" ht="10.5" customHeight="1" x14ac:dyDescent="0.35">
      <c r="B135" s="266"/>
      <c r="C135" s="247"/>
      <c r="D135" s="247"/>
      <c r="E135" s="30">
        <f>$C$4</f>
        <v>46296</v>
      </c>
      <c r="F135" s="89" t="s">
        <v>20</v>
      </c>
      <c r="G135" s="30">
        <f>$C$5</f>
        <v>46512</v>
      </c>
      <c r="H135" s="15"/>
      <c r="M135" s="30">
        <f>$C$4</f>
        <v>46296</v>
      </c>
      <c r="N135" s="24" t="s">
        <v>20</v>
      </c>
      <c r="O135" s="30">
        <f>$C$5</f>
        <v>46512</v>
      </c>
      <c r="P135" s="15"/>
    </row>
    <row r="136" spans="1:21" ht="10.5" customHeight="1" x14ac:dyDescent="0.35">
      <c r="A136" s="284" t="s">
        <v>105</v>
      </c>
      <c r="B136" s="276" t="s">
        <v>22</v>
      </c>
      <c r="C136" s="24" t="s">
        <v>17</v>
      </c>
      <c r="D136" s="98" t="s">
        <v>44</v>
      </c>
      <c r="E136" s="24" t="s">
        <v>18</v>
      </c>
      <c r="F136" s="93">
        <v>0.04</v>
      </c>
      <c r="G136" s="24" t="s">
        <v>19</v>
      </c>
      <c r="H136" s="15"/>
      <c r="L136" s="24" t="s">
        <v>17</v>
      </c>
      <c r="M136" s="249" t="s">
        <v>111</v>
      </c>
      <c r="N136" s="25">
        <v>0.04</v>
      </c>
      <c r="O136" s="24" t="s">
        <v>19</v>
      </c>
      <c r="P136" s="15"/>
    </row>
    <row r="137" spans="1:21" ht="10.5" customHeight="1" x14ac:dyDescent="0.35">
      <c r="A137" s="285"/>
      <c r="B137" s="276"/>
      <c r="C137" s="5" t="s">
        <v>27</v>
      </c>
      <c r="D137" s="82">
        <v>1</v>
      </c>
      <c r="E137" s="166">
        <f>19.08*$C$11</f>
        <v>108.756</v>
      </c>
      <c r="F137" s="26">
        <f>E137/$C$10/$C$21</f>
        <v>105.55473596757537</v>
      </c>
      <c r="G137" s="31">
        <f>E137/$C$10*$C$8</f>
        <v>124.39921187039465</v>
      </c>
      <c r="H137" s="15"/>
      <c r="L137" s="5" t="s">
        <v>27</v>
      </c>
      <c r="M137" s="163">
        <v>0</v>
      </c>
      <c r="N137" s="94">
        <f>M137/$C$10/$C$21</f>
        <v>0</v>
      </c>
      <c r="O137" s="31">
        <f>M137/$C$10*$C$8</f>
        <v>0</v>
      </c>
      <c r="P137" s="15"/>
      <c r="T137" s="58"/>
    </row>
    <row r="138" spans="1:21" ht="10.5" customHeight="1" x14ac:dyDescent="0.35">
      <c r="A138" s="285"/>
      <c r="B138" s="276"/>
      <c r="C138" s="5" t="s">
        <v>14</v>
      </c>
      <c r="D138" s="82">
        <v>2</v>
      </c>
      <c r="E138" s="166">
        <f>86.4*$C$11</f>
        <v>492.48000000000008</v>
      </c>
      <c r="F138" s="26">
        <f>E138/$C$10/$C$21</f>
        <v>477.98371004185077</v>
      </c>
      <c r="G138" s="31">
        <f>E138/$C$10*$C$8</f>
        <v>563.31718582820235</v>
      </c>
      <c r="H138" s="15"/>
      <c r="L138" s="5" t="s">
        <v>14</v>
      </c>
      <c r="M138" s="163">
        <f>77*$C$11</f>
        <v>438.90000000000003</v>
      </c>
      <c r="N138" s="94">
        <f>M138/$C$10/$C$21</f>
        <v>425.98085269933455</v>
      </c>
      <c r="O138" s="31">
        <f>M138/$C$10*$C$8</f>
        <v>502.03036237004136</v>
      </c>
      <c r="P138" s="15"/>
      <c r="S138" s="76"/>
      <c r="T138" s="68" t="s">
        <v>37</v>
      </c>
      <c r="U138" s="7"/>
    </row>
    <row r="139" spans="1:21" ht="10.5" customHeight="1" x14ac:dyDescent="0.35">
      <c r="A139" s="285"/>
      <c r="B139" s="276"/>
      <c r="C139" s="4" t="s">
        <v>94</v>
      </c>
      <c r="D139" s="34"/>
      <c r="F139" s="164">
        <f>SUMPRODUCT(F136:F138,D136:D138)</f>
        <v>1061.5221560512769</v>
      </c>
      <c r="G139" s="164">
        <f>SUMPRODUCT(G137:G138,D137:D138)</f>
        <v>1251.0335835267992</v>
      </c>
      <c r="H139" s="15"/>
      <c r="L139" s="4" t="s">
        <v>94</v>
      </c>
      <c r="M139" s="164">
        <f>SUMPRODUCT(M137:M138,D137:D138)</f>
        <v>877.80000000000007</v>
      </c>
      <c r="N139" s="164">
        <f>SUMPRODUCT(N137:N138,D137:D138)</f>
        <v>851.9617053986691</v>
      </c>
      <c r="O139" s="164">
        <f>SUMPRODUCT(O137:O138,D137:D138)</f>
        <v>1004.0607247400827</v>
      </c>
      <c r="P139" s="15"/>
      <c r="S139" s="76"/>
      <c r="T139" s="69" t="s">
        <v>83</v>
      </c>
      <c r="U139" s="7"/>
    </row>
    <row r="140" spans="1:21" ht="10.5" customHeight="1" x14ac:dyDescent="0.35">
      <c r="A140" s="285"/>
      <c r="B140" s="276"/>
      <c r="C140" s="4" t="s">
        <v>93</v>
      </c>
      <c r="F140" s="95"/>
      <c r="G140" s="203">
        <f>G139/$C$13</f>
        <v>10.878552900233037</v>
      </c>
      <c r="H140" s="16"/>
      <c r="L140" s="4" t="s">
        <v>93</v>
      </c>
      <c r="M140" s="4"/>
      <c r="N140" s="28"/>
      <c r="O140" s="86">
        <f>O139/$C$13</f>
        <v>8.7309628238268058</v>
      </c>
      <c r="P140" s="16"/>
      <c r="S140" s="76"/>
      <c r="T140" s="70">
        <f>O140/G140-1</f>
        <v>-0.19741505107358781</v>
      </c>
      <c r="U140" s="7"/>
    </row>
    <row r="141" spans="1:21" ht="10.5" customHeight="1" x14ac:dyDescent="0.35">
      <c r="A141" s="285"/>
      <c r="B141" s="266"/>
      <c r="F141" s="57"/>
      <c r="G141" s="41"/>
      <c r="H141" s="15"/>
      <c r="O141" s="34"/>
      <c r="P141" s="15"/>
      <c r="T141" s="34"/>
    </row>
    <row r="142" spans="1:21" ht="10.5" customHeight="1" x14ac:dyDescent="0.35">
      <c r="A142" s="285"/>
      <c r="B142" s="286" t="s">
        <v>12</v>
      </c>
      <c r="C142" s="24" t="s">
        <v>17</v>
      </c>
      <c r="D142" s="46" t="s">
        <v>16</v>
      </c>
      <c r="E142" s="24" t="s">
        <v>18</v>
      </c>
      <c r="F142" s="89" t="s">
        <v>21</v>
      </c>
      <c r="G142" s="24" t="s">
        <v>19</v>
      </c>
      <c r="H142" s="15"/>
      <c r="L142" s="24" t="s">
        <v>17</v>
      </c>
      <c r="M142" s="249" t="s">
        <v>111</v>
      </c>
      <c r="N142" s="24" t="s">
        <v>21</v>
      </c>
      <c r="O142" s="24" t="s">
        <v>19</v>
      </c>
      <c r="P142" s="15"/>
      <c r="T142" s="2"/>
    </row>
    <row r="143" spans="1:21" ht="10.5" customHeight="1" x14ac:dyDescent="0.35">
      <c r="A143" s="285"/>
      <c r="B143" s="287"/>
      <c r="C143" s="5" t="s">
        <v>27</v>
      </c>
      <c r="D143" s="173">
        <f>$D$137</f>
        <v>1</v>
      </c>
      <c r="E143" s="166">
        <f>19.08*$C$11</f>
        <v>108.756</v>
      </c>
      <c r="F143" s="26">
        <f>E143/$C$10/$C$21</f>
        <v>105.55473596757537</v>
      </c>
      <c r="G143" s="31">
        <f>E143/$C$10*$C$8</f>
        <v>124.39921187039465</v>
      </c>
      <c r="H143" s="15"/>
      <c r="L143" s="5" t="s">
        <v>27</v>
      </c>
      <c r="M143" s="163">
        <v>0</v>
      </c>
      <c r="N143" s="26">
        <f>M143/$C$10/$C$21</f>
        <v>0</v>
      </c>
      <c r="O143" s="31">
        <f>M143/$C$10*$C$8</f>
        <v>0</v>
      </c>
      <c r="P143" s="15"/>
      <c r="T143" s="2"/>
    </row>
    <row r="144" spans="1:21" ht="10.5" customHeight="1" x14ac:dyDescent="0.35">
      <c r="A144" s="285"/>
      <c r="B144" s="287"/>
      <c r="C144" s="5" t="s">
        <v>14</v>
      </c>
      <c r="D144" s="173">
        <f>$D$138</f>
        <v>2</v>
      </c>
      <c r="E144" s="166">
        <f>86.4*$C$11</f>
        <v>492.48000000000008</v>
      </c>
      <c r="F144" s="26">
        <f>E144/$C$10/$C$21</f>
        <v>477.98371004185077</v>
      </c>
      <c r="G144" s="31">
        <f>E144/$C$10*$C$8</f>
        <v>563.31718582820235</v>
      </c>
      <c r="H144" s="15"/>
      <c r="L144" s="5" t="s">
        <v>14</v>
      </c>
      <c r="M144" s="163">
        <f>77*$C$11</f>
        <v>438.90000000000003</v>
      </c>
      <c r="N144" s="26">
        <f>M144/$C$10/$C$21</f>
        <v>425.98085269933455</v>
      </c>
      <c r="O144" s="31">
        <f>M144/$C$10*$C$8</f>
        <v>502.03036237004136</v>
      </c>
      <c r="P144" s="15"/>
      <c r="S144" s="76"/>
      <c r="T144" s="2"/>
      <c r="U144" s="7"/>
    </row>
    <row r="145" spans="1:21" ht="10.5" customHeight="1" x14ac:dyDescent="0.35">
      <c r="A145" s="285"/>
      <c r="B145" s="287"/>
      <c r="C145" s="4" t="s">
        <v>52</v>
      </c>
      <c r="D145" s="34"/>
      <c r="E145" s="165">
        <f>SUMPRODUCT(E143:E144,D143:D144)</f>
        <v>1093.7160000000001</v>
      </c>
      <c r="F145" s="163">
        <f>SUMPRODUCT(F143:F144,D143:D144)</f>
        <v>1061.5221560512769</v>
      </c>
      <c r="G145" s="165">
        <f>SUMPRODUCT(G143:G144,D143:D144)</f>
        <v>1251.0335835267992</v>
      </c>
      <c r="H145" s="58"/>
      <c r="L145" s="4" t="s">
        <v>52</v>
      </c>
      <c r="M145" s="166">
        <f>SUMPRODUCT(M143:M144,$D$143:$D$144)</f>
        <v>877.80000000000007</v>
      </c>
      <c r="N145" s="166">
        <f>SUMPRODUCT(N143:N144,$D$143:$D$144)</f>
        <v>851.9617053986691</v>
      </c>
      <c r="O145" s="165">
        <f>SUMPRODUCT(O143:O144,$D$143:$D$144)</f>
        <v>1004.0607247400827</v>
      </c>
      <c r="P145" s="19"/>
      <c r="S145" s="76"/>
      <c r="T145" s="2"/>
      <c r="U145" s="7"/>
    </row>
    <row r="146" spans="1:21" ht="10.5" customHeight="1" x14ac:dyDescent="0.35">
      <c r="A146" s="285"/>
      <c r="B146" s="287"/>
      <c r="C146" s="4" t="s">
        <v>97</v>
      </c>
      <c r="E146" s="165"/>
      <c r="F146" s="214"/>
      <c r="G146" s="236">
        <f>G145/$C$13</f>
        <v>10.878552900233037</v>
      </c>
      <c r="H146" s="57"/>
      <c r="L146" s="4" t="s">
        <v>97</v>
      </c>
      <c r="M146" s="166"/>
      <c r="N146" s="239"/>
      <c r="O146" s="236">
        <f>O145/$C$13</f>
        <v>8.7309628238268058</v>
      </c>
      <c r="P146" s="57"/>
      <c r="S146" s="76"/>
      <c r="U146" s="7"/>
    </row>
    <row r="147" spans="1:21" ht="10.5" customHeight="1" x14ac:dyDescent="0.35">
      <c r="A147" s="285"/>
      <c r="B147" s="287"/>
      <c r="C147" s="2" t="s">
        <v>87</v>
      </c>
      <c r="E147" s="165">
        <f>E143/5.7</f>
        <v>19.079999999999998</v>
      </c>
      <c r="F147" s="214"/>
      <c r="G147" s="221">
        <f>G145*$C$16</f>
        <v>25.020671670535986</v>
      </c>
      <c r="L147" s="2" t="s">
        <v>87</v>
      </c>
      <c r="M147" s="166"/>
      <c r="N147" s="238"/>
      <c r="O147" s="221">
        <f>O145*$C$16</f>
        <v>20.081214494801653</v>
      </c>
      <c r="S147" s="76"/>
      <c r="T147" s="58"/>
      <c r="U147" s="7"/>
    </row>
    <row r="148" spans="1:21" ht="10.5" customHeight="1" x14ac:dyDescent="0.35">
      <c r="A148" s="285"/>
      <c r="B148" s="287"/>
      <c r="C148" s="2" t="s">
        <v>88</v>
      </c>
      <c r="E148" s="165">
        <f>E144/5.7</f>
        <v>86.4</v>
      </c>
      <c r="F148" s="214"/>
      <c r="G148" s="163">
        <f>E145*$D$9</f>
        <v>31.499020799999933</v>
      </c>
      <c r="L148" s="2" t="s">
        <v>88</v>
      </c>
      <c r="M148" s="166"/>
      <c r="N148" s="238"/>
      <c r="O148" s="163">
        <f>M145*$D$9</f>
        <v>25.280639999999945</v>
      </c>
      <c r="S148" s="76"/>
      <c r="T148" s="68" t="s">
        <v>37</v>
      </c>
      <c r="U148" s="7"/>
    </row>
    <row r="149" spans="1:21" ht="10.5" customHeight="1" x14ac:dyDescent="0.35">
      <c r="A149" s="285"/>
      <c r="B149" s="287"/>
      <c r="C149" s="2" t="s">
        <v>90</v>
      </c>
      <c r="E149" s="165"/>
      <c r="F149" s="214"/>
      <c r="G149" s="220">
        <f>SUM(G147+G148)/G145</f>
        <v>4.5178397458524477E-2</v>
      </c>
      <c r="L149" s="2" t="s">
        <v>90</v>
      </c>
      <c r="N149" s="164">
        <f>SUMPRODUCT(N143:N144,D143:D144)</f>
        <v>851.9617053986691</v>
      </c>
      <c r="O149" s="220">
        <f>SUM(O147+O148)/O145</f>
        <v>4.5178397458524477E-2</v>
      </c>
      <c r="S149" s="76"/>
      <c r="T149" s="69" t="s">
        <v>81</v>
      </c>
      <c r="U149" s="7"/>
    </row>
    <row r="150" spans="1:21" ht="10.5" customHeight="1" x14ac:dyDescent="0.35">
      <c r="A150" s="285"/>
      <c r="B150" s="288"/>
      <c r="C150" s="2" t="s">
        <v>98</v>
      </c>
      <c r="F150" s="28"/>
      <c r="G150" s="236">
        <f>G145/$C$17</f>
        <v>10.408321609674992</v>
      </c>
      <c r="H150" s="219">
        <f>G150/G140-1</f>
        <v>-4.322553696898157E-2</v>
      </c>
      <c r="I150" s="62"/>
      <c r="J150" s="20"/>
      <c r="K150" s="14"/>
      <c r="L150" s="2" t="s">
        <v>98</v>
      </c>
      <c r="M150" s="118"/>
      <c r="N150" s="39"/>
      <c r="O150" s="236">
        <f>O145/$C$17</f>
        <v>8.3535622675106769</v>
      </c>
      <c r="P150" s="219">
        <f>O150/O140-1</f>
        <v>-4.322553696898157E-2</v>
      </c>
      <c r="Q150" s="62"/>
      <c r="R150" s="20"/>
      <c r="S150" s="77"/>
      <c r="T150" s="70">
        <f>O150/G150-1</f>
        <v>-0.1974150510735877</v>
      </c>
      <c r="U150" s="7"/>
    </row>
    <row r="151" spans="1:21" ht="10.5" customHeight="1" x14ac:dyDescent="0.35">
      <c r="A151" s="285"/>
      <c r="B151" s="266"/>
      <c r="F151" s="57"/>
      <c r="G151" s="41"/>
      <c r="H151" s="17"/>
      <c r="L151" s="19"/>
      <c r="O151" s="34"/>
      <c r="P151" s="17"/>
      <c r="T151" s="34"/>
    </row>
    <row r="152" spans="1:21" ht="10.5" customHeight="1" x14ac:dyDescent="0.35">
      <c r="A152" s="285"/>
      <c r="B152" s="279" t="s">
        <v>92</v>
      </c>
      <c r="C152" s="24" t="s">
        <v>17</v>
      </c>
      <c r="D152" s="46" t="s">
        <v>16</v>
      </c>
      <c r="E152" s="24" t="s">
        <v>18</v>
      </c>
      <c r="F152" s="89" t="s">
        <v>21</v>
      </c>
      <c r="G152" s="24" t="s">
        <v>19</v>
      </c>
      <c r="H152" s="15"/>
      <c r="L152" s="24" t="s">
        <v>17</v>
      </c>
      <c r="M152" s="249" t="s">
        <v>111</v>
      </c>
      <c r="N152" s="24" t="s">
        <v>21</v>
      </c>
      <c r="O152" s="24" t="s">
        <v>19</v>
      </c>
      <c r="P152" s="15"/>
    </row>
    <row r="153" spans="1:21" ht="10.5" customHeight="1" x14ac:dyDescent="0.35">
      <c r="A153" s="285"/>
      <c r="B153" s="279"/>
      <c r="C153" s="5" t="s">
        <v>27</v>
      </c>
      <c r="D153" s="173">
        <f>$D$137</f>
        <v>1</v>
      </c>
      <c r="E153" s="49">
        <f>19.08</f>
        <v>19.079999999999998</v>
      </c>
      <c r="F153" s="50">
        <f>E153/$C$10/$C$21</f>
        <v>18.518374731153571</v>
      </c>
      <c r="G153" s="50">
        <f>E153/$E$10*$E$8</f>
        <v>20.923096800242249</v>
      </c>
      <c r="H153" s="15"/>
      <c r="L153" s="5" t="s">
        <v>27</v>
      </c>
      <c r="M153" s="29">
        <v>0</v>
      </c>
      <c r="N153" s="50">
        <f>M153/$C$10/$C$21</f>
        <v>0</v>
      </c>
      <c r="O153" s="50">
        <f>M153/$E$10*$E$8</f>
        <v>0</v>
      </c>
      <c r="P153" s="15"/>
      <c r="T153" s="58"/>
    </row>
    <row r="154" spans="1:21" ht="10.5" customHeight="1" x14ac:dyDescent="0.35">
      <c r="A154" s="285"/>
      <c r="B154" s="279"/>
      <c r="C154" s="5" t="s">
        <v>14</v>
      </c>
      <c r="D154" s="173">
        <f>$D$138</f>
        <v>2</v>
      </c>
      <c r="E154" s="49">
        <f>86.4</f>
        <v>86.4</v>
      </c>
      <c r="F154" s="50">
        <f>E154/$C$10/$C$21</f>
        <v>83.856791235412402</v>
      </c>
      <c r="G154" s="50">
        <f>E154/$E$10*$E$8</f>
        <v>94.74609871807813</v>
      </c>
      <c r="H154" s="15"/>
      <c r="L154" s="5" t="s">
        <v>14</v>
      </c>
      <c r="M154" s="29">
        <v>77</v>
      </c>
      <c r="N154" s="50">
        <f>M154/$C$10/$C$21</f>
        <v>74.733482929707819</v>
      </c>
      <c r="O154" s="50">
        <f>M154/$E$10*$E$8</f>
        <v>84.438074089027964</v>
      </c>
      <c r="P154" s="15"/>
      <c r="S154" s="76"/>
      <c r="T154" s="68" t="s">
        <v>37</v>
      </c>
      <c r="U154" s="7"/>
    </row>
    <row r="155" spans="1:21" ht="10.5" customHeight="1" x14ac:dyDescent="0.35">
      <c r="A155" s="285"/>
      <c r="B155" s="279"/>
      <c r="C155" s="4" t="s">
        <v>95</v>
      </c>
      <c r="D155" s="34"/>
      <c r="E155" s="50"/>
      <c r="F155" s="49">
        <f>SUMPRODUCT(F153:F154,D153:D154)</f>
        <v>186.23195720197839</v>
      </c>
      <c r="G155" s="54">
        <f>SUMPRODUCT(G153:G154,D153:D154)</f>
        <v>210.41529423639849</v>
      </c>
      <c r="H155" s="15"/>
      <c r="I155" s="19"/>
      <c r="L155" s="4" t="s">
        <v>95</v>
      </c>
      <c r="M155" s="49">
        <f>SUMPRODUCT(M153:M154,D153:D154)</f>
        <v>154</v>
      </c>
      <c r="N155" s="49">
        <f>SUMPRODUCT(N153:N154,D153:D154)</f>
        <v>149.46696585941564</v>
      </c>
      <c r="O155" s="35">
        <f>SUMPRODUCT(O153:O154,D153:D154)</f>
        <v>168.87614817805593</v>
      </c>
      <c r="P155" s="15"/>
      <c r="Q155" s="19"/>
      <c r="S155" s="76"/>
      <c r="T155" s="69" t="s">
        <v>82</v>
      </c>
      <c r="U155" s="7"/>
    </row>
    <row r="156" spans="1:21" ht="10.5" customHeight="1" x14ac:dyDescent="0.35">
      <c r="A156" s="285"/>
      <c r="B156" s="279"/>
      <c r="C156" s="2" t="s">
        <v>96</v>
      </c>
      <c r="F156" s="95"/>
      <c r="G156" s="86">
        <f>G155/$D$14</f>
        <v>10.019775916018975</v>
      </c>
      <c r="H156" s="61"/>
      <c r="I156" s="127">
        <f>G156/G140-1</f>
        <v>-7.8942207855207003E-2</v>
      </c>
      <c r="J156" s="16"/>
      <c r="L156" s="2" t="s">
        <v>96</v>
      </c>
      <c r="M156" s="4"/>
      <c r="N156" s="28"/>
      <c r="O156" s="86">
        <f>O155/$D$14</f>
        <v>8.0417213418121865</v>
      </c>
      <c r="P156" s="61"/>
      <c r="Q156" s="127">
        <f>O156/O140-1</f>
        <v>-7.8942207855206781E-2</v>
      </c>
      <c r="R156" s="16"/>
      <c r="S156" s="76"/>
      <c r="T156" s="70">
        <f>O156/G156-1</f>
        <v>-0.19741505107358759</v>
      </c>
      <c r="U156" s="7"/>
    </row>
    <row r="157" spans="1:21" ht="10.5" customHeight="1" x14ac:dyDescent="0.35">
      <c r="A157" s="285"/>
      <c r="B157" s="266"/>
      <c r="F157" s="57"/>
      <c r="G157" s="41"/>
      <c r="H157" s="15"/>
      <c r="I157" s="17"/>
      <c r="O157" s="34"/>
      <c r="P157" s="15"/>
      <c r="Q157" s="17"/>
      <c r="T157" s="34"/>
    </row>
    <row r="158" spans="1:21" ht="10.5" customHeight="1" x14ac:dyDescent="0.35">
      <c r="A158" s="285"/>
      <c r="B158" s="277" t="s">
        <v>23</v>
      </c>
      <c r="C158" s="24" t="s">
        <v>17</v>
      </c>
      <c r="D158" s="46" t="s">
        <v>16</v>
      </c>
      <c r="E158" s="24" t="s">
        <v>18</v>
      </c>
      <c r="F158" s="89" t="s">
        <v>21</v>
      </c>
      <c r="G158" s="24" t="s">
        <v>19</v>
      </c>
      <c r="H158" s="15"/>
      <c r="L158" s="24" t="s">
        <v>17</v>
      </c>
      <c r="M158" s="249" t="s">
        <v>111</v>
      </c>
      <c r="N158" s="24" t="s">
        <v>21</v>
      </c>
      <c r="O158" s="24" t="s">
        <v>19</v>
      </c>
      <c r="P158" s="15"/>
    </row>
    <row r="159" spans="1:21" ht="10.5" customHeight="1" x14ac:dyDescent="0.35">
      <c r="A159" s="285"/>
      <c r="B159" s="278"/>
      <c r="C159" s="5" t="s">
        <v>27</v>
      </c>
      <c r="D159" s="173">
        <f>$D$137</f>
        <v>1</v>
      </c>
      <c r="E159" s="49">
        <f>19.08</f>
        <v>19.079999999999998</v>
      </c>
      <c r="F159" s="50">
        <f>E159/$C$10/$C$21</f>
        <v>18.518374731153571</v>
      </c>
      <c r="G159" s="50">
        <f>E159/$E$10*$E$8</f>
        <v>20.923096800242249</v>
      </c>
      <c r="H159" s="15"/>
      <c r="L159" s="5" t="s">
        <v>27</v>
      </c>
      <c r="M159" s="29">
        <v>0</v>
      </c>
      <c r="N159" s="48">
        <f>M159/$C$10/$C$21</f>
        <v>0</v>
      </c>
      <c r="O159" s="50">
        <f>M159/$E$10*$E$8</f>
        <v>0</v>
      </c>
      <c r="P159" s="15"/>
      <c r="T159" s="58"/>
    </row>
    <row r="160" spans="1:21" ht="10.5" customHeight="1" x14ac:dyDescent="0.35">
      <c r="A160" s="285"/>
      <c r="B160" s="278"/>
      <c r="C160" s="5" t="s">
        <v>14</v>
      </c>
      <c r="D160" s="173">
        <f>$D$138</f>
        <v>2</v>
      </c>
      <c r="E160" s="49">
        <f>86.4</f>
        <v>86.4</v>
      </c>
      <c r="F160" s="50">
        <f>E160/$C$10/$C$21</f>
        <v>83.856791235412402</v>
      </c>
      <c r="G160" s="50">
        <f>E160/$E$10*$E$8</f>
        <v>94.74609871807813</v>
      </c>
      <c r="H160" s="15"/>
      <c r="L160" s="5" t="s">
        <v>14</v>
      </c>
      <c r="M160" s="29">
        <v>77</v>
      </c>
      <c r="N160" s="48">
        <f>M160/$C$10/$C$21</f>
        <v>74.733482929707819</v>
      </c>
      <c r="O160" s="50">
        <f>M160/$E$10*$E$8</f>
        <v>84.438074089027964</v>
      </c>
      <c r="P160" s="15"/>
      <c r="S160" s="76"/>
      <c r="T160" s="58"/>
      <c r="U160" s="7"/>
    </row>
    <row r="161" spans="1:21" ht="10.5" customHeight="1" x14ac:dyDescent="0.35">
      <c r="A161" s="285"/>
      <c r="B161" s="278"/>
      <c r="C161" s="4" t="s">
        <v>53</v>
      </c>
      <c r="D161" s="34"/>
      <c r="E161" s="132">
        <f>SUMPRODUCT(E159:E160,D159:D160)</f>
        <v>191.88</v>
      </c>
      <c r="F161" s="132">
        <f>SUMPRODUCT(F159:F160,D159:D160)</f>
        <v>186.23195720197839</v>
      </c>
      <c r="G161" s="134">
        <f>SUMPRODUCT(G159:G160,D159:D160)</f>
        <v>210.41529423639849</v>
      </c>
      <c r="H161" s="58"/>
      <c r="I161" s="19"/>
      <c r="J161" s="19"/>
      <c r="L161" s="4" t="s">
        <v>53</v>
      </c>
      <c r="M161" s="258">
        <f>SUMPRODUCT(M159:M160,D159:D160)</f>
        <v>154</v>
      </c>
      <c r="N161" s="132">
        <f>SUMPRODUCT(N159:N160,D159:D160)</f>
        <v>149.46696585941564</v>
      </c>
      <c r="O161" s="134">
        <f>SUMPRODUCT(O159:O160,D159:D160)</f>
        <v>168.87614817805593</v>
      </c>
      <c r="P161" s="58"/>
      <c r="Q161" s="19"/>
      <c r="R161" s="19"/>
      <c r="S161" s="76"/>
      <c r="U161" s="7"/>
    </row>
    <row r="162" spans="1:21" ht="10.5" customHeight="1" x14ac:dyDescent="0.35">
      <c r="A162" s="285"/>
      <c r="B162" s="278"/>
      <c r="C162" s="4" t="s">
        <v>97</v>
      </c>
      <c r="E162" s="165"/>
      <c r="F162" s="214"/>
      <c r="G162" s="236">
        <f>G161/$D$14</f>
        <v>10.019775916018975</v>
      </c>
      <c r="H162" s="139"/>
      <c r="I162" s="215"/>
      <c r="J162" s="215"/>
      <c r="L162" s="4" t="s">
        <v>97</v>
      </c>
      <c r="M162" s="165"/>
      <c r="N162" s="214"/>
      <c r="O162" s="236">
        <f>O161/$D$14</f>
        <v>8.0417213418121865</v>
      </c>
      <c r="P162" s="139"/>
      <c r="Q162" s="215"/>
      <c r="R162" s="215"/>
      <c r="S162" s="76"/>
      <c r="U162" s="7"/>
    </row>
    <row r="163" spans="1:21" ht="10.5" customHeight="1" x14ac:dyDescent="0.35">
      <c r="A163" s="285"/>
      <c r="B163" s="278"/>
      <c r="C163" s="2" t="s">
        <v>87</v>
      </c>
      <c r="E163" s="165"/>
      <c r="F163" s="214"/>
      <c r="G163" s="230">
        <f>G161*$D$16</f>
        <v>4.2083058847279702</v>
      </c>
      <c r="H163" s="139"/>
      <c r="I163" s="215"/>
      <c r="J163" s="215"/>
      <c r="L163" s="2" t="s">
        <v>87</v>
      </c>
      <c r="M163" s="165"/>
      <c r="N163" s="214"/>
      <c r="O163" s="230">
        <f>O161*$D$16</f>
        <v>3.3775229635611188</v>
      </c>
      <c r="P163" s="139"/>
      <c r="Q163" s="215"/>
      <c r="R163" s="215"/>
      <c r="S163" s="76"/>
      <c r="T163" s="58"/>
      <c r="U163" s="7"/>
    </row>
    <row r="164" spans="1:21" ht="10.5" customHeight="1" x14ac:dyDescent="0.35">
      <c r="A164" s="285"/>
      <c r="B164" s="278"/>
      <c r="C164" s="2" t="s">
        <v>88</v>
      </c>
      <c r="E164" s="165"/>
      <c r="F164" s="214"/>
      <c r="G164" s="29">
        <f>E161*$F$9</f>
        <v>6.9076800000000063</v>
      </c>
      <c r="H164" s="139"/>
      <c r="I164" s="215"/>
      <c r="J164" s="215"/>
      <c r="L164" s="2" t="s">
        <v>88</v>
      </c>
      <c r="M164" s="165"/>
      <c r="N164" s="214"/>
      <c r="O164" s="29">
        <f>M161*$F$9</f>
        <v>5.5440000000000049</v>
      </c>
      <c r="P164" s="139"/>
      <c r="Q164" s="215"/>
      <c r="R164" s="215"/>
      <c r="S164" s="76"/>
      <c r="T164" s="68" t="s">
        <v>37</v>
      </c>
      <c r="U164" s="7"/>
    </row>
    <row r="165" spans="1:21" ht="10.5" customHeight="1" x14ac:dyDescent="0.35">
      <c r="A165" s="285"/>
      <c r="B165" s="278"/>
      <c r="C165" s="2" t="s">
        <v>90</v>
      </c>
      <c r="E165" s="165"/>
      <c r="F165" s="214"/>
      <c r="G165" s="220">
        <f>SUM(G163+G164)/G161</f>
        <v>5.2828792341678969E-2</v>
      </c>
      <c r="H165" s="139"/>
      <c r="I165" s="215"/>
      <c r="J165" s="215"/>
      <c r="L165" s="2" t="s">
        <v>90</v>
      </c>
      <c r="M165" s="165"/>
      <c r="N165" s="214"/>
      <c r="O165" s="220">
        <f>SUM(O163+O164)/O161</f>
        <v>5.2828792341678969E-2</v>
      </c>
      <c r="P165" s="139"/>
      <c r="Q165" s="215"/>
      <c r="R165" s="215"/>
      <c r="S165" s="76"/>
      <c r="T165" s="69" t="s">
        <v>113</v>
      </c>
      <c r="U165" s="7"/>
    </row>
    <row r="166" spans="1:21" ht="10.5" customHeight="1" x14ac:dyDescent="0.35">
      <c r="A166" s="285"/>
      <c r="B166" s="278"/>
      <c r="C166" s="2" t="s">
        <v>99</v>
      </c>
      <c r="F166" s="28"/>
      <c r="G166" s="236">
        <f>G161/$D$17</f>
        <v>9.5170040835729868</v>
      </c>
      <c r="H166" s="57"/>
      <c r="I166" s="18"/>
      <c r="J166" s="127">
        <f>G166/G140-1</f>
        <v>-0.12515900130713931</v>
      </c>
      <c r="L166" s="2" t="s">
        <v>99</v>
      </c>
      <c r="N166" s="28"/>
      <c r="O166" s="236">
        <f>O161/$D$17</f>
        <v>7.6382042363468843</v>
      </c>
      <c r="P166" s="57"/>
      <c r="Q166" s="18"/>
      <c r="R166" s="127">
        <f>O166/O140-1</f>
        <v>-0.12515900130713908</v>
      </c>
      <c r="S166" s="76"/>
      <c r="T166" s="70">
        <f>O166/G166-1</f>
        <v>-0.19741505107358759</v>
      </c>
      <c r="U166" s="7"/>
    </row>
    <row r="167" spans="1:21" ht="10.5" customHeight="1" x14ac:dyDescent="0.35">
      <c r="B167" s="266"/>
      <c r="F167" s="57"/>
      <c r="G167" s="41"/>
      <c r="H167" s="15"/>
      <c r="N167" s="39"/>
      <c r="O167" s="210">
        <f>O166/G140-1</f>
        <v>-0.29786578174535872</v>
      </c>
      <c r="P167" s="16"/>
      <c r="T167" s="34"/>
    </row>
    <row r="168" spans="1:21" ht="10.5" customHeight="1" x14ac:dyDescent="0.35">
      <c r="B168" s="266"/>
      <c r="F168" s="57"/>
      <c r="G168" s="39"/>
      <c r="H168" s="15"/>
      <c r="O168" s="34"/>
      <c r="P168" s="15"/>
    </row>
    <row r="169" spans="1:21" ht="10.5" customHeight="1" x14ac:dyDescent="0.35">
      <c r="B169" s="266"/>
      <c r="E169" s="244" t="s">
        <v>103</v>
      </c>
      <c r="F169" s="57"/>
      <c r="G169" s="39"/>
      <c r="H169" s="15"/>
      <c r="M169" s="244" t="s">
        <v>104</v>
      </c>
      <c r="P169" s="15"/>
    </row>
    <row r="170" spans="1:21" ht="10.5" customHeight="1" x14ac:dyDescent="0.35">
      <c r="B170" s="266"/>
      <c r="C170" s="247"/>
      <c r="D170" s="247"/>
      <c r="E170" s="30">
        <f>$C$4</f>
        <v>46296</v>
      </c>
      <c r="F170" s="89" t="s">
        <v>20</v>
      </c>
      <c r="G170" s="30">
        <f>$C$5</f>
        <v>46512</v>
      </c>
      <c r="H170" s="15"/>
      <c r="M170" s="30">
        <f>$C$4</f>
        <v>46296</v>
      </c>
      <c r="N170" s="24" t="s">
        <v>20</v>
      </c>
      <c r="O170" s="30">
        <f>$C$5</f>
        <v>46512</v>
      </c>
      <c r="P170" s="15"/>
    </row>
    <row r="171" spans="1:21" ht="10.5" customHeight="1" x14ac:dyDescent="0.35">
      <c r="A171" s="282" t="s">
        <v>106</v>
      </c>
      <c r="B171" s="276" t="s">
        <v>22</v>
      </c>
      <c r="C171" s="24" t="s">
        <v>17</v>
      </c>
      <c r="D171" s="98" t="s">
        <v>44</v>
      </c>
      <c r="E171" s="24" t="s">
        <v>18</v>
      </c>
      <c r="F171" s="93">
        <v>0.04</v>
      </c>
      <c r="G171" s="24" t="s">
        <v>19</v>
      </c>
      <c r="H171" s="15"/>
      <c r="L171" s="24" t="s">
        <v>17</v>
      </c>
      <c r="M171" s="249" t="s">
        <v>111</v>
      </c>
      <c r="N171" s="25">
        <v>0.04</v>
      </c>
      <c r="O171" s="24" t="s">
        <v>19</v>
      </c>
      <c r="P171" s="15"/>
    </row>
    <row r="172" spans="1:21" ht="10.5" customHeight="1" x14ac:dyDescent="0.35">
      <c r="A172" s="283"/>
      <c r="B172" s="276"/>
      <c r="C172" s="5" t="s">
        <v>27</v>
      </c>
      <c r="D172" s="245">
        <v>1.5</v>
      </c>
      <c r="E172" s="166">
        <f>19.08*$C$11</f>
        <v>108.756</v>
      </c>
      <c r="F172" s="26">
        <f>E172/$C$10/$C$21</f>
        <v>105.55473596757537</v>
      </c>
      <c r="G172" s="31">
        <f t="shared" ref="G172:G174" si="2">E172/$C$10*$C$8</f>
        <v>124.39921187039465</v>
      </c>
      <c r="H172" s="15"/>
      <c r="L172" s="5" t="s">
        <v>27</v>
      </c>
      <c r="M172" s="163">
        <v>0</v>
      </c>
      <c r="N172" s="26">
        <f>M172/$C$10/$C$21</f>
        <v>0</v>
      </c>
      <c r="O172" s="31">
        <f t="shared" ref="O172:O174" si="3">M172/$C$10*$C$8</f>
        <v>0</v>
      </c>
      <c r="P172" s="15"/>
    </row>
    <row r="173" spans="1:21" ht="10.5" customHeight="1" x14ac:dyDescent="0.35">
      <c r="A173" s="283"/>
      <c r="B173" s="276"/>
      <c r="C173" s="5" t="s">
        <v>14</v>
      </c>
      <c r="D173" s="245">
        <v>2</v>
      </c>
      <c r="E173" s="166">
        <f>86.4*$C$11</f>
        <v>492.48000000000008</v>
      </c>
      <c r="F173" s="26">
        <f>E173/$C$10/$C$21</f>
        <v>477.98371004185077</v>
      </c>
      <c r="G173" s="31">
        <f t="shared" si="2"/>
        <v>563.31718582820235</v>
      </c>
      <c r="H173" s="15"/>
      <c r="L173" s="5" t="s">
        <v>14</v>
      </c>
      <c r="M173" s="163">
        <f>77*$C$11</f>
        <v>438.90000000000003</v>
      </c>
      <c r="N173" s="26">
        <f>M173/$C$10/$C$21</f>
        <v>425.98085269933455</v>
      </c>
      <c r="O173" s="31">
        <f t="shared" si="3"/>
        <v>502.03036237004136</v>
      </c>
      <c r="P173" s="15"/>
      <c r="T173" s="58"/>
    </row>
    <row r="174" spans="1:21" ht="10.5" customHeight="1" x14ac:dyDescent="0.35">
      <c r="A174" s="283"/>
      <c r="B174" s="276"/>
      <c r="C174" s="5" t="s">
        <v>72</v>
      </c>
      <c r="D174" s="245">
        <v>1</v>
      </c>
      <c r="E174" s="166">
        <f>64.61*$C$11</f>
        <v>368.27699999999999</v>
      </c>
      <c r="F174" s="26">
        <f>E174/$C$10/$C$21</f>
        <v>357.43666094680526</v>
      </c>
      <c r="G174" s="31">
        <f t="shared" si="2"/>
        <v>421.24911315231651</v>
      </c>
      <c r="H174" s="15"/>
      <c r="L174" s="5" t="s">
        <v>72</v>
      </c>
      <c r="M174" s="163">
        <f>64.61*$C$11</f>
        <v>368.27699999999999</v>
      </c>
      <c r="N174" s="26">
        <f>M174/$C$10/$C$21</f>
        <v>357.43666094680526</v>
      </c>
      <c r="O174" s="31">
        <f t="shared" si="3"/>
        <v>421.24911315231651</v>
      </c>
      <c r="P174" s="15"/>
      <c r="S174" s="76"/>
      <c r="T174" s="68" t="s">
        <v>37</v>
      </c>
      <c r="U174" s="7"/>
    </row>
    <row r="175" spans="1:21" ht="10.5" customHeight="1" x14ac:dyDescent="0.35">
      <c r="A175" s="283"/>
      <c r="B175" s="276"/>
      <c r="C175" s="4" t="s">
        <v>94</v>
      </c>
      <c r="D175" s="34"/>
      <c r="E175" s="166">
        <f>SUMPRODUCT(E172:E174,D172:D174)</f>
        <v>1516.3710000000001</v>
      </c>
      <c r="F175" s="166">
        <f>SUMPRODUCT(F172:F174,D172:D174)</f>
        <v>1471.7361849818699</v>
      </c>
      <c r="G175" s="171">
        <f>SUMPRODUCT(G172:G174,D172:D174)</f>
        <v>1734.4823026143133</v>
      </c>
      <c r="H175" s="15"/>
      <c r="L175" s="4" t="s">
        <v>94</v>
      </c>
      <c r="M175" s="171">
        <f>SUMPRODUCT(M172:M174,D172:D174)</f>
        <v>1246.077</v>
      </c>
      <c r="N175" s="171">
        <f>SUMPRODUCT(N172:N174,D172:D174)</f>
        <v>1209.3983663454744</v>
      </c>
      <c r="O175" s="171">
        <f>SUMPRODUCT(O172:O174,D172:D174)</f>
        <v>1425.3098378923992</v>
      </c>
      <c r="P175" s="15"/>
      <c r="S175" s="76"/>
      <c r="T175" s="69" t="s">
        <v>83</v>
      </c>
      <c r="U175" s="7"/>
    </row>
    <row r="176" spans="1:21" ht="10.5" customHeight="1" x14ac:dyDescent="0.35">
      <c r="A176" s="283"/>
      <c r="B176" s="276"/>
      <c r="C176" s="4" t="s">
        <v>93</v>
      </c>
      <c r="F176" s="95"/>
      <c r="G176" s="203">
        <f>G175/$C$13</f>
        <v>15.082454805341856</v>
      </c>
      <c r="H176" s="16"/>
      <c r="L176" s="4" t="s">
        <v>93</v>
      </c>
      <c r="M176" s="4"/>
      <c r="N176" s="39"/>
      <c r="O176" s="86">
        <f>O175/$C$13</f>
        <v>12.393998590368689</v>
      </c>
      <c r="P176" s="16"/>
      <c r="S176" s="76"/>
      <c r="T176" s="70">
        <f>O176/G176-1</f>
        <v>-0.17825057324361937</v>
      </c>
      <c r="U176" s="7"/>
    </row>
    <row r="177" spans="1:21" ht="10.5" customHeight="1" x14ac:dyDescent="0.35">
      <c r="A177" s="283"/>
      <c r="B177" s="266"/>
      <c r="F177" s="57"/>
      <c r="G177" s="41"/>
      <c r="H177" s="15"/>
      <c r="O177" s="34"/>
      <c r="P177" s="15"/>
      <c r="T177" s="34"/>
    </row>
    <row r="178" spans="1:21" ht="10.5" customHeight="1" x14ac:dyDescent="0.35">
      <c r="A178" s="283"/>
      <c r="B178" s="277" t="s">
        <v>12</v>
      </c>
      <c r="C178" s="24" t="s">
        <v>17</v>
      </c>
      <c r="D178" s="46" t="s">
        <v>16</v>
      </c>
      <c r="E178" s="24" t="s">
        <v>18</v>
      </c>
      <c r="F178" s="89" t="s">
        <v>21</v>
      </c>
      <c r="G178" s="24" t="s">
        <v>19</v>
      </c>
      <c r="H178" s="15"/>
      <c r="L178" s="24" t="s">
        <v>17</v>
      </c>
      <c r="M178" s="249" t="s">
        <v>111</v>
      </c>
      <c r="N178" s="101" t="s">
        <v>21</v>
      </c>
      <c r="O178" s="101" t="s">
        <v>19</v>
      </c>
      <c r="P178" s="15"/>
    </row>
    <row r="179" spans="1:21" ht="10.5" customHeight="1" x14ac:dyDescent="0.35">
      <c r="A179" s="283"/>
      <c r="B179" s="278"/>
      <c r="C179" s="5" t="s">
        <v>27</v>
      </c>
      <c r="D179" s="246">
        <f>$D$172</f>
        <v>1.5</v>
      </c>
      <c r="E179" s="166">
        <f>19.08*$C$11</f>
        <v>108.756</v>
      </c>
      <c r="F179" s="26">
        <f>E179/$C$10/$C$21</f>
        <v>105.55473596757537</v>
      </c>
      <c r="G179" s="31">
        <f t="shared" ref="G179:G181" si="4">E179/$C$10*$C$8</f>
        <v>124.39921187039465</v>
      </c>
      <c r="H179" s="15"/>
      <c r="L179" s="5" t="s">
        <v>27</v>
      </c>
      <c r="M179" s="163">
        <v>0</v>
      </c>
      <c r="N179" s="26">
        <f>M179/$C$10/$C$21</f>
        <v>0</v>
      </c>
      <c r="O179" s="31">
        <f t="shared" ref="O179:O181" si="5">M179/$C$10*$C$8</f>
        <v>0</v>
      </c>
      <c r="P179" s="15"/>
    </row>
    <row r="180" spans="1:21" ht="10.5" customHeight="1" x14ac:dyDescent="0.35">
      <c r="A180" s="283"/>
      <c r="B180" s="278"/>
      <c r="C180" s="5" t="s">
        <v>14</v>
      </c>
      <c r="D180" s="246">
        <f>$D$173</f>
        <v>2</v>
      </c>
      <c r="E180" s="166">
        <f>86.4*$C$11</f>
        <v>492.48000000000008</v>
      </c>
      <c r="F180" s="26">
        <f>E180/$C$10/$C$21</f>
        <v>477.98371004185077</v>
      </c>
      <c r="G180" s="31">
        <f t="shared" si="4"/>
        <v>563.31718582820235</v>
      </c>
      <c r="H180" s="15"/>
      <c r="L180" s="5" t="s">
        <v>14</v>
      </c>
      <c r="M180" s="163">
        <f>77*$C$11</f>
        <v>438.90000000000003</v>
      </c>
      <c r="N180" s="26">
        <f>M180/$C$10/$C$21</f>
        <v>425.98085269933455</v>
      </c>
      <c r="O180" s="31">
        <f t="shared" si="5"/>
        <v>502.03036237004136</v>
      </c>
      <c r="P180" s="15"/>
    </row>
    <row r="181" spans="1:21" ht="10.5" customHeight="1" x14ac:dyDescent="0.35">
      <c r="A181" s="283"/>
      <c r="B181" s="278"/>
      <c r="C181" s="5" t="s">
        <v>72</v>
      </c>
      <c r="D181" s="246">
        <f>$D$174</f>
        <v>1</v>
      </c>
      <c r="E181" s="166">
        <f>64.61*$C$11</f>
        <v>368.27699999999999</v>
      </c>
      <c r="F181" s="26">
        <f>E181/$C$10/$C$21</f>
        <v>357.43666094680526</v>
      </c>
      <c r="G181" s="31">
        <f t="shared" si="4"/>
        <v>421.24911315231651</v>
      </c>
      <c r="H181" s="15"/>
      <c r="L181" s="5" t="s">
        <v>72</v>
      </c>
      <c r="M181" s="163">
        <f>64.61*$C$11</f>
        <v>368.27699999999999</v>
      </c>
      <c r="N181" s="26">
        <f>M181/$C$10/$C$21</f>
        <v>357.43666094680526</v>
      </c>
      <c r="O181" s="31">
        <f t="shared" si="5"/>
        <v>421.24911315231651</v>
      </c>
      <c r="P181" s="15"/>
      <c r="S181" s="76"/>
      <c r="U181" s="7"/>
    </row>
    <row r="182" spans="1:21" ht="10.5" customHeight="1" x14ac:dyDescent="0.35">
      <c r="A182" s="283"/>
      <c r="B182" s="278"/>
      <c r="C182" s="4" t="s">
        <v>52</v>
      </c>
      <c r="D182" s="213"/>
      <c r="E182" s="166">
        <f>SUMPRODUCT(E179:E181,$D$179:$D$181)</f>
        <v>1516.3710000000001</v>
      </c>
      <c r="F182" s="166">
        <f>SUMPRODUCT(F179:F181,$D$179:$D$181)</f>
        <v>1471.7361849818699</v>
      </c>
      <c r="G182" s="165">
        <f>SUMPRODUCT(G179:G181,$D$179:$D$181)</f>
        <v>1734.4823026143133</v>
      </c>
      <c r="H182" s="19"/>
      <c r="L182" s="4" t="s">
        <v>52</v>
      </c>
      <c r="M182" s="166">
        <f>SUMPRODUCT(M179:M181,$D$179:$D$181)</f>
        <v>1246.077</v>
      </c>
      <c r="N182" s="166">
        <f>SUMPRODUCT(N179:N181,$D$179:$D$181)</f>
        <v>1209.3983663454744</v>
      </c>
      <c r="O182" s="165">
        <f>SUMPRODUCT(O179:O181,$D$179:$D$181)</f>
        <v>1425.3098378923992</v>
      </c>
      <c r="P182" s="19"/>
      <c r="S182" s="76"/>
      <c r="U182" s="7"/>
    </row>
    <row r="183" spans="1:21" ht="10.5" customHeight="1" x14ac:dyDescent="0.35">
      <c r="A183" s="283"/>
      <c r="B183" s="278"/>
      <c r="C183" s="4" t="s">
        <v>97</v>
      </c>
      <c r="E183" s="165"/>
      <c r="F183" s="214"/>
      <c r="G183" s="236">
        <f>G182/$C$13</f>
        <v>15.082454805341856</v>
      </c>
      <c r="H183" s="57"/>
      <c r="L183" s="4" t="s">
        <v>97</v>
      </c>
      <c r="M183" s="166"/>
      <c r="N183" s="239"/>
      <c r="O183" s="236">
        <f>O182/$C$13</f>
        <v>12.393998590368689</v>
      </c>
      <c r="P183" s="57"/>
      <c r="S183" s="76"/>
      <c r="U183" s="7"/>
    </row>
    <row r="184" spans="1:21" ht="10.5" customHeight="1" x14ac:dyDescent="0.35">
      <c r="A184" s="283"/>
      <c r="B184" s="278"/>
      <c r="C184" s="2" t="s">
        <v>87</v>
      </c>
      <c r="E184" s="165"/>
      <c r="F184" s="214"/>
      <c r="G184" s="221">
        <f>G182*$C$16</f>
        <v>34.689646052286264</v>
      </c>
      <c r="L184" s="2" t="s">
        <v>87</v>
      </c>
      <c r="M184" s="166"/>
      <c r="N184" s="238"/>
      <c r="O184" s="221">
        <f>O182*$C$16</f>
        <v>28.506196757847984</v>
      </c>
      <c r="S184" s="76"/>
      <c r="T184" s="58"/>
      <c r="U184" s="7"/>
    </row>
    <row r="185" spans="1:21" ht="10.5" customHeight="1" x14ac:dyDescent="0.35">
      <c r="A185" s="283"/>
      <c r="B185" s="278"/>
      <c r="C185" s="2" t="s">
        <v>88</v>
      </c>
      <c r="E185" s="165"/>
      <c r="F185" s="214"/>
      <c r="G185" s="163">
        <f>E182*$D$9</f>
        <v>43.671484799999909</v>
      </c>
      <c r="L185" s="2" t="s">
        <v>88</v>
      </c>
      <c r="M185" s="166"/>
      <c r="N185" s="238"/>
      <c r="O185" s="163">
        <f>M182*$D$9</f>
        <v>35.887017599999922</v>
      </c>
      <c r="S185" s="76"/>
      <c r="T185" s="68" t="s">
        <v>37</v>
      </c>
      <c r="U185" s="7"/>
    </row>
    <row r="186" spans="1:21" ht="10.5" customHeight="1" x14ac:dyDescent="0.35">
      <c r="A186" s="283"/>
      <c r="B186" s="278"/>
      <c r="C186" s="2" t="s">
        <v>90</v>
      </c>
      <c r="E186" s="165"/>
      <c r="F186" s="214"/>
      <c r="G186" s="220">
        <f>SUM(G184+G185)/G182</f>
        <v>4.5178397458524477E-2</v>
      </c>
      <c r="L186" s="2" t="s">
        <v>90</v>
      </c>
      <c r="N186" s="164">
        <f>SUMPRODUCT(N180:N181,D180:D181)</f>
        <v>1209.3983663454744</v>
      </c>
      <c r="O186" s="220">
        <f>SUM(O184+O185)/O182</f>
        <v>4.5178397458524484E-2</v>
      </c>
      <c r="S186" s="76"/>
      <c r="T186" s="69" t="s">
        <v>81</v>
      </c>
      <c r="U186" s="7"/>
    </row>
    <row r="187" spans="1:21" ht="10.5" customHeight="1" x14ac:dyDescent="0.35">
      <c r="A187" s="283"/>
      <c r="B187" s="278"/>
      <c r="C187" s="2" t="s">
        <v>98</v>
      </c>
      <c r="F187" s="28"/>
      <c r="G187" s="236">
        <f>G182/$C$17</f>
        <v>14.430507597570555</v>
      </c>
      <c r="H187" s="219">
        <f>G187/G176-1</f>
        <v>-4.3225536968981682E-2</v>
      </c>
      <c r="L187" s="2" t="s">
        <v>98</v>
      </c>
      <c r="M187" s="118"/>
      <c r="N187" s="39"/>
      <c r="O187" s="236">
        <f>O182/$C$17</f>
        <v>11.8582613461072</v>
      </c>
      <c r="P187" s="219">
        <f>O187/O176-1</f>
        <v>-4.3225536968981682E-2</v>
      </c>
      <c r="S187" s="76"/>
      <c r="T187" s="70">
        <f>O187/G187-1</f>
        <v>-0.17825057324361926</v>
      </c>
      <c r="U187" s="7"/>
    </row>
    <row r="188" spans="1:21" ht="10.5" customHeight="1" x14ac:dyDescent="0.35">
      <c r="A188" s="283"/>
      <c r="B188" s="266"/>
      <c r="F188" s="57"/>
      <c r="G188" s="41"/>
      <c r="H188" s="17"/>
      <c r="L188" s="19"/>
      <c r="O188" s="107"/>
      <c r="P188" s="17"/>
      <c r="T188" s="261" t="s">
        <v>114</v>
      </c>
    </row>
    <row r="189" spans="1:21" ht="10.5" customHeight="1" x14ac:dyDescent="0.35">
      <c r="A189" s="283"/>
      <c r="B189" s="279" t="s">
        <v>92</v>
      </c>
      <c r="C189" s="24" t="s">
        <v>17</v>
      </c>
      <c r="D189" s="46" t="s">
        <v>16</v>
      </c>
      <c r="E189" s="24" t="s">
        <v>18</v>
      </c>
      <c r="F189" s="89" t="s">
        <v>21</v>
      </c>
      <c r="G189" s="24" t="s">
        <v>19</v>
      </c>
      <c r="H189" s="15"/>
      <c r="L189" s="24" t="s">
        <v>17</v>
      </c>
      <c r="M189" s="249" t="s">
        <v>111</v>
      </c>
      <c r="N189" s="101" t="s">
        <v>21</v>
      </c>
      <c r="O189" s="101" t="s">
        <v>19</v>
      </c>
      <c r="P189" s="15"/>
    </row>
    <row r="190" spans="1:21" ht="10.5" customHeight="1" x14ac:dyDescent="0.35">
      <c r="A190" s="283"/>
      <c r="B190" s="279"/>
      <c r="C190" s="5" t="s">
        <v>27</v>
      </c>
      <c r="D190" s="246">
        <f>$D$172</f>
        <v>1.5</v>
      </c>
      <c r="E190" s="49">
        <v>19.079999999999998</v>
      </c>
      <c r="F190" s="50">
        <f>E190/$C$10/$C$21</f>
        <v>18.518374731153571</v>
      </c>
      <c r="G190" s="50">
        <f t="shared" ref="G190:G192" si="6">E190/$E$10*$E$8</f>
        <v>20.923096800242249</v>
      </c>
      <c r="H190" s="15"/>
      <c r="L190" s="5" t="s">
        <v>27</v>
      </c>
      <c r="M190" s="29">
        <v>0</v>
      </c>
      <c r="N190" s="50">
        <f>M190/$C$10/$C$21</f>
        <v>0</v>
      </c>
      <c r="O190" s="50">
        <f t="shared" ref="O190:O192" si="7">M190/$E$10*$E$8</f>
        <v>0</v>
      </c>
      <c r="P190" s="15"/>
    </row>
    <row r="191" spans="1:21" ht="10.5" customHeight="1" x14ac:dyDescent="0.35">
      <c r="A191" s="283"/>
      <c r="B191" s="279"/>
      <c r="C191" s="5" t="s">
        <v>14</v>
      </c>
      <c r="D191" s="246">
        <f>$D$173</f>
        <v>2</v>
      </c>
      <c r="E191" s="49">
        <v>86.4</v>
      </c>
      <c r="F191" s="50">
        <f>E191/$C$10/$C$21</f>
        <v>83.856791235412402</v>
      </c>
      <c r="G191" s="50">
        <f t="shared" si="6"/>
        <v>94.74609871807813</v>
      </c>
      <c r="H191" s="15"/>
      <c r="L191" s="5" t="s">
        <v>14</v>
      </c>
      <c r="M191" s="29">
        <v>77</v>
      </c>
      <c r="N191" s="50">
        <f>M191/$C$10/$C$21</f>
        <v>74.733482929707819</v>
      </c>
      <c r="O191" s="50">
        <f t="shared" si="7"/>
        <v>84.438074089027964</v>
      </c>
      <c r="P191" s="15"/>
      <c r="T191" s="58"/>
    </row>
    <row r="192" spans="1:21" ht="10.5" customHeight="1" x14ac:dyDescent="0.35">
      <c r="A192" s="283"/>
      <c r="B192" s="279"/>
      <c r="C192" s="5" t="s">
        <v>72</v>
      </c>
      <c r="D192" s="246">
        <f>$D$174</f>
        <v>1</v>
      </c>
      <c r="E192" s="48">
        <v>64.61</v>
      </c>
      <c r="F192" s="50">
        <f>E192/$C$10/$C$21</f>
        <v>62.708186131018465</v>
      </c>
      <c r="G192" s="50">
        <f t="shared" si="6"/>
        <v>70.851220349247996</v>
      </c>
      <c r="H192" s="15"/>
      <c r="L192" s="5" t="s">
        <v>72</v>
      </c>
      <c r="M192" s="50">
        <v>64.61</v>
      </c>
      <c r="N192" s="50">
        <f>M192/$C$10/$C$21</f>
        <v>62.708186131018465</v>
      </c>
      <c r="O192" s="50">
        <f t="shared" si="7"/>
        <v>70.851220349247996</v>
      </c>
      <c r="P192" s="15"/>
      <c r="S192" s="76"/>
      <c r="T192" s="68" t="s">
        <v>37</v>
      </c>
      <c r="U192" s="7"/>
    </row>
    <row r="193" spans="1:21" ht="10.5" customHeight="1" x14ac:dyDescent="0.35">
      <c r="A193" s="283"/>
      <c r="B193" s="279"/>
      <c r="C193" s="4" t="s">
        <v>95</v>
      </c>
      <c r="D193" s="34"/>
      <c r="E193" s="49">
        <f>SUMPRODUCT(E190:E192,D190:D192)</f>
        <v>266.03000000000003</v>
      </c>
      <c r="F193" s="49">
        <f>SUMPRODUCT(F190:F192,D190:D192)</f>
        <v>258.19933069857359</v>
      </c>
      <c r="G193" s="54">
        <f>SUMPRODUCT(G190:G192,D190:D192)</f>
        <v>291.72806298576762</v>
      </c>
      <c r="H193" s="15"/>
      <c r="I193" s="19"/>
      <c r="L193" s="4" t="s">
        <v>95</v>
      </c>
      <c r="M193" s="49">
        <f>SUMPRODUCT(M190:M192,D190:D192)</f>
        <v>218.61</v>
      </c>
      <c r="N193" s="49">
        <f>SUMPRODUCT(N190:N192,D190:D192)</f>
        <v>212.1751519904341</v>
      </c>
      <c r="O193" s="54">
        <f>SUMPRODUCT(O190:O192,D190:D192)</f>
        <v>239.72736852730392</v>
      </c>
      <c r="P193" s="15"/>
      <c r="Q193" s="19"/>
      <c r="S193" s="76"/>
      <c r="T193" s="69" t="s">
        <v>82</v>
      </c>
      <c r="U193" s="7"/>
    </row>
    <row r="194" spans="1:21" ht="10.5" customHeight="1" x14ac:dyDescent="0.35">
      <c r="A194" s="283"/>
      <c r="B194" s="279"/>
      <c r="C194" s="2" t="s">
        <v>96</v>
      </c>
      <c r="F194" s="95"/>
      <c r="G194" s="86">
        <f>G193/$D$14</f>
        <v>13.891812523131792</v>
      </c>
      <c r="H194" s="61"/>
      <c r="I194" s="127">
        <f>G194/G176-1</f>
        <v>-7.8942207855207114E-2</v>
      </c>
      <c r="J194" s="16"/>
      <c r="L194" s="2" t="s">
        <v>96</v>
      </c>
      <c r="M194" s="4"/>
      <c r="N194" s="28"/>
      <c r="O194" s="86">
        <f>O193/$D$14</f>
        <v>11.415588977490662</v>
      </c>
      <c r="P194" s="61"/>
      <c r="Q194" s="127">
        <f>O194/O176-1</f>
        <v>-7.8942207855206892E-2</v>
      </c>
      <c r="R194" s="16"/>
      <c r="S194" s="76"/>
      <c r="T194" s="70">
        <f>O194/G194-1</f>
        <v>-0.17825057324361915</v>
      </c>
      <c r="U194" s="7"/>
    </row>
    <row r="195" spans="1:21" ht="10.5" customHeight="1" x14ac:dyDescent="0.35">
      <c r="A195" s="283"/>
      <c r="B195" s="266"/>
      <c r="F195" s="57"/>
      <c r="G195" s="41"/>
      <c r="H195" s="15"/>
      <c r="I195" s="17"/>
      <c r="O195" s="34"/>
      <c r="P195" s="15"/>
      <c r="Q195" s="17"/>
      <c r="T195" s="34"/>
    </row>
    <row r="196" spans="1:21" ht="10.5" customHeight="1" x14ac:dyDescent="0.35">
      <c r="A196" s="283"/>
      <c r="B196" s="277" t="s">
        <v>23</v>
      </c>
      <c r="C196" s="24" t="s">
        <v>17</v>
      </c>
      <c r="D196" s="46" t="s">
        <v>16</v>
      </c>
      <c r="E196" s="24" t="s">
        <v>18</v>
      </c>
      <c r="F196" s="89" t="s">
        <v>21</v>
      </c>
      <c r="G196" s="24" t="s">
        <v>19</v>
      </c>
      <c r="H196" s="15"/>
      <c r="L196" s="24" t="s">
        <v>17</v>
      </c>
      <c r="M196" s="249" t="s">
        <v>111</v>
      </c>
      <c r="N196" s="101" t="s">
        <v>21</v>
      </c>
      <c r="O196" s="101" t="s">
        <v>19</v>
      </c>
      <c r="P196" s="15"/>
    </row>
    <row r="197" spans="1:21" ht="10.5" customHeight="1" x14ac:dyDescent="0.35">
      <c r="A197" s="283"/>
      <c r="B197" s="278"/>
      <c r="C197" s="5" t="s">
        <v>27</v>
      </c>
      <c r="D197" s="246">
        <f>$D$172</f>
        <v>1.5</v>
      </c>
      <c r="E197" s="49">
        <v>19.079999999999998</v>
      </c>
      <c r="F197" s="50">
        <f>E197/$C$10/$C$21</f>
        <v>18.518374731153571</v>
      </c>
      <c r="G197" s="50">
        <f t="shared" ref="G197:G199" si="8">E197/$E$10*$E$8</f>
        <v>20.923096800242249</v>
      </c>
      <c r="H197" s="15"/>
      <c r="L197" s="5" t="s">
        <v>27</v>
      </c>
      <c r="M197" s="29">
        <v>0</v>
      </c>
      <c r="N197" s="50">
        <f>M197/$C$10/$C$21</f>
        <v>0</v>
      </c>
      <c r="O197" s="50">
        <f t="shared" ref="O197:O199" si="9">M197/$E$10*$E$8</f>
        <v>0</v>
      </c>
      <c r="P197" s="15"/>
    </row>
    <row r="198" spans="1:21" ht="10.5" customHeight="1" x14ac:dyDescent="0.35">
      <c r="A198" s="283"/>
      <c r="B198" s="278"/>
      <c r="C198" s="5" t="s">
        <v>14</v>
      </c>
      <c r="D198" s="246">
        <f>$D$173</f>
        <v>2</v>
      </c>
      <c r="E198" s="49">
        <v>86.4</v>
      </c>
      <c r="F198" s="50">
        <f>E198/$C$10/$C$21</f>
        <v>83.856791235412402</v>
      </c>
      <c r="G198" s="50">
        <f t="shared" si="8"/>
        <v>94.74609871807813</v>
      </c>
      <c r="H198" s="15"/>
      <c r="L198" s="5" t="s">
        <v>14</v>
      </c>
      <c r="M198" s="29">
        <v>77</v>
      </c>
      <c r="N198" s="50">
        <f>M198/$C$10/$C$21</f>
        <v>74.733482929707819</v>
      </c>
      <c r="O198" s="50">
        <f t="shared" si="9"/>
        <v>84.438074089027964</v>
      </c>
      <c r="P198" s="15"/>
    </row>
    <row r="199" spans="1:21" ht="10.5" customHeight="1" x14ac:dyDescent="0.35">
      <c r="A199" s="283"/>
      <c r="B199" s="278"/>
      <c r="C199" s="5" t="s">
        <v>72</v>
      </c>
      <c r="D199" s="246">
        <f>$D$174</f>
        <v>1</v>
      </c>
      <c r="E199" s="48">
        <v>64.61</v>
      </c>
      <c r="F199" s="50">
        <f>E199/$C$10/$C$21</f>
        <v>62.708186131018465</v>
      </c>
      <c r="G199" s="50">
        <f t="shared" si="8"/>
        <v>70.851220349247996</v>
      </c>
      <c r="H199" s="15"/>
      <c r="L199" s="5" t="s">
        <v>72</v>
      </c>
      <c r="M199" s="50">
        <v>64.61</v>
      </c>
      <c r="N199" s="50">
        <f>M199/$C$10/$C$21</f>
        <v>62.708186131018465</v>
      </c>
      <c r="O199" s="50">
        <f t="shared" si="9"/>
        <v>70.851220349247996</v>
      </c>
      <c r="P199" s="15"/>
      <c r="S199" s="76"/>
      <c r="U199" s="7"/>
    </row>
    <row r="200" spans="1:21" ht="10.5" customHeight="1" x14ac:dyDescent="0.35">
      <c r="A200" s="283"/>
      <c r="B200" s="278"/>
      <c r="C200" s="4" t="s">
        <v>53</v>
      </c>
      <c r="D200" s="213"/>
      <c r="E200" s="259">
        <f>SUMPRODUCT(E197:E199,D197:D199)</f>
        <v>266.03000000000003</v>
      </c>
      <c r="F200" s="259">
        <f>SUMPRODUCT(F197:F199,D197:D199)</f>
        <v>258.19933069857359</v>
      </c>
      <c r="G200" s="260">
        <f>SUMPRODUCT(G197:G199,D197:D199)</f>
        <v>291.72806298576762</v>
      </c>
      <c r="H200" s="58"/>
      <c r="I200" s="19"/>
      <c r="J200" s="19"/>
      <c r="L200" s="4" t="s">
        <v>53</v>
      </c>
      <c r="M200" s="132">
        <f>SUMPRODUCT(M197:M199,D197:D199)</f>
        <v>218.61</v>
      </c>
      <c r="N200" s="132">
        <f>SUMPRODUCT(N197:N199,D197:D199)</f>
        <v>212.1751519904341</v>
      </c>
      <c r="O200" s="134">
        <f>SUMPRODUCT(O197:O199,D197:D199)</f>
        <v>239.72736852730392</v>
      </c>
      <c r="P200" s="58"/>
      <c r="Q200" s="19"/>
      <c r="R200" s="19"/>
      <c r="S200" s="76"/>
      <c r="U200" s="7"/>
    </row>
    <row r="201" spans="1:21" ht="10.5" customHeight="1" x14ac:dyDescent="0.35">
      <c r="A201" s="283"/>
      <c r="B201" s="278"/>
      <c r="C201" s="4" t="s">
        <v>97</v>
      </c>
      <c r="D201" s="213"/>
      <c r="E201" s="165"/>
      <c r="F201" s="214"/>
      <c r="G201" s="236">
        <f>G200/$D$14</f>
        <v>13.891812523131792</v>
      </c>
      <c r="H201" s="139"/>
      <c r="I201" s="215"/>
      <c r="J201" s="215"/>
      <c r="L201" s="4" t="s">
        <v>97</v>
      </c>
      <c r="M201" s="165"/>
      <c r="N201" s="214"/>
      <c r="O201" s="236">
        <f>O200/$D$14</f>
        <v>11.415588977490662</v>
      </c>
      <c r="P201" s="139"/>
      <c r="Q201" s="215"/>
      <c r="R201" s="215"/>
      <c r="S201" s="76"/>
      <c r="U201" s="7"/>
    </row>
    <row r="202" spans="1:21" ht="10.5" customHeight="1" x14ac:dyDescent="0.35">
      <c r="A202" s="283"/>
      <c r="B202" s="278"/>
      <c r="C202" s="2" t="s">
        <v>87</v>
      </c>
      <c r="D202" s="213"/>
      <c r="E202" s="165"/>
      <c r="F202" s="214"/>
      <c r="G202" s="230">
        <f>G200*$D$16</f>
        <v>5.8345612597153522</v>
      </c>
      <c r="H202" s="139"/>
      <c r="I202" s="215"/>
      <c r="J202" s="215"/>
      <c r="L202" s="2" t="s">
        <v>87</v>
      </c>
      <c r="M202" s="165"/>
      <c r="N202" s="214"/>
      <c r="O202" s="230">
        <f>O200*$D$16</f>
        <v>4.7945473705460788</v>
      </c>
      <c r="P202" s="139"/>
      <c r="Q202" s="215"/>
      <c r="R202" s="215"/>
      <c r="S202" s="76"/>
      <c r="T202" s="58"/>
      <c r="U202" s="7"/>
    </row>
    <row r="203" spans="1:21" ht="10.5" customHeight="1" x14ac:dyDescent="0.35">
      <c r="A203" s="283"/>
      <c r="B203" s="278"/>
      <c r="C203" s="2" t="s">
        <v>88</v>
      </c>
      <c r="D203" s="213"/>
      <c r="E203" s="165"/>
      <c r="F203" s="214"/>
      <c r="G203" s="29">
        <f>E200*$F$9</f>
        <v>9.5770800000000094</v>
      </c>
      <c r="H203" s="139"/>
      <c r="I203" s="215"/>
      <c r="J203" s="215"/>
      <c r="L203" s="2" t="s">
        <v>88</v>
      </c>
      <c r="M203" s="165"/>
      <c r="N203" s="214"/>
      <c r="O203" s="29">
        <f>M200*$F$9</f>
        <v>7.8699600000000078</v>
      </c>
      <c r="P203" s="139"/>
      <c r="Q203" s="215"/>
      <c r="R203" s="215"/>
      <c r="S203" s="76"/>
      <c r="T203" s="68" t="s">
        <v>37</v>
      </c>
      <c r="U203" s="7"/>
    </row>
    <row r="204" spans="1:21" ht="10.5" customHeight="1" x14ac:dyDescent="0.35">
      <c r="A204" s="283"/>
      <c r="B204" s="278"/>
      <c r="C204" s="2" t="s">
        <v>90</v>
      </c>
      <c r="D204" s="213"/>
      <c r="E204" s="165"/>
      <c r="F204" s="214"/>
      <c r="G204" s="220">
        <f>SUM(G202+G203)/G200</f>
        <v>5.2828792341678976E-2</v>
      </c>
      <c r="H204" s="139"/>
      <c r="I204" s="215"/>
      <c r="J204" s="215"/>
      <c r="L204" s="2" t="s">
        <v>90</v>
      </c>
      <c r="M204" s="165"/>
      <c r="N204" s="214"/>
      <c r="O204" s="220">
        <f>SUM(O202+O203)/O200</f>
        <v>5.2828792341678976E-2</v>
      </c>
      <c r="P204" s="139"/>
      <c r="Q204" s="215"/>
      <c r="R204" s="215"/>
      <c r="S204" s="76"/>
      <c r="T204" s="69" t="s">
        <v>84</v>
      </c>
      <c r="U204" s="7"/>
    </row>
    <row r="205" spans="1:21" ht="10.5" customHeight="1" x14ac:dyDescent="0.35">
      <c r="A205" s="283"/>
      <c r="B205" s="278"/>
      <c r="C205" s="2" t="s">
        <v>99</v>
      </c>
      <c r="D205" s="213"/>
      <c r="F205" s="28"/>
      <c r="G205" s="236">
        <f>G200/$D$17</f>
        <v>13.194749824645204</v>
      </c>
      <c r="H205" s="57"/>
      <c r="I205" s="18"/>
      <c r="J205" s="127">
        <f>G205/G176-1</f>
        <v>-0.12515900130713942</v>
      </c>
      <c r="L205" s="2" t="s">
        <v>99</v>
      </c>
      <c r="N205" s="28"/>
      <c r="O205" s="236">
        <f>O200/$D$17</f>
        <v>10.842778104596054</v>
      </c>
      <c r="P205" s="57"/>
      <c r="Q205" s="18"/>
      <c r="R205" s="127">
        <f>O205/O176-1</f>
        <v>-0.12515900130713908</v>
      </c>
      <c r="S205" s="76"/>
      <c r="T205" s="70">
        <f>O205/G205-1</f>
        <v>-0.17825057324361904</v>
      </c>
      <c r="U205" s="7"/>
    </row>
    <row r="206" spans="1:21" ht="10.5" customHeight="1" x14ac:dyDescent="0.35">
      <c r="B206" s="271"/>
      <c r="G206" s="34"/>
      <c r="N206" s="39"/>
      <c r="O206" s="210">
        <f>O205/G176-1</f>
        <v>-0.28109991082116204</v>
      </c>
      <c r="P206" s="16"/>
      <c r="T206" s="34"/>
    </row>
    <row r="207" spans="1:21" ht="10.5" customHeight="1" x14ac:dyDescent="0.35">
      <c r="B207" s="266"/>
      <c r="F207" s="57"/>
      <c r="O207" s="107"/>
    </row>
    <row r="208" spans="1:21" ht="10.5" customHeight="1" x14ac:dyDescent="0.35">
      <c r="B208" s="266"/>
      <c r="E208" s="244" t="s">
        <v>103</v>
      </c>
      <c r="F208" s="57"/>
      <c r="G208" s="39"/>
      <c r="H208" s="15"/>
      <c r="M208" s="244" t="s">
        <v>104</v>
      </c>
      <c r="O208" s="117"/>
    </row>
    <row r="209" spans="1:21" ht="10.5" customHeight="1" x14ac:dyDescent="0.35">
      <c r="B209" s="266"/>
      <c r="E209" s="30">
        <f>$C$4</f>
        <v>46296</v>
      </c>
      <c r="F209" s="89" t="s">
        <v>20</v>
      </c>
      <c r="G209" s="30">
        <f>$C$5</f>
        <v>46512</v>
      </c>
      <c r="H209" s="15"/>
      <c r="M209" s="30">
        <f>$C$4</f>
        <v>46296</v>
      </c>
      <c r="N209" s="24" t="s">
        <v>20</v>
      </c>
      <c r="O209" s="30">
        <f>$C$5</f>
        <v>46512</v>
      </c>
      <c r="P209" s="15"/>
    </row>
    <row r="210" spans="1:21" ht="10.5" customHeight="1" x14ac:dyDescent="0.35">
      <c r="A210" s="280" t="s">
        <v>112</v>
      </c>
      <c r="B210" s="276" t="s">
        <v>22</v>
      </c>
      <c r="C210" s="24" t="s">
        <v>17</v>
      </c>
      <c r="D210" s="248" t="s">
        <v>107</v>
      </c>
      <c r="E210" s="24" t="s">
        <v>18</v>
      </c>
      <c r="F210" s="93">
        <v>0.04</v>
      </c>
      <c r="G210" s="24" t="s">
        <v>19</v>
      </c>
      <c r="H210" s="15"/>
      <c r="L210" s="24" t="s">
        <v>17</v>
      </c>
      <c r="M210" s="249" t="s">
        <v>111</v>
      </c>
      <c r="N210" s="25">
        <v>0.04</v>
      </c>
      <c r="O210" s="24" t="s">
        <v>19</v>
      </c>
      <c r="P210" s="15"/>
    </row>
    <row r="211" spans="1:21" ht="10.5" customHeight="1" x14ac:dyDescent="0.35">
      <c r="A211" s="281"/>
      <c r="B211" s="276"/>
      <c r="C211" s="5" t="s">
        <v>73</v>
      </c>
      <c r="D211" s="82">
        <v>20</v>
      </c>
      <c r="E211" s="166">
        <f>833.4*$C$11</f>
        <v>4750.38</v>
      </c>
      <c r="F211" s="26">
        <f>E211/$C$10/$C$21</f>
        <v>4610.5512031120179</v>
      </c>
      <c r="G211" s="31">
        <f t="shared" ref="G211:G213" si="10">E211/$C$10*$C$8</f>
        <v>5433.6636883012006</v>
      </c>
      <c r="H211" s="15"/>
      <c r="L211" s="5" t="s">
        <v>73</v>
      </c>
      <c r="M211" s="163">
        <f>833.4*$C$11</f>
        <v>4750.38</v>
      </c>
      <c r="N211" s="94">
        <f>M211/$C$10/$C$21</f>
        <v>4610.5512031120179</v>
      </c>
      <c r="O211" s="31">
        <f t="shared" ref="O211:O213" si="11">M211/$C$10*$C$8</f>
        <v>5433.6636883012006</v>
      </c>
      <c r="P211" s="15"/>
    </row>
    <row r="212" spans="1:21" ht="10.5" customHeight="1" x14ac:dyDescent="0.35">
      <c r="A212" s="281"/>
      <c r="B212" s="276"/>
      <c r="C212" s="5" t="s">
        <v>74</v>
      </c>
      <c r="D212" s="82">
        <v>36</v>
      </c>
      <c r="E212" s="166">
        <f>28.43*$C$11</f>
        <v>162.05100000000002</v>
      </c>
      <c r="F212" s="26">
        <f>E212/$C$10/$C$21</f>
        <v>157.28098236678031</v>
      </c>
      <c r="G212" s="31">
        <f t="shared" si="10"/>
        <v>185.36004158675686</v>
      </c>
      <c r="H212" s="15"/>
      <c r="L212" s="5" t="s">
        <v>74</v>
      </c>
      <c r="M212" s="163">
        <v>0</v>
      </c>
      <c r="N212" s="94">
        <f>M212/$C$10/$C$21</f>
        <v>0</v>
      </c>
      <c r="O212" s="31">
        <f t="shared" si="11"/>
        <v>0</v>
      </c>
      <c r="P212" s="15"/>
      <c r="T212" s="58"/>
    </row>
    <row r="213" spans="1:21" ht="10.5" customHeight="1" x14ac:dyDescent="0.35">
      <c r="A213" s="281"/>
      <c r="B213" s="276"/>
      <c r="C213" s="5" t="s">
        <v>75</v>
      </c>
      <c r="D213" s="82">
        <v>12</v>
      </c>
      <c r="E213" s="166">
        <f>22.07*$C$11</f>
        <v>125.79900000000001</v>
      </c>
      <c r="F213" s="26">
        <f>E213/$C$10/$C$21</f>
        <v>122.09607037758849</v>
      </c>
      <c r="G213" s="31">
        <f t="shared" si="10"/>
        <v>143.89363762995862</v>
      </c>
      <c r="H213" s="15"/>
      <c r="L213" s="5" t="s">
        <v>75</v>
      </c>
      <c r="M213" s="163">
        <v>0</v>
      </c>
      <c r="N213" s="94">
        <f>M213/$C$10/$C$21</f>
        <v>0</v>
      </c>
      <c r="O213" s="31">
        <f t="shared" si="11"/>
        <v>0</v>
      </c>
      <c r="P213" s="15"/>
      <c r="S213" s="76"/>
      <c r="T213" s="68" t="s">
        <v>37</v>
      </c>
      <c r="U213" s="7"/>
    </row>
    <row r="214" spans="1:21" ht="10.5" customHeight="1" x14ac:dyDescent="0.35">
      <c r="A214" s="281"/>
      <c r="B214" s="276"/>
      <c r="C214" s="4" t="s">
        <v>94</v>
      </c>
      <c r="D214" s="34"/>
      <c r="E214" s="166">
        <f>SUMPRODUCT(E211:E213,D211:D213)</f>
        <v>102351.024</v>
      </c>
      <c r="F214" s="166">
        <f>SUMPRODUCT(F211:F213,D211:D213)</f>
        <v>99338.292271975515</v>
      </c>
      <c r="G214" s="171">
        <f>SUMPRODUCT(G211:G213,D211:D213)</f>
        <v>117072.95891470676</v>
      </c>
      <c r="H214" s="15"/>
      <c r="L214" s="4" t="s">
        <v>94</v>
      </c>
      <c r="M214" s="171">
        <f>SUMPRODUCT(M211:M213,D211:D213)</f>
        <v>95007.6</v>
      </c>
      <c r="N214" s="171">
        <f>SUMPRODUCT(N211:N213,D211:D213)</f>
        <v>92211.024062240351</v>
      </c>
      <c r="O214" s="171">
        <f>SUMPRODUCT(O211:O213,D211:D213)</f>
        <v>108673.27376602401</v>
      </c>
      <c r="P214" s="15"/>
      <c r="S214" s="76"/>
      <c r="T214" s="69" t="s">
        <v>83</v>
      </c>
      <c r="U214" s="7"/>
    </row>
    <row r="215" spans="1:21" ht="10.5" customHeight="1" x14ac:dyDescent="0.35">
      <c r="A215" s="281"/>
      <c r="B215" s="276"/>
      <c r="C215" s="4" t="s">
        <v>93</v>
      </c>
      <c r="F215" s="95"/>
      <c r="G215" s="203">
        <f>G214/$C$13</f>
        <v>1018.0257296931022</v>
      </c>
      <c r="H215" s="16"/>
      <c r="L215" s="4" t="s">
        <v>93</v>
      </c>
      <c r="M215" s="4"/>
      <c r="N215" s="39"/>
      <c r="O215" s="86">
        <f>O214/$C$13</f>
        <v>944.98498926977402</v>
      </c>
      <c r="P215" s="16"/>
      <c r="S215" s="76"/>
      <c r="T215" s="70">
        <f>O215/G215-1</f>
        <v>-7.1747440455505296E-2</v>
      </c>
      <c r="U215" s="7"/>
    </row>
    <row r="216" spans="1:21" ht="10.5" customHeight="1" x14ac:dyDescent="0.35">
      <c r="A216" s="281"/>
      <c r="B216" s="266"/>
      <c r="F216" s="57"/>
      <c r="G216" s="41"/>
      <c r="H216" s="15"/>
      <c r="O216" s="34"/>
      <c r="P216" s="15"/>
      <c r="T216" s="34"/>
    </row>
    <row r="217" spans="1:21" ht="10.5" customHeight="1" x14ac:dyDescent="0.35">
      <c r="A217" s="281"/>
      <c r="B217" s="277" t="s">
        <v>12</v>
      </c>
      <c r="C217" s="24" t="s">
        <v>17</v>
      </c>
      <c r="D217" s="46" t="s">
        <v>16</v>
      </c>
      <c r="E217" s="24" t="s">
        <v>18</v>
      </c>
      <c r="F217" s="89" t="s">
        <v>21</v>
      </c>
      <c r="G217" s="24" t="s">
        <v>19</v>
      </c>
      <c r="H217" s="15"/>
      <c r="L217" s="24" t="s">
        <v>17</v>
      </c>
      <c r="M217" s="249" t="s">
        <v>111</v>
      </c>
      <c r="N217" s="101" t="s">
        <v>21</v>
      </c>
      <c r="O217" s="101" t="s">
        <v>19</v>
      </c>
      <c r="P217" s="15"/>
    </row>
    <row r="218" spans="1:21" ht="10.5" customHeight="1" x14ac:dyDescent="0.35">
      <c r="A218" s="281"/>
      <c r="B218" s="278"/>
      <c r="C218" s="5" t="s">
        <v>73</v>
      </c>
      <c r="D218" s="173">
        <f>$D$211</f>
        <v>20</v>
      </c>
      <c r="E218" s="166">
        <f>833.4*$C$11</f>
        <v>4750.38</v>
      </c>
      <c r="F218" s="26">
        <f>E218/$C$10/$C$21</f>
        <v>4610.5512031120179</v>
      </c>
      <c r="G218" s="31">
        <f t="shared" ref="G218:G220" si="12">E218/$C$10*$C$8</f>
        <v>5433.6636883012006</v>
      </c>
      <c r="H218" s="15"/>
      <c r="L218" s="5" t="s">
        <v>73</v>
      </c>
      <c r="M218" s="163">
        <f>833.4*$C$11</f>
        <v>4750.38</v>
      </c>
      <c r="N218" s="26">
        <f>M218/$C$10/$C$21</f>
        <v>4610.5512031120179</v>
      </c>
      <c r="O218" s="31">
        <f t="shared" ref="O218:O220" si="13">M218/$C$10*$C$8</f>
        <v>5433.6636883012006</v>
      </c>
      <c r="P218" s="15"/>
    </row>
    <row r="219" spans="1:21" ht="10.5" customHeight="1" x14ac:dyDescent="0.35">
      <c r="A219" s="281"/>
      <c r="B219" s="278"/>
      <c r="C219" s="5" t="s">
        <v>74</v>
      </c>
      <c r="D219" s="173">
        <f>$D$212</f>
        <v>36</v>
      </c>
      <c r="E219" s="166">
        <f>28.43*$C$11</f>
        <v>162.05100000000002</v>
      </c>
      <c r="F219" s="26">
        <f>E219/$C$10/$C$21</f>
        <v>157.28098236678031</v>
      </c>
      <c r="G219" s="31">
        <f t="shared" si="12"/>
        <v>185.36004158675686</v>
      </c>
      <c r="H219" s="15"/>
      <c r="L219" s="5" t="s">
        <v>74</v>
      </c>
      <c r="M219" s="163">
        <v>0</v>
      </c>
      <c r="N219" s="26">
        <f>M219/$C$10/$C$21</f>
        <v>0</v>
      </c>
      <c r="O219" s="31">
        <f t="shared" si="13"/>
        <v>0</v>
      </c>
      <c r="P219" s="15"/>
    </row>
    <row r="220" spans="1:21" ht="10.5" customHeight="1" x14ac:dyDescent="0.35">
      <c r="A220" s="281"/>
      <c r="B220" s="278"/>
      <c r="C220" s="5" t="s">
        <v>75</v>
      </c>
      <c r="D220" s="173">
        <f>$D$213</f>
        <v>12</v>
      </c>
      <c r="E220" s="166">
        <f>22.07*$C$11</f>
        <v>125.79900000000001</v>
      </c>
      <c r="F220" s="26">
        <f>E220/$C$10/$C$21</f>
        <v>122.09607037758849</v>
      </c>
      <c r="G220" s="31">
        <f t="shared" si="12"/>
        <v>143.89363762995862</v>
      </c>
      <c r="H220" s="15"/>
      <c r="L220" s="5" t="s">
        <v>75</v>
      </c>
      <c r="M220" s="163">
        <v>0</v>
      </c>
      <c r="N220" s="26">
        <f>M220/$C$10/$C$21</f>
        <v>0</v>
      </c>
      <c r="O220" s="31">
        <f t="shared" si="13"/>
        <v>0</v>
      </c>
      <c r="P220" s="15"/>
      <c r="S220" s="76"/>
      <c r="U220" s="7"/>
    </row>
    <row r="221" spans="1:21" ht="10.5" customHeight="1" x14ac:dyDescent="0.35">
      <c r="A221" s="281"/>
      <c r="B221" s="278"/>
      <c r="C221" s="4" t="s">
        <v>52</v>
      </c>
      <c r="D221" s="213"/>
      <c r="E221" s="166">
        <f>SUMPRODUCT(E218:E220,$D$218:$D$220)</f>
        <v>102351.024</v>
      </c>
      <c r="F221" s="166">
        <f>SUMPRODUCT(F218:F220,$D$218:$D$220)</f>
        <v>99338.292271975515</v>
      </c>
      <c r="G221" s="165">
        <f>SUMPRODUCT(G218:G220,$D$218:$D$220)</f>
        <v>117072.95891470676</v>
      </c>
      <c r="H221" s="19"/>
      <c r="L221" s="4" t="s">
        <v>52</v>
      </c>
      <c r="M221" s="166">
        <f>SUMPRODUCT(M218:M220,$D$218:$D$220)</f>
        <v>95007.6</v>
      </c>
      <c r="N221" s="166">
        <f>SUMPRODUCT(N218:N220,$D$218:$D$220)</f>
        <v>92211.024062240351</v>
      </c>
      <c r="O221" s="165">
        <f>SUMPRODUCT(O218:O220,$D$218:$D$220)</f>
        <v>108673.27376602401</v>
      </c>
      <c r="P221" s="19"/>
      <c r="S221" s="76"/>
      <c r="U221" s="7"/>
    </row>
    <row r="222" spans="1:21" ht="10.5" customHeight="1" x14ac:dyDescent="0.35">
      <c r="A222" s="281"/>
      <c r="B222" s="278"/>
      <c r="C222" s="4" t="s">
        <v>97</v>
      </c>
      <c r="E222" s="165"/>
      <c r="F222" s="214"/>
      <c r="G222" s="236">
        <f>G221/$C$13</f>
        <v>1018.0257296931022</v>
      </c>
      <c r="H222" s="57"/>
      <c r="L222" s="4" t="s">
        <v>97</v>
      </c>
      <c r="M222" s="165"/>
      <c r="N222" s="214"/>
      <c r="O222" s="236">
        <f>O221/$C$13</f>
        <v>944.98498926977402</v>
      </c>
      <c r="P222" s="57"/>
      <c r="S222" s="76"/>
      <c r="U222" s="7"/>
    </row>
    <row r="223" spans="1:21" ht="10.5" customHeight="1" x14ac:dyDescent="0.35">
      <c r="A223" s="281"/>
      <c r="B223" s="278"/>
      <c r="C223" s="2" t="s">
        <v>87</v>
      </c>
      <c r="E223" s="165"/>
      <c r="F223" s="214"/>
      <c r="G223" s="221">
        <f>G221*$C$16</f>
        <v>2341.4591782941352</v>
      </c>
      <c r="L223" s="2" t="s">
        <v>87</v>
      </c>
      <c r="M223" s="165"/>
      <c r="N223" s="214"/>
      <c r="O223" s="221">
        <f>O221*$C$16</f>
        <v>2173.4654753204804</v>
      </c>
      <c r="S223" s="76"/>
      <c r="T223" s="58"/>
      <c r="U223" s="7"/>
    </row>
    <row r="224" spans="1:21" ht="10.5" customHeight="1" x14ac:dyDescent="0.35">
      <c r="A224" s="281"/>
      <c r="B224" s="278"/>
      <c r="C224" s="2" t="s">
        <v>88</v>
      </c>
      <c r="E224" s="165"/>
      <c r="F224" s="214"/>
      <c r="G224" s="163">
        <f>E221*$D$9</f>
        <v>2947.7094911999939</v>
      </c>
      <c r="L224" s="2" t="s">
        <v>88</v>
      </c>
      <c r="M224" s="165"/>
      <c r="N224" s="214"/>
      <c r="O224" s="163">
        <f>M221*$D$9</f>
        <v>2736.218879999994</v>
      </c>
      <c r="S224" s="76"/>
      <c r="T224" s="68" t="s">
        <v>37</v>
      </c>
      <c r="U224" s="7"/>
    </row>
    <row r="225" spans="1:21" ht="10.5" customHeight="1" x14ac:dyDescent="0.35">
      <c r="A225" s="281"/>
      <c r="B225" s="278"/>
      <c r="C225" s="2" t="s">
        <v>90</v>
      </c>
      <c r="E225" s="165"/>
      <c r="F225" s="214"/>
      <c r="G225" s="220">
        <f>SUM(G223+G224)/G221</f>
        <v>4.5178397458524484E-2</v>
      </c>
      <c r="L225" s="2" t="s">
        <v>90</v>
      </c>
      <c r="M225" s="165"/>
      <c r="N225" s="214"/>
      <c r="O225" s="220">
        <f>SUM(O223+O224)/O221</f>
        <v>4.5178397458524484E-2</v>
      </c>
      <c r="S225" s="76"/>
      <c r="T225" s="69" t="s">
        <v>115</v>
      </c>
      <c r="U225" s="7"/>
    </row>
    <row r="226" spans="1:21" ht="10.5" customHeight="1" x14ac:dyDescent="0.35">
      <c r="A226" s="281"/>
      <c r="B226" s="278"/>
      <c r="C226" s="2" t="s">
        <v>98</v>
      </c>
      <c r="F226" s="28"/>
      <c r="G226" s="236">
        <f>G221/$C$17</f>
        <v>974.02102087887852</v>
      </c>
      <c r="H226" s="219">
        <f>G226/G215-1</f>
        <v>-4.3225536968981682E-2</v>
      </c>
      <c r="L226" s="2" t="s">
        <v>98</v>
      </c>
      <c r="N226" s="28"/>
      <c r="O226" s="236">
        <f>O221/$C$17</f>
        <v>904.13750568096066</v>
      </c>
      <c r="P226" s="219">
        <f>O226/O215-1</f>
        <v>-4.3225536968981682E-2</v>
      </c>
      <c r="S226" s="76"/>
      <c r="T226" s="70">
        <f>O226/G226-1</f>
        <v>-7.1747440455505296E-2</v>
      </c>
      <c r="U226" s="7"/>
    </row>
    <row r="227" spans="1:21" ht="10.5" customHeight="1" x14ac:dyDescent="0.35">
      <c r="A227" s="281"/>
      <c r="B227" s="266"/>
      <c r="F227" s="57"/>
      <c r="G227" s="41"/>
      <c r="H227" s="17"/>
      <c r="L227" s="19"/>
      <c r="O227" s="107"/>
      <c r="P227" s="116"/>
      <c r="T227" s="34"/>
    </row>
    <row r="228" spans="1:21" ht="10.5" customHeight="1" x14ac:dyDescent="0.35">
      <c r="A228" s="281"/>
      <c r="B228" s="279" t="s">
        <v>92</v>
      </c>
      <c r="C228" s="24" t="s">
        <v>17</v>
      </c>
      <c r="D228" s="46" t="s">
        <v>16</v>
      </c>
      <c r="E228" s="24" t="s">
        <v>18</v>
      </c>
      <c r="F228" s="89" t="s">
        <v>21</v>
      </c>
      <c r="G228" s="24" t="s">
        <v>19</v>
      </c>
      <c r="H228" s="15"/>
      <c r="L228" s="24" t="s">
        <v>17</v>
      </c>
      <c r="M228" s="249" t="s">
        <v>111</v>
      </c>
      <c r="N228" s="101" t="s">
        <v>21</v>
      </c>
      <c r="O228" s="101" t="s">
        <v>19</v>
      </c>
      <c r="P228" s="15"/>
    </row>
    <row r="229" spans="1:21" ht="10.5" customHeight="1" x14ac:dyDescent="0.35">
      <c r="A229" s="281"/>
      <c r="B229" s="279"/>
      <c r="C229" s="5" t="s">
        <v>73</v>
      </c>
      <c r="D229" s="173">
        <f>$D$211</f>
        <v>20</v>
      </c>
      <c r="E229" s="49">
        <f>833.4</f>
        <v>833.4</v>
      </c>
      <c r="F229" s="50">
        <f>E229/$C$10/$C$21</f>
        <v>808.86863212491551</v>
      </c>
      <c r="G229" s="50">
        <f>E229/$E$10*$E$8</f>
        <v>913.90507721812855</v>
      </c>
      <c r="H229" s="15"/>
      <c r="L229" s="5" t="s">
        <v>73</v>
      </c>
      <c r="M229" s="29">
        <f>833.4</f>
        <v>833.4</v>
      </c>
      <c r="N229" s="48">
        <f>M229/$C$10/$C$21</f>
        <v>808.86863212491551</v>
      </c>
      <c r="O229" s="50">
        <f>M229/$E$10*$E$8</f>
        <v>913.90507721812855</v>
      </c>
      <c r="P229" s="15"/>
    </row>
    <row r="230" spans="1:21" ht="10.5" customHeight="1" x14ac:dyDescent="0.35">
      <c r="A230" s="281"/>
      <c r="B230" s="279"/>
      <c r="C230" s="5" t="s">
        <v>74</v>
      </c>
      <c r="D230" s="173">
        <f>$D$212</f>
        <v>36</v>
      </c>
      <c r="E230" s="49">
        <f>28.43</f>
        <v>28.43</v>
      </c>
      <c r="F230" s="50">
        <f>E230/$C$10/$C$21</f>
        <v>27.593154801189524</v>
      </c>
      <c r="G230" s="50">
        <f>E230/$E$10*$E$8</f>
        <v>31.176291511052792</v>
      </c>
      <c r="H230" s="15"/>
      <c r="L230" s="5" t="s">
        <v>74</v>
      </c>
      <c r="M230" s="29">
        <v>0</v>
      </c>
      <c r="N230" s="48">
        <f>M230/$C$10/$C$21</f>
        <v>0</v>
      </c>
      <c r="O230" s="50">
        <f>M230/$E$10*$E$8</f>
        <v>0</v>
      </c>
      <c r="P230" s="15"/>
      <c r="T230" s="58"/>
    </row>
    <row r="231" spans="1:21" ht="10.5" customHeight="1" x14ac:dyDescent="0.35">
      <c r="A231" s="281"/>
      <c r="B231" s="279"/>
      <c r="C231" s="5" t="s">
        <v>75</v>
      </c>
      <c r="D231" s="173">
        <f>$D$213</f>
        <v>12</v>
      </c>
      <c r="E231" s="49">
        <f>22.07</f>
        <v>22.07</v>
      </c>
      <c r="F231" s="50">
        <f>E231/$C$10/$C$21</f>
        <v>21.420363224138335</v>
      </c>
      <c r="G231" s="50">
        <f>E231/$E$10*$E$8</f>
        <v>24.201925910972044</v>
      </c>
      <c r="H231" s="15"/>
      <c r="L231" s="5" t="s">
        <v>75</v>
      </c>
      <c r="M231" s="29">
        <v>0</v>
      </c>
      <c r="N231" s="48">
        <f>M231/$C$10/$C$21</f>
        <v>0</v>
      </c>
      <c r="O231" s="50">
        <f>M231/$E$10*$E$8</f>
        <v>0</v>
      </c>
      <c r="P231" s="15"/>
      <c r="S231" s="76"/>
      <c r="T231" s="68" t="s">
        <v>37</v>
      </c>
      <c r="U231" s="7"/>
    </row>
    <row r="232" spans="1:21" ht="10.5" customHeight="1" x14ac:dyDescent="0.35">
      <c r="A232" s="281"/>
      <c r="B232" s="279"/>
      <c r="C232" s="4" t="s">
        <v>95</v>
      </c>
      <c r="D232" s="34"/>
      <c r="E232" s="135">
        <f>SUMPRODUCT(E229:E231,D229:D231)</f>
        <v>17956.32</v>
      </c>
      <c r="F232" s="135">
        <f>SUMPRODUCT(F229:F231,D229:D231)</f>
        <v>17427.770574030794</v>
      </c>
      <c r="G232" s="136">
        <f>SUMPRODUCT(G229:G231,D229:D231)</f>
        <v>19690.871149692139</v>
      </c>
      <c r="H232" s="15"/>
      <c r="I232" s="19"/>
      <c r="L232" s="4" t="s">
        <v>95</v>
      </c>
      <c r="M232" s="49">
        <f>SUMPRODUCT(M229:M231,D229:D231)</f>
        <v>16668</v>
      </c>
      <c r="N232" s="49">
        <f>SUMPRODUCT(N229:N231,D229:D231)</f>
        <v>16177.372642498311</v>
      </c>
      <c r="O232" s="54">
        <f>SUMPRODUCT(O229:O231,D229:D231)</f>
        <v>18278.101544362573</v>
      </c>
      <c r="P232" s="15"/>
      <c r="Q232" s="19"/>
      <c r="S232" s="76"/>
      <c r="T232" s="69" t="s">
        <v>82</v>
      </c>
      <c r="U232" s="7"/>
    </row>
    <row r="233" spans="1:21" ht="10.5" customHeight="1" x14ac:dyDescent="0.35">
      <c r="A233" s="281"/>
      <c r="B233" s="279"/>
      <c r="C233" s="2" t="s">
        <v>96</v>
      </c>
      <c r="F233" s="95"/>
      <c r="G233" s="86">
        <f>G232/$D$14</f>
        <v>937.66053093772086</v>
      </c>
      <c r="H233" s="61"/>
      <c r="I233" s="127">
        <f>G233/G215-1</f>
        <v>-7.894220785520667E-2</v>
      </c>
      <c r="J233" s="16"/>
      <c r="L233" s="2" t="s">
        <v>96</v>
      </c>
      <c r="M233" s="4"/>
      <c r="N233" s="95"/>
      <c r="O233" s="86">
        <f>O232/$D$14</f>
        <v>870.38578782678917</v>
      </c>
      <c r="P233" s="61"/>
      <c r="Q233" s="127">
        <f>O233/O215-1</f>
        <v>-7.8942207855206781E-2</v>
      </c>
      <c r="R233" s="16"/>
      <c r="S233" s="76"/>
      <c r="T233" s="70">
        <f>O233/G233-1</f>
        <v>-7.1747440455505407E-2</v>
      </c>
      <c r="U233" s="7"/>
    </row>
    <row r="234" spans="1:21" ht="10.5" customHeight="1" x14ac:dyDescent="0.35">
      <c r="A234" s="281"/>
      <c r="B234" s="266"/>
      <c r="F234" s="57"/>
      <c r="G234" s="41"/>
      <c r="H234" s="15"/>
      <c r="I234" s="17"/>
      <c r="O234" s="34"/>
      <c r="P234" s="15"/>
      <c r="Q234" s="17"/>
      <c r="T234" s="34"/>
    </row>
    <row r="235" spans="1:21" ht="10.5" customHeight="1" x14ac:dyDescent="0.35">
      <c r="A235" s="281"/>
      <c r="B235" s="277" t="s">
        <v>23</v>
      </c>
      <c r="C235" s="24" t="s">
        <v>17</v>
      </c>
      <c r="D235" s="46" t="s">
        <v>16</v>
      </c>
      <c r="E235" s="24" t="s">
        <v>18</v>
      </c>
      <c r="F235" s="89" t="s">
        <v>21</v>
      </c>
      <c r="G235" s="24" t="s">
        <v>19</v>
      </c>
      <c r="H235" s="15"/>
      <c r="L235" s="24" t="s">
        <v>17</v>
      </c>
      <c r="M235" s="249" t="s">
        <v>111</v>
      </c>
      <c r="N235" s="101" t="s">
        <v>21</v>
      </c>
      <c r="O235" s="101" t="s">
        <v>19</v>
      </c>
      <c r="P235" s="15"/>
    </row>
    <row r="236" spans="1:21" ht="10.5" customHeight="1" x14ac:dyDescent="0.35">
      <c r="A236" s="281"/>
      <c r="B236" s="278"/>
      <c r="C236" s="5" t="s">
        <v>73</v>
      </c>
      <c r="D236" s="173">
        <f>$D$211</f>
        <v>20</v>
      </c>
      <c r="E236" s="49">
        <f>833.4</f>
        <v>833.4</v>
      </c>
      <c r="F236" s="50">
        <f>E236/$C$10/$C$21</f>
        <v>808.86863212491551</v>
      </c>
      <c r="G236" s="50">
        <f t="shared" ref="G236:G238" si="14">E236/$E$10*$E$8</f>
        <v>913.90507721812855</v>
      </c>
      <c r="H236" s="15"/>
      <c r="L236" s="5" t="s">
        <v>73</v>
      </c>
      <c r="M236" s="29">
        <f>833.4</f>
        <v>833.4</v>
      </c>
      <c r="N236" s="50">
        <f>M236/$C$10/$C$21</f>
        <v>808.86863212491551</v>
      </c>
      <c r="O236" s="50">
        <f t="shared" ref="O236:O238" si="15">M236/$E$10*$E$8</f>
        <v>913.90507721812855</v>
      </c>
      <c r="P236" s="15"/>
    </row>
    <row r="237" spans="1:21" ht="10.5" customHeight="1" x14ac:dyDescent="0.35">
      <c r="A237" s="281"/>
      <c r="B237" s="278"/>
      <c r="C237" s="5" t="s">
        <v>74</v>
      </c>
      <c r="D237" s="173">
        <f>$D$212</f>
        <v>36</v>
      </c>
      <c r="E237" s="49">
        <f>28.43</f>
        <v>28.43</v>
      </c>
      <c r="F237" s="50">
        <f>E237/$C$10/$C$21</f>
        <v>27.593154801189524</v>
      </c>
      <c r="G237" s="50">
        <f t="shared" si="14"/>
        <v>31.176291511052792</v>
      </c>
      <c r="H237" s="15"/>
      <c r="L237" s="5" t="s">
        <v>74</v>
      </c>
      <c r="M237" s="29">
        <v>0</v>
      </c>
      <c r="N237" s="50">
        <f>M237/$C$10/$C$21</f>
        <v>0</v>
      </c>
      <c r="O237" s="50">
        <f t="shared" si="15"/>
        <v>0</v>
      </c>
      <c r="P237" s="15"/>
    </row>
    <row r="238" spans="1:21" ht="10.5" customHeight="1" x14ac:dyDescent="0.35">
      <c r="A238" s="281"/>
      <c r="B238" s="278"/>
      <c r="C238" s="5" t="s">
        <v>75</v>
      </c>
      <c r="D238" s="173">
        <f>$D$213</f>
        <v>12</v>
      </c>
      <c r="E238" s="49">
        <f>22.07</f>
        <v>22.07</v>
      </c>
      <c r="F238" s="50">
        <f>E238/$C$10/$C$21</f>
        <v>21.420363224138335</v>
      </c>
      <c r="G238" s="50">
        <f t="shared" si="14"/>
        <v>24.201925910972044</v>
      </c>
      <c r="H238" s="15"/>
      <c r="L238" s="5" t="s">
        <v>75</v>
      </c>
      <c r="M238" s="29">
        <v>0</v>
      </c>
      <c r="N238" s="50">
        <f>M238/$C$10/$C$21</f>
        <v>0</v>
      </c>
      <c r="O238" s="50">
        <f t="shared" si="15"/>
        <v>0</v>
      </c>
      <c r="P238" s="15"/>
      <c r="S238" s="76"/>
      <c r="U238" s="7"/>
    </row>
    <row r="239" spans="1:21" ht="10.5" customHeight="1" x14ac:dyDescent="0.35">
      <c r="A239" s="281"/>
      <c r="B239" s="278"/>
      <c r="C239" s="4" t="s">
        <v>53</v>
      </c>
      <c r="D239" s="213"/>
      <c r="E239" s="132">
        <f>SUMPRODUCT(E236:E238,$D$236:$D$238)</f>
        <v>17956.32</v>
      </c>
      <c r="F239" s="132">
        <f>SUMPRODUCT(F236:F238,$D$236:$D$238)</f>
        <v>17427.770574030794</v>
      </c>
      <c r="G239" s="133">
        <f>SUMPRODUCT(G236:G238,$D$236:$D$238)</f>
        <v>19690.871149692139</v>
      </c>
      <c r="H239" s="58"/>
      <c r="I239" s="19"/>
      <c r="J239" s="19"/>
      <c r="L239" s="118" t="s">
        <v>53</v>
      </c>
      <c r="M239" s="132">
        <f>SUMPRODUCT(M236:M238,D236:D238)</f>
        <v>16668</v>
      </c>
      <c r="N239" s="132">
        <f>SUMPRODUCT(N236:N238,D236:D238)</f>
        <v>16177.372642498311</v>
      </c>
      <c r="O239" s="133">
        <f>SUMPRODUCT(O236:O238,D236:D238)</f>
        <v>18278.101544362573</v>
      </c>
      <c r="P239" s="58"/>
      <c r="Q239" s="19"/>
      <c r="R239" s="19"/>
      <c r="S239" s="76"/>
      <c r="U239" s="7"/>
    </row>
    <row r="240" spans="1:21" ht="10.5" customHeight="1" x14ac:dyDescent="0.35">
      <c r="A240" s="281"/>
      <c r="B240" s="278"/>
      <c r="C240" s="4" t="s">
        <v>97</v>
      </c>
      <c r="D240" s="213"/>
      <c r="E240" s="165"/>
      <c r="F240" s="214"/>
      <c r="G240" s="236">
        <f>G239/$D$14</f>
        <v>937.66053093772086</v>
      </c>
      <c r="H240" s="139"/>
      <c r="I240" s="215"/>
      <c r="J240" s="215"/>
      <c r="L240" s="4" t="s">
        <v>97</v>
      </c>
      <c r="M240" s="165"/>
      <c r="N240" s="214"/>
      <c r="O240" s="236">
        <f>O239/$D$14</f>
        <v>870.38578782678917</v>
      </c>
      <c r="P240" s="139"/>
      <c r="Q240" s="215"/>
      <c r="R240" s="215"/>
      <c r="S240" s="76"/>
      <c r="U240" s="7"/>
    </row>
    <row r="241" spans="1:21" ht="10.5" customHeight="1" x14ac:dyDescent="0.35">
      <c r="A241" s="281"/>
      <c r="B241" s="278"/>
      <c r="C241" s="2" t="s">
        <v>87</v>
      </c>
      <c r="D241" s="213"/>
      <c r="E241" s="165"/>
      <c r="F241" s="214"/>
      <c r="G241" s="230">
        <f>G239*$D$16</f>
        <v>393.8174229938428</v>
      </c>
      <c r="H241" s="139"/>
      <c r="I241" s="215"/>
      <c r="J241" s="215"/>
      <c r="L241" s="2" t="s">
        <v>87</v>
      </c>
      <c r="M241" s="165"/>
      <c r="N241" s="214"/>
      <c r="O241" s="230">
        <f>O239*$D$16</f>
        <v>365.56203088725147</v>
      </c>
      <c r="P241" s="139"/>
      <c r="Q241" s="215"/>
      <c r="R241" s="215"/>
      <c r="S241" s="76"/>
      <c r="T241" s="58"/>
      <c r="U241" s="7"/>
    </row>
    <row r="242" spans="1:21" ht="10.5" customHeight="1" x14ac:dyDescent="0.35">
      <c r="A242" s="281"/>
      <c r="B242" s="278"/>
      <c r="C242" s="2" t="s">
        <v>88</v>
      </c>
      <c r="D242" s="213"/>
      <c r="E242" s="165"/>
      <c r="F242" s="214"/>
      <c r="G242" s="29">
        <f>E239*$F$9</f>
        <v>646.42752000000053</v>
      </c>
      <c r="H242" s="139"/>
      <c r="I242" s="215"/>
      <c r="J242" s="215"/>
      <c r="L242" s="2" t="s">
        <v>88</v>
      </c>
      <c r="M242" s="165"/>
      <c r="N242" s="214"/>
      <c r="O242" s="29">
        <f>M239*$F$9</f>
        <v>600.04800000000057</v>
      </c>
      <c r="P242" s="139"/>
      <c r="Q242" s="215"/>
      <c r="R242" s="215"/>
      <c r="S242" s="76"/>
      <c r="T242" s="68" t="s">
        <v>37</v>
      </c>
      <c r="U242" s="7"/>
    </row>
    <row r="243" spans="1:21" ht="10.5" customHeight="1" x14ac:dyDescent="0.35">
      <c r="A243" s="281"/>
      <c r="B243" s="278"/>
      <c r="C243" s="2" t="s">
        <v>90</v>
      </c>
      <c r="D243" s="213"/>
      <c r="E243" s="165"/>
      <c r="F243" s="214"/>
      <c r="G243" s="220">
        <f>SUM(G241+G242)/G239</f>
        <v>5.2828792341678962E-2</v>
      </c>
      <c r="H243" s="139"/>
      <c r="I243" s="215"/>
      <c r="J243" s="215"/>
      <c r="L243" s="2" t="s">
        <v>90</v>
      </c>
      <c r="M243" s="165"/>
      <c r="N243" s="214"/>
      <c r="O243" s="220">
        <f>SUM(O241+O242)/O239</f>
        <v>5.2828792341678969E-2</v>
      </c>
      <c r="P243" s="139"/>
      <c r="Q243" s="215"/>
      <c r="R243" s="215"/>
      <c r="S243" s="76"/>
      <c r="T243" s="69" t="s">
        <v>84</v>
      </c>
      <c r="U243" s="7"/>
    </row>
    <row r="244" spans="1:21" ht="10.5" customHeight="1" x14ac:dyDescent="0.35">
      <c r="A244" s="281"/>
      <c r="B244" s="278"/>
      <c r="C244" s="2" t="s">
        <v>99</v>
      </c>
      <c r="D244" s="213"/>
      <c r="F244" s="28"/>
      <c r="G244" s="236">
        <f>G239/$D$17</f>
        <v>890.61064605974218</v>
      </c>
      <c r="H244" s="57"/>
      <c r="I244" s="18"/>
      <c r="J244" s="127">
        <f>G244/G215-1</f>
        <v>-0.12515900130713897</v>
      </c>
      <c r="L244" s="2" t="s">
        <v>99</v>
      </c>
      <c r="N244" s="28"/>
      <c r="O244" s="236">
        <f>O239/$D$17</f>
        <v>826.71161176253156</v>
      </c>
      <c r="P244" s="57"/>
      <c r="Q244" s="18"/>
      <c r="R244" s="127">
        <f>O244/O215-1</f>
        <v>-0.12515900130713908</v>
      </c>
      <c r="S244" s="76"/>
      <c r="T244" s="70">
        <f>O244/G244-1</f>
        <v>-7.1747440455505518E-2</v>
      </c>
      <c r="U244" s="7"/>
    </row>
    <row r="245" spans="1:21" ht="10.5" customHeight="1" x14ac:dyDescent="0.35">
      <c r="B245" s="272"/>
      <c r="G245" s="34"/>
      <c r="N245" s="39"/>
      <c r="O245" s="210">
        <f>O244/G215-1</f>
        <v>-0.18792660376888992</v>
      </c>
      <c r="P245" s="16"/>
      <c r="T245" s="34"/>
    </row>
    <row r="246" spans="1:21" ht="10.5" customHeight="1" x14ac:dyDescent="0.35">
      <c r="B246" s="273"/>
      <c r="F246" s="57"/>
      <c r="O246" s="34"/>
    </row>
    <row r="247" spans="1:21" ht="10.5" customHeight="1" x14ac:dyDescent="0.35">
      <c r="B247" s="273"/>
      <c r="E247" s="244" t="s">
        <v>103</v>
      </c>
      <c r="F247" s="57"/>
      <c r="G247" s="39"/>
      <c r="H247" s="15"/>
      <c r="M247" s="244" t="s">
        <v>104</v>
      </c>
    </row>
    <row r="248" spans="1:21" ht="10.5" customHeight="1" x14ac:dyDescent="0.35">
      <c r="B248" s="266"/>
      <c r="E248" s="30">
        <f>$C$4</f>
        <v>46296</v>
      </c>
      <c r="F248" s="89" t="s">
        <v>20</v>
      </c>
      <c r="G248" s="30">
        <f>$C$5</f>
        <v>46512</v>
      </c>
      <c r="H248" s="15"/>
      <c r="M248" s="30">
        <f>$C$4</f>
        <v>46296</v>
      </c>
      <c r="N248" s="24" t="s">
        <v>20</v>
      </c>
      <c r="O248" s="30">
        <f>$C$5</f>
        <v>46512</v>
      </c>
      <c r="P248" s="15"/>
    </row>
    <row r="249" spans="1:21" ht="10.5" customHeight="1" x14ac:dyDescent="0.35">
      <c r="A249" s="274" t="s">
        <v>120</v>
      </c>
      <c r="B249" s="276" t="s">
        <v>22</v>
      </c>
      <c r="C249" s="24" t="s">
        <v>17</v>
      </c>
      <c r="D249" s="98" t="s">
        <v>44</v>
      </c>
      <c r="E249" s="24" t="s">
        <v>18</v>
      </c>
      <c r="F249" s="93">
        <v>0.04</v>
      </c>
      <c r="G249" s="24" t="s">
        <v>19</v>
      </c>
      <c r="H249" s="15"/>
      <c r="L249" s="24" t="s">
        <v>17</v>
      </c>
      <c r="M249" s="249" t="s">
        <v>111</v>
      </c>
      <c r="N249" s="25">
        <v>0.04</v>
      </c>
      <c r="O249" s="24" t="s">
        <v>19</v>
      </c>
      <c r="P249" s="15"/>
    </row>
    <row r="250" spans="1:21" ht="10.5" customHeight="1" x14ac:dyDescent="0.35">
      <c r="A250" s="275"/>
      <c r="B250" s="276"/>
      <c r="C250" s="5" t="s">
        <v>73</v>
      </c>
      <c r="D250" s="82">
        <v>20</v>
      </c>
      <c r="E250" s="166">
        <f>833.4*$C$11</f>
        <v>4750.38</v>
      </c>
      <c r="F250" s="26">
        <f t="shared" ref="F250:F255" si="16">E250/$C$10/$C$21</f>
        <v>4610.5512031120179</v>
      </c>
      <c r="G250" s="31">
        <f t="shared" ref="G250:G255" si="17">E250/$C$10*$C$8</f>
        <v>5433.6636883012006</v>
      </c>
      <c r="H250" s="15"/>
      <c r="L250" s="5" t="s">
        <v>73</v>
      </c>
      <c r="M250" s="163">
        <f>833.4*$C$11</f>
        <v>4750.38</v>
      </c>
      <c r="N250" s="26">
        <f t="shared" ref="N250:N255" si="18">M250/$C$10/$C$21</f>
        <v>4610.5512031120179</v>
      </c>
      <c r="O250" s="31">
        <f t="shared" ref="O250:O255" si="19">M250/$C$10*$C$8</f>
        <v>5433.6636883012006</v>
      </c>
      <c r="P250" s="15"/>
    </row>
    <row r="251" spans="1:21" ht="10.5" customHeight="1" x14ac:dyDescent="0.35">
      <c r="A251" s="275"/>
      <c r="B251" s="276"/>
      <c r="C251" s="5" t="s">
        <v>76</v>
      </c>
      <c r="D251" s="82">
        <v>20</v>
      </c>
      <c r="E251" s="166">
        <f>224.04*$C$11</f>
        <v>1277.028</v>
      </c>
      <c r="F251" s="26">
        <f t="shared" si="16"/>
        <v>1239.4383147890769</v>
      </c>
      <c r="G251" s="31">
        <f t="shared" si="17"/>
        <v>1460.7127582517412</v>
      </c>
      <c r="H251" s="15"/>
      <c r="L251" s="5" t="s">
        <v>76</v>
      </c>
      <c r="M251" s="163">
        <f>204.37*$C$11</f>
        <v>1164.9090000000001</v>
      </c>
      <c r="N251" s="26">
        <f t="shared" si="18"/>
        <v>1130.6195696904288</v>
      </c>
      <c r="O251" s="31">
        <f t="shared" si="19"/>
        <v>1332.4668202281216</v>
      </c>
      <c r="P251" s="15"/>
    </row>
    <row r="252" spans="1:21" ht="10.5" customHeight="1" x14ac:dyDescent="0.35">
      <c r="A252" s="275"/>
      <c r="B252" s="276"/>
      <c r="C252" s="5" t="s">
        <v>77</v>
      </c>
      <c r="D252" s="82">
        <v>20</v>
      </c>
      <c r="E252" s="166">
        <f>56.97*$C$11</f>
        <v>324.72899999999998</v>
      </c>
      <c r="F252" s="26">
        <f t="shared" si="16"/>
        <v>315.17050880884528</v>
      </c>
      <c r="G252" s="31">
        <f t="shared" si="17"/>
        <v>371.43726940547083</v>
      </c>
      <c r="H252" s="15"/>
      <c r="L252" s="5" t="s">
        <v>77</v>
      </c>
      <c r="M252" s="163">
        <f>54.6*$C$11</f>
        <v>311.22000000000003</v>
      </c>
      <c r="N252" s="26">
        <f t="shared" si="18"/>
        <v>302.05915009589182</v>
      </c>
      <c r="O252" s="31">
        <f t="shared" si="19"/>
        <v>355.98516604421116</v>
      </c>
      <c r="P252" s="15"/>
      <c r="T252" s="58"/>
    </row>
    <row r="253" spans="1:21" ht="10.5" customHeight="1" x14ac:dyDescent="0.35">
      <c r="A253" s="275"/>
      <c r="B253" s="276"/>
      <c r="C253" s="5" t="s">
        <v>74</v>
      </c>
      <c r="D253" s="82">
        <v>36</v>
      </c>
      <c r="E253" s="166">
        <f>28.43*$C$11</f>
        <v>162.05100000000002</v>
      </c>
      <c r="F253" s="26">
        <f t="shared" si="16"/>
        <v>157.28098236678031</v>
      </c>
      <c r="G253" s="31">
        <f t="shared" si="17"/>
        <v>185.36004158675686</v>
      </c>
      <c r="H253" s="15"/>
      <c r="L253" s="5" t="s">
        <v>74</v>
      </c>
      <c r="M253" s="163">
        <v>0</v>
      </c>
      <c r="N253" s="26">
        <f t="shared" si="18"/>
        <v>0</v>
      </c>
      <c r="O253" s="31">
        <f t="shared" si="19"/>
        <v>0</v>
      </c>
      <c r="P253" s="15"/>
      <c r="S253" s="76"/>
      <c r="T253" s="103"/>
    </row>
    <row r="254" spans="1:21" ht="10.5" customHeight="1" x14ac:dyDescent="0.35">
      <c r="A254" s="275"/>
      <c r="B254" s="276"/>
      <c r="C254" s="5" t="s">
        <v>75</v>
      </c>
      <c r="D254" s="82">
        <v>12</v>
      </c>
      <c r="E254" s="166">
        <f>22.07*$C$11</f>
        <v>125.79900000000001</v>
      </c>
      <c r="F254" s="26">
        <f t="shared" si="16"/>
        <v>122.09607037758849</v>
      </c>
      <c r="G254" s="31">
        <f t="shared" si="17"/>
        <v>143.89363762995862</v>
      </c>
      <c r="H254" s="15"/>
      <c r="L254" s="5" t="s">
        <v>75</v>
      </c>
      <c r="M254" s="163">
        <v>0</v>
      </c>
      <c r="N254" s="26">
        <f t="shared" si="18"/>
        <v>0</v>
      </c>
      <c r="O254" s="31">
        <f t="shared" si="19"/>
        <v>0</v>
      </c>
      <c r="P254" s="15"/>
      <c r="S254" s="76"/>
      <c r="T254" s="103"/>
    </row>
    <row r="255" spans="1:21" ht="10.5" customHeight="1" x14ac:dyDescent="0.35">
      <c r="A255" s="275"/>
      <c r="B255" s="276"/>
      <c r="C255" s="5" t="s">
        <v>77</v>
      </c>
      <c r="D255" s="82">
        <v>48</v>
      </c>
      <c r="E255" s="166">
        <f>56.97*$C$11</f>
        <v>324.72899999999998</v>
      </c>
      <c r="F255" s="26">
        <f t="shared" si="16"/>
        <v>315.17050880884528</v>
      </c>
      <c r="G255" s="31">
        <f t="shared" si="17"/>
        <v>371.43726940547083</v>
      </c>
      <c r="H255" s="15"/>
      <c r="L255" s="5" t="s">
        <v>77</v>
      </c>
      <c r="M255" s="163">
        <v>0</v>
      </c>
      <c r="N255" s="26">
        <f t="shared" si="18"/>
        <v>0</v>
      </c>
      <c r="O255" s="31">
        <f t="shared" si="19"/>
        <v>0</v>
      </c>
      <c r="P255" s="15"/>
      <c r="S255" s="76"/>
      <c r="T255" s="68" t="s">
        <v>37</v>
      </c>
      <c r="U255" s="7"/>
    </row>
    <row r="256" spans="1:21" ht="10.5" customHeight="1" x14ac:dyDescent="0.35">
      <c r="A256" s="275"/>
      <c r="B256" s="276"/>
      <c r="C256" s="4" t="s">
        <v>94</v>
      </c>
      <c r="D256" s="34"/>
      <c r="E256" s="27">
        <f>SUMPRODUCT(E250:E255,$D$250:$D$255)</f>
        <v>149973.15599999999</v>
      </c>
      <c r="F256" s="27">
        <f>SUMPRODUCT(F250:F255,$D$250:$D$255)</f>
        <v>145558.65316675851</v>
      </c>
      <c r="G256" s="33">
        <f>SUMPRODUCT(G250:G255,$D$250:$D$255)</f>
        <v>171544.94839931358</v>
      </c>
      <c r="H256" s="15"/>
      <c r="L256" s="118" t="s">
        <v>94</v>
      </c>
      <c r="M256" s="27">
        <f>SUMPRODUCT(M250:M255,$D$250:$D$255)</f>
        <v>124530.18</v>
      </c>
      <c r="N256" s="27">
        <f>SUMPRODUCT(N250:N255,$D$250:$D$255)</f>
        <v>120864.59845796676</v>
      </c>
      <c r="O256" s="33">
        <f>SUMPRODUCT(O250:O255,$D$250:$D$255)</f>
        <v>142442.31349147068</v>
      </c>
      <c r="P256" s="15"/>
      <c r="S256" s="76"/>
      <c r="T256" s="69" t="s">
        <v>83</v>
      </c>
      <c r="U256" s="7"/>
    </row>
    <row r="257" spans="1:21" ht="10.5" customHeight="1" x14ac:dyDescent="0.35">
      <c r="A257" s="275"/>
      <c r="B257" s="276"/>
      <c r="C257" s="4" t="s">
        <v>93</v>
      </c>
      <c r="F257" s="95"/>
      <c r="G257" s="203">
        <f>G256/$C$13</f>
        <v>1491.695203472292</v>
      </c>
      <c r="H257" s="16"/>
      <c r="L257" s="4" t="s">
        <v>93</v>
      </c>
      <c r="M257" s="4"/>
      <c r="N257" s="95"/>
      <c r="O257" s="86">
        <f>O256/$C$13</f>
        <v>1238.6288129693103</v>
      </c>
      <c r="P257" s="16"/>
      <c r="S257" s="76"/>
      <c r="T257" s="70">
        <f>O257/G257-1</f>
        <v>-0.1696502005998991</v>
      </c>
      <c r="U257" s="7"/>
    </row>
    <row r="258" spans="1:21" ht="10.5" customHeight="1" x14ac:dyDescent="0.35">
      <c r="A258" s="275"/>
      <c r="B258" s="266"/>
      <c r="F258" s="57"/>
      <c r="G258" s="41"/>
      <c r="H258" s="15"/>
      <c r="O258" s="34"/>
      <c r="P258" s="15"/>
      <c r="T258" s="34"/>
    </row>
    <row r="259" spans="1:21" ht="10.5" customHeight="1" x14ac:dyDescent="0.35">
      <c r="A259" s="275"/>
      <c r="B259" s="277" t="s">
        <v>12</v>
      </c>
      <c r="C259" s="24" t="s">
        <v>17</v>
      </c>
      <c r="D259" s="46" t="s">
        <v>16</v>
      </c>
      <c r="E259" s="24" t="s">
        <v>18</v>
      </c>
      <c r="F259" s="89" t="s">
        <v>21</v>
      </c>
      <c r="G259" s="24" t="s">
        <v>19</v>
      </c>
      <c r="H259" s="15"/>
      <c r="L259" s="24" t="s">
        <v>17</v>
      </c>
      <c r="M259" s="249" t="s">
        <v>111</v>
      </c>
      <c r="N259" s="101" t="s">
        <v>21</v>
      </c>
      <c r="O259" s="101" t="s">
        <v>19</v>
      </c>
      <c r="P259" s="15"/>
    </row>
    <row r="260" spans="1:21" ht="10.5" customHeight="1" x14ac:dyDescent="0.35">
      <c r="A260" s="275"/>
      <c r="B260" s="278"/>
      <c r="C260" s="5" t="s">
        <v>73</v>
      </c>
      <c r="D260" s="173">
        <f>$D$250</f>
        <v>20</v>
      </c>
      <c r="E260" s="166">
        <f>833.4*$C$11</f>
        <v>4750.38</v>
      </c>
      <c r="F260" s="26">
        <f t="shared" ref="F260:F265" si="20">E260/$C$10/$C$21</f>
        <v>4610.5512031120179</v>
      </c>
      <c r="G260" s="31">
        <f t="shared" ref="G260:G265" si="21">E260/$C$10*$C$8</f>
        <v>5433.6636883012006</v>
      </c>
      <c r="H260" s="15"/>
      <c r="L260" s="5" t="s">
        <v>73</v>
      </c>
      <c r="M260" s="163">
        <f>833.4*$C$11</f>
        <v>4750.38</v>
      </c>
      <c r="N260" s="26">
        <f t="shared" ref="N260:N265" si="22">M260/$C$10/$C$21</f>
        <v>4610.5512031120179</v>
      </c>
      <c r="O260" s="31">
        <f t="shared" ref="O260:O265" si="23">M260/$C$10*$C$8</f>
        <v>5433.6636883012006</v>
      </c>
      <c r="P260" s="15"/>
    </row>
    <row r="261" spans="1:21" ht="10.5" customHeight="1" x14ac:dyDescent="0.35">
      <c r="A261" s="275"/>
      <c r="B261" s="278"/>
      <c r="C261" s="5" t="s">
        <v>76</v>
      </c>
      <c r="D261" s="173">
        <f>$D$251</f>
        <v>20</v>
      </c>
      <c r="E261" s="166">
        <f>224.04*$C$11</f>
        <v>1277.028</v>
      </c>
      <c r="F261" s="26">
        <f t="shared" si="20"/>
        <v>1239.4383147890769</v>
      </c>
      <c r="G261" s="31">
        <f t="shared" si="21"/>
        <v>1460.7127582517412</v>
      </c>
      <c r="H261" s="15"/>
      <c r="L261" s="5" t="s">
        <v>76</v>
      </c>
      <c r="M261" s="163">
        <f>204.37*$C$11</f>
        <v>1164.9090000000001</v>
      </c>
      <c r="N261" s="26">
        <f t="shared" si="22"/>
        <v>1130.6195696904288</v>
      </c>
      <c r="O261" s="31">
        <f t="shared" si="23"/>
        <v>1332.4668202281216</v>
      </c>
      <c r="P261" s="15"/>
    </row>
    <row r="262" spans="1:21" ht="10.5" customHeight="1" x14ac:dyDescent="0.35">
      <c r="A262" s="275"/>
      <c r="B262" s="278"/>
      <c r="C262" s="5" t="s">
        <v>77</v>
      </c>
      <c r="D262" s="173">
        <f>$D$252</f>
        <v>20</v>
      </c>
      <c r="E262" s="166">
        <f>56.97*$C$11</f>
        <v>324.72899999999998</v>
      </c>
      <c r="F262" s="26">
        <f t="shared" si="20"/>
        <v>315.17050880884528</v>
      </c>
      <c r="G262" s="31">
        <f t="shared" si="21"/>
        <v>371.43726940547083</v>
      </c>
      <c r="H262" s="15"/>
      <c r="L262" s="5" t="s">
        <v>77</v>
      </c>
      <c r="M262" s="163">
        <f>54.6*$C$11</f>
        <v>311.22000000000003</v>
      </c>
      <c r="N262" s="26">
        <f t="shared" si="22"/>
        <v>302.05915009589182</v>
      </c>
      <c r="O262" s="31">
        <f t="shared" si="23"/>
        <v>355.98516604421116</v>
      </c>
      <c r="P262" s="15"/>
      <c r="T262" s="58"/>
    </row>
    <row r="263" spans="1:21" ht="10.5" customHeight="1" x14ac:dyDescent="0.35">
      <c r="A263" s="275"/>
      <c r="B263" s="278"/>
      <c r="C263" s="5" t="s">
        <v>74</v>
      </c>
      <c r="D263" s="173">
        <f>$D$253</f>
        <v>36</v>
      </c>
      <c r="E263" s="166">
        <f>28.43*$C$11</f>
        <v>162.05100000000002</v>
      </c>
      <c r="F263" s="26">
        <f t="shared" si="20"/>
        <v>157.28098236678031</v>
      </c>
      <c r="G263" s="31">
        <f t="shared" si="21"/>
        <v>185.36004158675686</v>
      </c>
      <c r="H263" s="19"/>
      <c r="L263" s="5" t="s">
        <v>74</v>
      </c>
      <c r="M263" s="163">
        <v>0</v>
      </c>
      <c r="N263" s="26">
        <f t="shared" si="22"/>
        <v>0</v>
      </c>
      <c r="O263" s="31">
        <f t="shared" si="23"/>
        <v>0</v>
      </c>
      <c r="P263" s="19"/>
      <c r="S263" s="76"/>
      <c r="T263" s="103"/>
    </row>
    <row r="264" spans="1:21" ht="10.5" customHeight="1" x14ac:dyDescent="0.35">
      <c r="A264" s="275"/>
      <c r="B264" s="278"/>
      <c r="C264" s="5" t="s">
        <v>75</v>
      </c>
      <c r="D264" s="173">
        <f>$D$254</f>
        <v>12</v>
      </c>
      <c r="E264" s="166">
        <f>22.07*$C$11</f>
        <v>125.79900000000001</v>
      </c>
      <c r="F264" s="26">
        <f t="shared" si="20"/>
        <v>122.09607037758849</v>
      </c>
      <c r="G264" s="31">
        <f t="shared" si="21"/>
        <v>143.89363762995862</v>
      </c>
      <c r="H264" s="19"/>
      <c r="L264" s="5" t="s">
        <v>75</v>
      </c>
      <c r="M264" s="163">
        <v>0</v>
      </c>
      <c r="N264" s="26">
        <f t="shared" si="22"/>
        <v>0</v>
      </c>
      <c r="O264" s="31">
        <f t="shared" si="23"/>
        <v>0</v>
      </c>
      <c r="P264" s="19"/>
      <c r="S264" s="76"/>
      <c r="T264" s="58"/>
    </row>
    <row r="265" spans="1:21" ht="10.5" customHeight="1" x14ac:dyDescent="0.35">
      <c r="A265" s="275"/>
      <c r="B265" s="278"/>
      <c r="C265" s="5" t="s">
        <v>77</v>
      </c>
      <c r="D265" s="173">
        <f>$D$255</f>
        <v>48</v>
      </c>
      <c r="E265" s="166">
        <f>56.97*$C$11</f>
        <v>324.72899999999998</v>
      </c>
      <c r="F265" s="26">
        <f t="shared" si="20"/>
        <v>315.17050880884528</v>
      </c>
      <c r="G265" s="31">
        <f t="shared" si="21"/>
        <v>371.43726940547083</v>
      </c>
      <c r="H265" s="19"/>
      <c r="L265" s="5" t="s">
        <v>77</v>
      </c>
      <c r="M265" s="163">
        <v>0</v>
      </c>
      <c r="N265" s="26">
        <f t="shared" si="22"/>
        <v>0</v>
      </c>
      <c r="O265" s="31">
        <f t="shared" si="23"/>
        <v>0</v>
      </c>
      <c r="P265" s="19"/>
      <c r="S265" s="76"/>
      <c r="U265" s="7"/>
    </row>
    <row r="266" spans="1:21" ht="10.5" customHeight="1" x14ac:dyDescent="0.35">
      <c r="A266" s="275"/>
      <c r="B266" s="278"/>
      <c r="C266" s="4" t="s">
        <v>52</v>
      </c>
      <c r="D266" s="213"/>
      <c r="E266" s="47">
        <f>SUMPRODUCT(E260:E265,$D$260:$D$265)</f>
        <v>149973.15599999999</v>
      </c>
      <c r="F266" s="47">
        <f>SUMPRODUCT(F260:F265,$D$260:$D$265)</f>
        <v>145558.65316675851</v>
      </c>
      <c r="G266" s="38">
        <f>SUMPRODUCT(G260:G265,$D$260:$D$265)</f>
        <v>171544.94839931358</v>
      </c>
      <c r="H266" s="19"/>
      <c r="L266" s="118" t="s">
        <v>52</v>
      </c>
      <c r="M266" s="27">
        <f>SUMPRODUCT(M260:M265,$D$260:$D$265)</f>
        <v>124530.18</v>
      </c>
      <c r="N266" s="47">
        <f>SUMPRODUCT(N260:N265,$D$260:$D$265)</f>
        <v>120864.59845796676</v>
      </c>
      <c r="O266" s="38">
        <f>SUMPRODUCT(O260:O265,$D$260:$D$265)</f>
        <v>142442.31349147068</v>
      </c>
      <c r="P266" s="19"/>
      <c r="S266" s="76"/>
      <c r="U266" s="7"/>
    </row>
    <row r="267" spans="1:21" ht="10.5" customHeight="1" x14ac:dyDescent="0.35">
      <c r="A267" s="275"/>
      <c r="B267" s="278"/>
      <c r="C267" s="4" t="s">
        <v>97</v>
      </c>
      <c r="E267" s="165"/>
      <c r="F267" s="214"/>
      <c r="G267" s="236">
        <f>G266/$C$13</f>
        <v>1491.695203472292</v>
      </c>
      <c r="H267" s="57"/>
      <c r="L267" s="4" t="s">
        <v>97</v>
      </c>
      <c r="M267" s="166"/>
      <c r="N267" s="239"/>
      <c r="O267" s="236">
        <f>O266/$C$13</f>
        <v>1238.6288129693103</v>
      </c>
      <c r="P267" s="57"/>
      <c r="S267" s="76"/>
      <c r="U267" s="7"/>
    </row>
    <row r="268" spans="1:21" ht="10.5" customHeight="1" x14ac:dyDescent="0.35">
      <c r="A268" s="275"/>
      <c r="B268" s="278"/>
      <c r="C268" s="2" t="s">
        <v>87</v>
      </c>
      <c r="E268" s="165"/>
      <c r="F268" s="214"/>
      <c r="G268" s="221">
        <f>G266*$C$16</f>
        <v>3430.8989679862716</v>
      </c>
      <c r="L268" s="2" t="s">
        <v>87</v>
      </c>
      <c r="M268" s="166"/>
      <c r="N268" s="239"/>
      <c r="O268" s="221">
        <f>O266*$C$16</f>
        <v>2848.8462698294134</v>
      </c>
      <c r="S268" s="76"/>
      <c r="T268" s="58"/>
      <c r="U268" s="7"/>
    </row>
    <row r="269" spans="1:21" ht="10.5" customHeight="1" x14ac:dyDescent="0.35">
      <c r="A269" s="275"/>
      <c r="B269" s="278"/>
      <c r="C269" s="2" t="s">
        <v>88</v>
      </c>
      <c r="E269" s="165"/>
      <c r="F269" s="214"/>
      <c r="G269" s="163">
        <f>E266*$D$9</f>
        <v>4319.2268927999903</v>
      </c>
      <c r="L269" s="2" t="s">
        <v>88</v>
      </c>
      <c r="M269" s="166"/>
      <c r="N269" s="239"/>
      <c r="O269" s="163">
        <f>M266*$D$9</f>
        <v>3586.4691839999919</v>
      </c>
      <c r="S269" s="76"/>
      <c r="T269" s="262" t="s">
        <v>37</v>
      </c>
      <c r="U269" s="7"/>
    </row>
    <row r="270" spans="1:21" ht="10.5" customHeight="1" x14ac:dyDescent="0.35">
      <c r="A270" s="275"/>
      <c r="B270" s="278"/>
      <c r="C270" s="2" t="s">
        <v>90</v>
      </c>
      <c r="E270" s="165"/>
      <c r="F270" s="214"/>
      <c r="G270" s="220">
        <f>SUM(G268+G269)/G266</f>
        <v>4.5178397458524484E-2</v>
      </c>
      <c r="L270" s="2" t="s">
        <v>90</v>
      </c>
      <c r="M270" s="166"/>
      <c r="N270" s="239"/>
      <c r="O270" s="220">
        <f>SUM(O268+O269)/O266</f>
        <v>4.5178397458524477E-2</v>
      </c>
      <c r="S270" s="76"/>
      <c r="T270" s="263" t="s">
        <v>115</v>
      </c>
      <c r="U270" s="7"/>
    </row>
    <row r="271" spans="1:21" ht="10.5" customHeight="1" x14ac:dyDescent="0.35">
      <c r="A271" s="275"/>
      <c r="B271" s="278"/>
      <c r="C271" s="2" t="s">
        <v>98</v>
      </c>
      <c r="F271" s="28"/>
      <c r="G271" s="236">
        <f>G266/$C$17</f>
        <v>1427.2158773081478</v>
      </c>
      <c r="H271" s="219">
        <f>G271/G257-1</f>
        <v>-4.3225536968981682E-2</v>
      </c>
      <c r="L271" s="2" t="s">
        <v>98</v>
      </c>
      <c r="M271" s="166"/>
      <c r="N271" s="239"/>
      <c r="O271" s="236">
        <f>O266/$C$17</f>
        <v>1185.0884174234595</v>
      </c>
      <c r="P271" s="219">
        <f>O271/O257-1</f>
        <v>-4.322553696898157E-2</v>
      </c>
      <c r="S271" s="76"/>
      <c r="T271" s="264">
        <f>O271/G271-1</f>
        <v>-0.1696502005998991</v>
      </c>
      <c r="U271" s="7"/>
    </row>
    <row r="272" spans="1:21" ht="10.5" customHeight="1" x14ac:dyDescent="0.35">
      <c r="A272" s="275"/>
      <c r="B272" s="266"/>
      <c r="F272" s="57"/>
      <c r="G272" s="41"/>
      <c r="H272" s="17"/>
      <c r="L272" s="19"/>
      <c r="O272" s="107"/>
      <c r="P272" s="17"/>
      <c r="T272" s="34"/>
    </row>
    <row r="273" spans="1:21" ht="10.5" customHeight="1" x14ac:dyDescent="0.35">
      <c r="A273" s="275"/>
      <c r="B273" s="279" t="s">
        <v>92</v>
      </c>
      <c r="C273" s="24" t="s">
        <v>17</v>
      </c>
      <c r="D273" s="46" t="s">
        <v>16</v>
      </c>
      <c r="E273" s="24" t="s">
        <v>18</v>
      </c>
      <c r="F273" s="89" t="s">
        <v>21</v>
      </c>
      <c r="G273" s="24" t="s">
        <v>19</v>
      </c>
      <c r="H273" s="15"/>
      <c r="L273" s="24" t="s">
        <v>17</v>
      </c>
      <c r="M273" s="249" t="s">
        <v>111</v>
      </c>
      <c r="N273" s="101" t="s">
        <v>21</v>
      </c>
      <c r="O273" s="101" t="s">
        <v>19</v>
      </c>
      <c r="P273" s="15"/>
    </row>
    <row r="274" spans="1:21" ht="10.5" customHeight="1" x14ac:dyDescent="0.35">
      <c r="A274" s="275"/>
      <c r="B274" s="279"/>
      <c r="C274" s="5" t="s">
        <v>73</v>
      </c>
      <c r="D274" s="173">
        <f>$D$250</f>
        <v>20</v>
      </c>
      <c r="E274" s="49">
        <f>833.4</f>
        <v>833.4</v>
      </c>
      <c r="F274" s="50">
        <f t="shared" ref="F274:F279" si="24">E274/$C$10/$C$21</f>
        <v>808.86863212491551</v>
      </c>
      <c r="G274" s="50">
        <f t="shared" ref="G274:G279" si="25">E274/$E$10*$E$8</f>
        <v>913.90507721812855</v>
      </c>
      <c r="H274" s="15"/>
      <c r="L274" s="5" t="s">
        <v>73</v>
      </c>
      <c r="M274" s="29">
        <f>833.4</f>
        <v>833.4</v>
      </c>
      <c r="N274" s="50">
        <f t="shared" ref="N274:N279" si="26">M274/$C$10/$C$21</f>
        <v>808.86863212491551</v>
      </c>
      <c r="O274" s="50">
        <f t="shared" ref="O274:O279" si="27">M274/$E$10*$E$8</f>
        <v>913.90507721812855</v>
      </c>
      <c r="P274" s="15"/>
    </row>
    <row r="275" spans="1:21" ht="10.5" customHeight="1" x14ac:dyDescent="0.35">
      <c r="A275" s="275"/>
      <c r="B275" s="279"/>
      <c r="C275" s="5" t="s">
        <v>76</v>
      </c>
      <c r="D275" s="173">
        <f>$D$251</f>
        <v>20</v>
      </c>
      <c r="E275" s="49">
        <f>224.04</f>
        <v>224.04</v>
      </c>
      <c r="F275" s="50">
        <f t="shared" si="24"/>
        <v>217.44531838404856</v>
      </c>
      <c r="G275" s="50">
        <f t="shared" si="25"/>
        <v>245.68189764812757</v>
      </c>
      <c r="H275" s="15"/>
      <c r="L275" s="5" t="s">
        <v>76</v>
      </c>
      <c r="M275" s="29">
        <f>204.37</f>
        <v>204.37</v>
      </c>
      <c r="N275" s="50">
        <f t="shared" si="26"/>
        <v>198.35431047200504</v>
      </c>
      <c r="O275" s="50">
        <f t="shared" si="27"/>
        <v>224.11180781265773</v>
      </c>
      <c r="P275" s="15"/>
    </row>
    <row r="276" spans="1:21" ht="10.5" customHeight="1" x14ac:dyDescent="0.35">
      <c r="A276" s="275"/>
      <c r="B276" s="279"/>
      <c r="C276" s="5" t="s">
        <v>77</v>
      </c>
      <c r="D276" s="173">
        <f>$D$252</f>
        <v>20</v>
      </c>
      <c r="E276" s="49">
        <f>56.97</f>
        <v>56.97</v>
      </c>
      <c r="F276" s="50">
        <f t="shared" si="24"/>
        <v>55.293071720850058</v>
      </c>
      <c r="G276" s="50">
        <f t="shared" si="25"/>
        <v>62.473208842232765</v>
      </c>
      <c r="H276" s="15"/>
      <c r="L276" s="5" t="s">
        <v>77</v>
      </c>
      <c r="M276" s="29">
        <f>54.6</f>
        <v>54.6</v>
      </c>
      <c r="N276" s="50">
        <f t="shared" si="26"/>
        <v>52.992833350156452</v>
      </c>
      <c r="O276" s="50">
        <f t="shared" si="27"/>
        <v>59.874270717674378</v>
      </c>
      <c r="P276" s="15"/>
      <c r="T276" s="58"/>
    </row>
    <row r="277" spans="1:21" ht="10.5" customHeight="1" x14ac:dyDescent="0.35">
      <c r="A277" s="275"/>
      <c r="B277" s="279"/>
      <c r="C277" s="5" t="s">
        <v>74</v>
      </c>
      <c r="D277" s="173">
        <f>$D$253</f>
        <v>36</v>
      </c>
      <c r="E277" s="49">
        <f>28.43</f>
        <v>28.43</v>
      </c>
      <c r="F277" s="50">
        <f t="shared" si="24"/>
        <v>27.593154801189524</v>
      </c>
      <c r="G277" s="50">
        <f t="shared" si="25"/>
        <v>31.176291511052792</v>
      </c>
      <c r="H277" s="15"/>
      <c r="I277" s="19"/>
      <c r="L277" s="5" t="s">
        <v>74</v>
      </c>
      <c r="M277" s="29">
        <v>0</v>
      </c>
      <c r="N277" s="50">
        <f t="shared" si="26"/>
        <v>0</v>
      </c>
      <c r="O277" s="50">
        <f t="shared" si="27"/>
        <v>0</v>
      </c>
      <c r="P277" s="15"/>
      <c r="Q277" s="19"/>
      <c r="S277" s="76"/>
      <c r="T277" s="103"/>
    </row>
    <row r="278" spans="1:21" ht="10.5" customHeight="1" x14ac:dyDescent="0.35">
      <c r="A278" s="275"/>
      <c r="B278" s="279"/>
      <c r="C278" s="5" t="s">
        <v>75</v>
      </c>
      <c r="D278" s="173">
        <f>$D$254</f>
        <v>12</v>
      </c>
      <c r="E278" s="49">
        <f>22.07</f>
        <v>22.07</v>
      </c>
      <c r="F278" s="50">
        <f t="shared" si="24"/>
        <v>21.420363224138335</v>
      </c>
      <c r="G278" s="50">
        <f t="shared" si="25"/>
        <v>24.201925910972044</v>
      </c>
      <c r="H278" s="15"/>
      <c r="I278" s="19"/>
      <c r="L278" s="5" t="s">
        <v>75</v>
      </c>
      <c r="M278" s="29">
        <v>0</v>
      </c>
      <c r="N278" s="50">
        <f t="shared" si="26"/>
        <v>0</v>
      </c>
      <c r="O278" s="50">
        <f t="shared" si="27"/>
        <v>0</v>
      </c>
      <c r="P278" s="15"/>
      <c r="Q278" s="19"/>
      <c r="S278" s="76"/>
      <c r="T278" s="103"/>
    </row>
    <row r="279" spans="1:21" ht="10.5" customHeight="1" x14ac:dyDescent="0.35">
      <c r="A279" s="275"/>
      <c r="B279" s="279"/>
      <c r="C279" s="5" t="s">
        <v>77</v>
      </c>
      <c r="D279" s="173">
        <f>$D$255</f>
        <v>48</v>
      </c>
      <c r="E279" s="49">
        <f>56.97</f>
        <v>56.97</v>
      </c>
      <c r="F279" s="50">
        <f t="shared" si="24"/>
        <v>55.293071720850058</v>
      </c>
      <c r="G279" s="50">
        <f t="shared" si="25"/>
        <v>62.473208842232765</v>
      </c>
      <c r="H279" s="15"/>
      <c r="I279" s="19"/>
      <c r="L279" s="5" t="s">
        <v>77</v>
      </c>
      <c r="M279" s="29">
        <v>0</v>
      </c>
      <c r="N279" s="50">
        <f t="shared" si="26"/>
        <v>0</v>
      </c>
      <c r="O279" s="50">
        <f t="shared" si="27"/>
        <v>0</v>
      </c>
      <c r="P279" s="15"/>
      <c r="Q279" s="19"/>
      <c r="S279" s="76"/>
      <c r="T279" s="68" t="s">
        <v>37</v>
      </c>
      <c r="U279" s="7"/>
    </row>
    <row r="280" spans="1:21" ht="10.5" customHeight="1" x14ac:dyDescent="0.35">
      <c r="A280" s="275"/>
      <c r="B280" s="279"/>
      <c r="C280" s="4" t="s">
        <v>95</v>
      </c>
      <c r="D280" s="34"/>
      <c r="E280" s="50">
        <f>SUMPRODUCT(E274:E279,$D$274:$D$279)</f>
        <v>26311.08</v>
      </c>
      <c r="F280" s="50">
        <f>SUMPRODUCT(F274:F279,$D$274:$D$279)</f>
        <v>25536.605818729571</v>
      </c>
      <c r="G280" s="218">
        <f>SUMPRODUCT(G274:G279,$D$274:$D$279)</f>
        <v>28852.687303926519</v>
      </c>
      <c r="H280" s="15"/>
      <c r="I280" s="19"/>
      <c r="L280" s="4" t="s">
        <v>95</v>
      </c>
      <c r="M280" s="49">
        <f>SUMPRODUCT(M274:M279,D274:D279)</f>
        <v>21847.4</v>
      </c>
      <c r="N280" s="49">
        <f>SUMPRODUCT(N274:N279,D274:D279)</f>
        <v>21204.315518941541</v>
      </c>
      <c r="O280" s="54">
        <f>SUMPRODUCT(O274:O279,D274:D279)</f>
        <v>23957.823114969215</v>
      </c>
      <c r="P280" s="15"/>
      <c r="Q280" s="19"/>
      <c r="S280" s="76"/>
      <c r="T280" s="69" t="s">
        <v>82</v>
      </c>
      <c r="U280" s="7"/>
    </row>
    <row r="281" spans="1:21" ht="10.5" customHeight="1" x14ac:dyDescent="0.35">
      <c r="A281" s="275"/>
      <c r="B281" s="279"/>
      <c r="C281" s="2" t="s">
        <v>96</v>
      </c>
      <c r="F281" s="95"/>
      <c r="G281" s="86">
        <f>G280/$D$14</f>
        <v>1373.9374906631676</v>
      </c>
      <c r="H281" s="61"/>
      <c r="I281" s="127">
        <f>G281/G257-1</f>
        <v>-7.8942207855206559E-2</v>
      </c>
      <c r="J281" s="16"/>
      <c r="L281" s="2" t="s">
        <v>96</v>
      </c>
      <c r="M281" s="4"/>
      <c r="N281" s="95"/>
      <c r="O281" s="86">
        <f>O280/$D$14</f>
        <v>1140.8487197604388</v>
      </c>
      <c r="P281" s="61"/>
      <c r="Q281" s="127">
        <f>O281/O257-1</f>
        <v>-7.8942207855206892E-2</v>
      </c>
      <c r="R281" s="16"/>
      <c r="S281" s="76"/>
      <c r="T281" s="70">
        <f>O281/G281-1</f>
        <v>-0.16965020059989944</v>
      </c>
      <c r="U281" s="7"/>
    </row>
    <row r="282" spans="1:21" ht="10.5" customHeight="1" x14ac:dyDescent="0.35">
      <c r="A282" s="275"/>
      <c r="B282" s="266"/>
      <c r="F282" s="57"/>
      <c r="G282" s="41"/>
      <c r="H282" s="15"/>
      <c r="I282" s="17"/>
      <c r="O282" s="34"/>
      <c r="P282" s="15"/>
      <c r="Q282" s="17"/>
      <c r="T282" s="34"/>
    </row>
    <row r="283" spans="1:21" ht="10.5" customHeight="1" x14ac:dyDescent="0.35">
      <c r="A283" s="275"/>
      <c r="B283" s="277" t="s">
        <v>23</v>
      </c>
      <c r="C283" s="24" t="s">
        <v>17</v>
      </c>
      <c r="D283" s="46" t="s">
        <v>16</v>
      </c>
      <c r="E283" s="24" t="s">
        <v>18</v>
      </c>
      <c r="F283" s="89" t="s">
        <v>21</v>
      </c>
      <c r="G283" s="24" t="s">
        <v>19</v>
      </c>
      <c r="H283" s="15"/>
      <c r="L283" s="24" t="s">
        <v>17</v>
      </c>
      <c r="M283" s="249" t="s">
        <v>111</v>
      </c>
      <c r="N283" s="101" t="s">
        <v>21</v>
      </c>
      <c r="O283" s="101" t="s">
        <v>19</v>
      </c>
      <c r="P283" s="15"/>
    </row>
    <row r="284" spans="1:21" ht="10.5" customHeight="1" x14ac:dyDescent="0.35">
      <c r="A284" s="275"/>
      <c r="B284" s="278"/>
      <c r="C284" s="5" t="s">
        <v>73</v>
      </c>
      <c r="D284" s="173">
        <f>$D$250</f>
        <v>20</v>
      </c>
      <c r="E284" s="49">
        <f>833.4</f>
        <v>833.4</v>
      </c>
      <c r="F284" s="50">
        <f t="shared" ref="F284:F289" si="28">E284/$C$10/$C$21</f>
        <v>808.86863212491551</v>
      </c>
      <c r="G284" s="50">
        <f t="shared" ref="G284:G289" si="29">E284/$E$10*$E$8</f>
        <v>913.90507721812855</v>
      </c>
      <c r="H284" s="15"/>
      <c r="L284" s="5" t="s">
        <v>73</v>
      </c>
      <c r="M284" s="29">
        <f>833.4</f>
        <v>833.4</v>
      </c>
      <c r="N284" s="50">
        <f t="shared" ref="N284:N289" si="30">M284/$C$10/$C$21</f>
        <v>808.86863212491551</v>
      </c>
      <c r="O284" s="50">
        <f t="shared" ref="O284:O289" si="31">M284/$E$10*$E$8</f>
        <v>913.90507721812855</v>
      </c>
      <c r="P284" s="15"/>
    </row>
    <row r="285" spans="1:21" ht="10.5" customHeight="1" x14ac:dyDescent="0.35">
      <c r="A285" s="275"/>
      <c r="B285" s="278"/>
      <c r="C285" s="5" t="s">
        <v>76</v>
      </c>
      <c r="D285" s="173">
        <f>$D$251</f>
        <v>20</v>
      </c>
      <c r="E285" s="49">
        <f>224.04</f>
        <v>224.04</v>
      </c>
      <c r="F285" s="50">
        <f t="shared" si="28"/>
        <v>217.44531838404856</v>
      </c>
      <c r="G285" s="50">
        <f t="shared" si="29"/>
        <v>245.68189764812757</v>
      </c>
      <c r="H285" s="15"/>
      <c r="L285" s="5" t="s">
        <v>76</v>
      </c>
      <c r="M285" s="29">
        <f>204.37</f>
        <v>204.37</v>
      </c>
      <c r="N285" s="50">
        <f t="shared" si="30"/>
        <v>198.35431047200504</v>
      </c>
      <c r="O285" s="50">
        <f t="shared" si="31"/>
        <v>224.11180781265773</v>
      </c>
      <c r="P285" s="15"/>
      <c r="Q285" s="15" t="s">
        <v>101</v>
      </c>
    </row>
    <row r="286" spans="1:21" ht="10.5" customHeight="1" x14ac:dyDescent="0.35">
      <c r="A286" s="275"/>
      <c r="B286" s="278"/>
      <c r="C286" s="5" t="s">
        <v>77</v>
      </c>
      <c r="D286" s="173">
        <f>$D$252</f>
        <v>20</v>
      </c>
      <c r="E286" s="49">
        <f>56.97</f>
        <v>56.97</v>
      </c>
      <c r="F286" s="50">
        <f t="shared" si="28"/>
        <v>55.293071720850058</v>
      </c>
      <c r="G286" s="50">
        <f t="shared" si="29"/>
        <v>62.473208842232765</v>
      </c>
      <c r="H286" s="15"/>
      <c r="L286" s="5" t="s">
        <v>77</v>
      </c>
      <c r="M286" s="29">
        <f>54.6</f>
        <v>54.6</v>
      </c>
      <c r="N286" s="50">
        <f t="shared" si="30"/>
        <v>52.992833350156452</v>
      </c>
      <c r="O286" s="50">
        <f t="shared" si="31"/>
        <v>59.874270717674378</v>
      </c>
      <c r="P286" s="15"/>
      <c r="T286" s="58"/>
    </row>
    <row r="287" spans="1:21" ht="10.5" customHeight="1" x14ac:dyDescent="0.35">
      <c r="A287" s="275"/>
      <c r="B287" s="278"/>
      <c r="C287" s="5" t="s">
        <v>74</v>
      </c>
      <c r="D287" s="173">
        <f>$D$253</f>
        <v>36</v>
      </c>
      <c r="E287" s="49">
        <f>28.43</f>
        <v>28.43</v>
      </c>
      <c r="F287" s="50">
        <f t="shared" si="28"/>
        <v>27.593154801189524</v>
      </c>
      <c r="G287" s="50">
        <f t="shared" si="29"/>
        <v>31.176291511052792</v>
      </c>
      <c r="H287" s="15"/>
      <c r="J287" s="19"/>
      <c r="L287" s="5" t="s">
        <v>74</v>
      </c>
      <c r="M287" s="29">
        <v>0</v>
      </c>
      <c r="N287" s="50">
        <f t="shared" si="30"/>
        <v>0</v>
      </c>
      <c r="O287" s="50">
        <f t="shared" si="31"/>
        <v>0</v>
      </c>
      <c r="P287" s="15"/>
      <c r="R287" s="19"/>
      <c r="S287" s="76"/>
      <c r="T287" s="103"/>
    </row>
    <row r="288" spans="1:21" ht="10.5" customHeight="1" x14ac:dyDescent="0.35">
      <c r="A288" s="275"/>
      <c r="B288" s="278"/>
      <c r="C288" s="5" t="s">
        <v>75</v>
      </c>
      <c r="D288" s="173">
        <f>$D$254</f>
        <v>12</v>
      </c>
      <c r="E288" s="49">
        <f>22.07</f>
        <v>22.07</v>
      </c>
      <c r="F288" s="50">
        <f t="shared" si="28"/>
        <v>21.420363224138335</v>
      </c>
      <c r="G288" s="50">
        <f t="shared" si="29"/>
        <v>24.201925910972044</v>
      </c>
      <c r="H288" s="15"/>
      <c r="J288" s="19"/>
      <c r="L288" s="5" t="s">
        <v>75</v>
      </c>
      <c r="M288" s="29">
        <v>0</v>
      </c>
      <c r="N288" s="50">
        <f t="shared" si="30"/>
        <v>0</v>
      </c>
      <c r="O288" s="50">
        <f t="shared" si="31"/>
        <v>0</v>
      </c>
      <c r="P288" s="15"/>
      <c r="R288" s="19"/>
      <c r="S288" s="76"/>
    </row>
    <row r="289" spans="1:21" ht="10.5" customHeight="1" x14ac:dyDescent="0.35">
      <c r="A289" s="275"/>
      <c r="B289" s="278"/>
      <c r="C289" s="5" t="s">
        <v>77</v>
      </c>
      <c r="D289" s="173">
        <f>$D$255</f>
        <v>48</v>
      </c>
      <c r="E289" s="49">
        <f>56.97</f>
        <v>56.97</v>
      </c>
      <c r="F289" s="50">
        <f t="shared" si="28"/>
        <v>55.293071720850058</v>
      </c>
      <c r="G289" s="50">
        <f t="shared" si="29"/>
        <v>62.473208842232765</v>
      </c>
      <c r="H289" s="15"/>
      <c r="J289" s="19"/>
      <c r="L289" s="5" t="s">
        <v>77</v>
      </c>
      <c r="M289" s="29">
        <v>0</v>
      </c>
      <c r="N289" s="50">
        <f t="shared" si="30"/>
        <v>0</v>
      </c>
      <c r="O289" s="50">
        <f t="shared" si="31"/>
        <v>0</v>
      </c>
      <c r="P289" s="15"/>
      <c r="R289" s="19"/>
      <c r="S289" s="76"/>
      <c r="U289" s="7"/>
    </row>
    <row r="290" spans="1:21" ht="10.5" customHeight="1" x14ac:dyDescent="0.35">
      <c r="A290" s="275"/>
      <c r="B290" s="278"/>
      <c r="C290" s="4" t="s">
        <v>53</v>
      </c>
      <c r="D290" s="213"/>
      <c r="E290" s="49">
        <f>SUMPRODUCT(E284:E289,$D$284:$D$289)</f>
        <v>26311.08</v>
      </c>
      <c r="F290" s="49">
        <f>SUMPRODUCT(F284:F289,$D$284:$D$289)</f>
        <v>25536.605818729571</v>
      </c>
      <c r="G290" s="91">
        <f>SUMPRODUCT(G284:G289,$D$284:$D$289)</f>
        <v>28852.687303926519</v>
      </c>
      <c r="H290" s="15"/>
      <c r="J290" s="19"/>
      <c r="L290" s="4" t="s">
        <v>53</v>
      </c>
      <c r="M290" s="49">
        <f>SUMPRODUCT(M284:M289,$D$284:$D$289)</f>
        <v>21847.4</v>
      </c>
      <c r="N290" s="49">
        <f>SUMPRODUCT(N284:N289,$D$284:$D$289)</f>
        <v>21204.315518941541</v>
      </c>
      <c r="O290" s="91">
        <f>SUMPRODUCT(O284:O289,$D$284:$D$289)</f>
        <v>23957.823114969215</v>
      </c>
      <c r="P290" s="15"/>
      <c r="R290" s="19"/>
      <c r="S290" s="76"/>
      <c r="U290" s="7"/>
    </row>
    <row r="291" spans="1:21" ht="10.5" customHeight="1" x14ac:dyDescent="0.35">
      <c r="A291" s="275"/>
      <c r="B291" s="278"/>
      <c r="C291" s="4" t="s">
        <v>97</v>
      </c>
      <c r="D291" s="213"/>
      <c r="E291" s="49"/>
      <c r="F291" s="240"/>
      <c r="G291" s="236">
        <f>G290/$D$14</f>
        <v>1373.9374906631676</v>
      </c>
      <c r="H291" s="139"/>
      <c r="I291" s="215"/>
      <c r="J291" s="215"/>
      <c r="L291" s="4" t="s">
        <v>97</v>
      </c>
      <c r="M291" s="49"/>
      <c r="N291" s="240"/>
      <c r="O291" s="236">
        <f>O290/$D$14</f>
        <v>1140.8487197604388</v>
      </c>
      <c r="P291" s="139"/>
      <c r="Q291" s="215"/>
      <c r="R291" s="215"/>
      <c r="S291" s="76"/>
      <c r="U291" s="7"/>
    </row>
    <row r="292" spans="1:21" ht="10.5" customHeight="1" x14ac:dyDescent="0.35">
      <c r="A292" s="275"/>
      <c r="B292" s="278"/>
      <c r="C292" s="2" t="s">
        <v>87</v>
      </c>
      <c r="D292" s="213"/>
      <c r="E292" s="49"/>
      <c r="F292" s="48"/>
      <c r="G292" s="230">
        <f>G290*$D$16</f>
        <v>577.05374607853037</v>
      </c>
      <c r="H292" s="139"/>
      <c r="I292" s="215"/>
      <c r="J292" s="215"/>
      <c r="L292" s="2" t="s">
        <v>87</v>
      </c>
      <c r="M292" s="49"/>
      <c r="N292" s="48"/>
      <c r="O292" s="230">
        <f>O290*$D$16</f>
        <v>479.15646229938432</v>
      </c>
      <c r="P292" s="139"/>
      <c r="Q292" s="215"/>
      <c r="R292" s="215"/>
      <c r="S292" s="76"/>
      <c r="T292" s="58"/>
      <c r="U292" s="7"/>
    </row>
    <row r="293" spans="1:21" ht="10.5" customHeight="1" x14ac:dyDescent="0.35">
      <c r="A293" s="275"/>
      <c r="B293" s="278"/>
      <c r="C293" s="2" t="s">
        <v>88</v>
      </c>
      <c r="D293" s="213"/>
      <c r="E293" s="49"/>
      <c r="F293" s="48"/>
      <c r="G293" s="29">
        <f>E290*$F$9</f>
        <v>947.19888000000094</v>
      </c>
      <c r="H293" s="139"/>
      <c r="I293" s="215"/>
      <c r="J293" s="215"/>
      <c r="L293" s="2" t="s">
        <v>88</v>
      </c>
      <c r="M293" s="49"/>
      <c r="N293" s="48"/>
      <c r="O293" s="29">
        <f>M290*$F$9</f>
        <v>786.50640000000078</v>
      </c>
      <c r="P293" s="139"/>
      <c r="Q293" s="215"/>
      <c r="R293" s="215"/>
      <c r="S293" s="76"/>
      <c r="T293" s="68" t="s">
        <v>37</v>
      </c>
      <c r="U293" s="7"/>
    </row>
    <row r="294" spans="1:21" ht="10.5" customHeight="1" x14ac:dyDescent="0.35">
      <c r="A294" s="275"/>
      <c r="B294" s="278"/>
      <c r="C294" s="2" t="s">
        <v>90</v>
      </c>
      <c r="D294" s="213"/>
      <c r="E294" s="49"/>
      <c r="F294" s="48"/>
      <c r="G294" s="220">
        <f>SUM(G292+G293)/G290</f>
        <v>5.2828792341678962E-2</v>
      </c>
      <c r="H294" s="139"/>
      <c r="I294" s="215"/>
      <c r="J294" s="215"/>
      <c r="L294" s="2" t="s">
        <v>90</v>
      </c>
      <c r="M294" s="49"/>
      <c r="N294" s="48"/>
      <c r="O294" s="220">
        <f>SUM(O292+O293)/O290</f>
        <v>5.2828792341678969E-2</v>
      </c>
      <c r="P294" s="139"/>
      <c r="Q294" s="215"/>
      <c r="R294" s="215"/>
      <c r="S294" s="76"/>
      <c r="T294" s="69" t="s">
        <v>84</v>
      </c>
      <c r="U294" s="7"/>
    </row>
    <row r="295" spans="1:21" ht="10.5" customHeight="1" x14ac:dyDescent="0.35">
      <c r="A295" s="275"/>
      <c r="B295" s="278"/>
      <c r="C295" s="2" t="s">
        <v>99</v>
      </c>
      <c r="D295" s="213"/>
      <c r="E295" s="49"/>
      <c r="F295" s="240"/>
      <c r="G295" s="236">
        <f>G290/$D$17</f>
        <v>1304.9961215510507</v>
      </c>
      <c r="H295" s="57"/>
      <c r="I295" s="18"/>
      <c r="J295" s="127">
        <f>G295/G257-1</f>
        <v>-0.12515900130713875</v>
      </c>
      <c r="L295" s="2" t="s">
        <v>99</v>
      </c>
      <c r="M295" s="49"/>
      <c r="N295" s="240"/>
      <c r="O295" s="236">
        <f>O290/$D$17</f>
        <v>1083.6032677478242</v>
      </c>
      <c r="P295" s="57"/>
      <c r="Q295" s="18"/>
      <c r="R295" s="127">
        <f>O295/O257-1</f>
        <v>-0.12515900130713908</v>
      </c>
      <c r="S295" s="76"/>
      <c r="T295" s="70">
        <f>O295/G295-1</f>
        <v>-0.16965020059989944</v>
      </c>
      <c r="U295" s="7"/>
    </row>
    <row r="296" spans="1:21" ht="10.5" customHeight="1" x14ac:dyDescent="0.35">
      <c r="G296" s="34"/>
      <c r="N296" s="39"/>
      <c r="O296" s="210">
        <f>O295/G257-1</f>
        <v>-0.27357595222839903</v>
      </c>
      <c r="P296" s="57"/>
      <c r="T296" s="34"/>
    </row>
    <row r="297" spans="1:21" ht="10.5" customHeight="1" x14ac:dyDescent="0.35">
      <c r="O297" s="34"/>
    </row>
    <row r="298" spans="1:21" ht="10.5" customHeight="1" x14ac:dyDescent="0.35"/>
  </sheetData>
  <mergeCells count="37">
    <mergeCell ref="B1:F1"/>
    <mergeCell ref="A13:A20"/>
    <mergeCell ref="B43:B47"/>
    <mergeCell ref="B49:B58"/>
    <mergeCell ref="A27:A58"/>
    <mergeCell ref="B27:B31"/>
    <mergeCell ref="B33:B41"/>
    <mergeCell ref="B80:B85"/>
    <mergeCell ref="B87:B97"/>
    <mergeCell ref="B62:B67"/>
    <mergeCell ref="B69:B78"/>
    <mergeCell ref="A62:A97"/>
    <mergeCell ref="B117:B121"/>
    <mergeCell ref="B123:B131"/>
    <mergeCell ref="A101:A131"/>
    <mergeCell ref="B101:B105"/>
    <mergeCell ref="B107:B115"/>
    <mergeCell ref="B152:B156"/>
    <mergeCell ref="B158:B166"/>
    <mergeCell ref="A136:A166"/>
    <mergeCell ref="B136:B140"/>
    <mergeCell ref="B142:B150"/>
    <mergeCell ref="A210:A244"/>
    <mergeCell ref="B210:B215"/>
    <mergeCell ref="B217:B226"/>
    <mergeCell ref="B189:B194"/>
    <mergeCell ref="B196:B205"/>
    <mergeCell ref="B228:B233"/>
    <mergeCell ref="B235:B244"/>
    <mergeCell ref="A171:A205"/>
    <mergeCell ref="B171:B176"/>
    <mergeCell ref="B178:B187"/>
    <mergeCell ref="A249:A295"/>
    <mergeCell ref="B249:B257"/>
    <mergeCell ref="B259:B271"/>
    <mergeCell ref="B273:B281"/>
    <mergeCell ref="B283:B295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IbpWorksheetKeyString_GU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81DB-020F-4DF9-8452-83AE2E95CF00}">
  <dimension ref="A1"/>
  <sheetViews>
    <sheetView workbookViewId="0">
      <selection activeCell="M26" sqref="M26"/>
    </sheetView>
  </sheetViews>
  <sheetFormatPr defaultRowHeight="10.5" x14ac:dyDescent="0.25"/>
  <cols>
    <col min="1" max="16384" width="8.7265625" style="174"/>
  </cols>
  <sheetData/>
  <pageMargins left="0.511811024" right="0.511811024" top="0.78740157499999996" bottom="0.78740157499999996" header="0.31496062000000002" footer="0.31496062000000002"/>
  <customProperties>
    <customPr name="IbpWorksheetKeyString_GU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043B-7C87-4A61-999D-F4740E564784}">
  <dimension ref="A1"/>
  <sheetViews>
    <sheetView topLeftCell="A13" workbookViewId="0">
      <selection activeCell="D37" sqref="D37"/>
    </sheetView>
  </sheetViews>
  <sheetFormatPr defaultRowHeight="10.5" x14ac:dyDescent="0.25"/>
  <cols>
    <col min="1" max="16384" width="8.7265625" style="174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9E7A-1C56-4552-AE81-836460E96B2D}">
  <dimension ref="A31"/>
  <sheetViews>
    <sheetView topLeftCell="A25" workbookViewId="0">
      <selection activeCell="A31" sqref="A31"/>
    </sheetView>
  </sheetViews>
  <sheetFormatPr defaultRowHeight="10.5" x14ac:dyDescent="0.25"/>
  <cols>
    <col min="1" max="16384" width="8.7265625" style="174"/>
  </cols>
  <sheetData>
    <row r="31" spans="1:1" ht="14.5" x14ac:dyDescent="0.35">
      <c r="A3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5123-A1D5-4F33-AD7B-0196A16CF933}">
  <dimension ref="A1"/>
  <sheetViews>
    <sheetView workbookViewId="0">
      <selection activeCell="K24" sqref="K24"/>
    </sheetView>
  </sheetViews>
  <sheetFormatPr defaultRowHeight="10.5" x14ac:dyDescent="0.25"/>
  <cols>
    <col min="1" max="16384" width="8.7265625" style="174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6732-A793-4435-B2FA-8C18EFAC5B56}">
  <sheetPr>
    <tabColor rgb="FFFFC000"/>
  </sheetPr>
  <dimension ref="A1:U189"/>
  <sheetViews>
    <sheetView topLeftCell="A38" workbookViewId="0">
      <selection activeCell="F29" sqref="F29"/>
    </sheetView>
  </sheetViews>
  <sheetFormatPr defaultColWidth="8.7265625" defaultRowHeight="10.5" x14ac:dyDescent="0.35"/>
  <cols>
    <col min="1" max="1" width="21.54296875" style="4" customWidth="1"/>
    <col min="2" max="3" width="11.453125" style="2" customWidth="1"/>
    <col min="4" max="4" width="9" style="23" customWidth="1"/>
    <col min="5" max="5" width="8.1796875" style="23" customWidth="1"/>
    <col min="6" max="7" width="12.54296875" style="23" customWidth="1"/>
    <col min="8" max="8" width="4.54296875" style="23" customWidth="1"/>
    <col min="9" max="10" width="4.54296875" style="15" customWidth="1"/>
    <col min="11" max="11" width="0.81640625" style="3" customWidth="1"/>
    <col min="12" max="12" width="3.453125" style="15" customWidth="1"/>
    <col min="13" max="13" width="8.1796875" style="23" customWidth="1"/>
    <col min="14" max="15" width="12.54296875" style="23" customWidth="1"/>
    <col min="16" max="16" width="4.54296875" style="23" customWidth="1"/>
    <col min="17" max="18" width="4.54296875" style="15" customWidth="1"/>
    <col min="19" max="19" width="0.81640625" style="3" customWidth="1"/>
    <col min="20" max="20" width="11" style="23" customWidth="1"/>
    <col min="21" max="16384" width="8.7265625" style="2"/>
  </cols>
  <sheetData>
    <row r="1" spans="1:20" x14ac:dyDescent="0.35">
      <c r="A1" s="1" t="s">
        <v>10</v>
      </c>
      <c r="B1" s="329" t="s">
        <v>39</v>
      </c>
      <c r="C1" s="330"/>
      <c r="D1" s="331"/>
      <c r="F1" s="329" t="s">
        <v>40</v>
      </c>
      <c r="G1" s="330"/>
      <c r="H1" s="330"/>
      <c r="I1" s="331"/>
    </row>
    <row r="2" spans="1:20" ht="9" customHeight="1" x14ac:dyDescent="0.35">
      <c r="A2" s="1" t="s">
        <v>8</v>
      </c>
      <c r="B2" s="22" t="s">
        <v>9</v>
      </c>
      <c r="C2" s="22" t="s">
        <v>12</v>
      </c>
      <c r="D2" s="22" t="s">
        <v>55</v>
      </c>
      <c r="E2" s="22"/>
      <c r="F2" s="22" t="s">
        <v>11</v>
      </c>
      <c r="G2" s="22" t="s">
        <v>23</v>
      </c>
      <c r="H2" s="340" t="s">
        <v>55</v>
      </c>
      <c r="I2" s="341"/>
    </row>
    <row r="3" spans="1:20" ht="9" customHeight="1" x14ac:dyDescent="0.35">
      <c r="A3" s="1" t="s">
        <v>0</v>
      </c>
      <c r="B3" s="36">
        <v>46082</v>
      </c>
      <c r="C3" s="36">
        <v>46082</v>
      </c>
      <c r="F3" s="36">
        <v>46082</v>
      </c>
      <c r="G3" s="36">
        <v>46082</v>
      </c>
    </row>
    <row r="4" spans="1:20" ht="9" customHeight="1" x14ac:dyDescent="0.35">
      <c r="A4" s="1" t="s">
        <v>1</v>
      </c>
      <c r="B4" s="36">
        <v>46270</v>
      </c>
      <c r="C4" s="36">
        <v>46270</v>
      </c>
      <c r="F4" s="36">
        <v>46270</v>
      </c>
      <c r="G4" s="36">
        <v>46270</v>
      </c>
    </row>
    <row r="5" spans="1:20" ht="9" customHeight="1" x14ac:dyDescent="0.35">
      <c r="A5" s="1" t="s">
        <v>2</v>
      </c>
      <c r="B5" s="23">
        <f>B4-B3</f>
        <v>188</v>
      </c>
      <c r="C5" s="23">
        <f>C4-C3</f>
        <v>188</v>
      </c>
      <c r="F5" s="23">
        <f>F4-F3</f>
        <v>188</v>
      </c>
      <c r="G5" s="23">
        <f>G4-G3</f>
        <v>188</v>
      </c>
    </row>
    <row r="6" spans="1:20" ht="9" customHeight="1" x14ac:dyDescent="0.35">
      <c r="A6" s="1" t="s">
        <v>3</v>
      </c>
      <c r="B6" s="23">
        <v>1.85</v>
      </c>
      <c r="C6" s="23">
        <v>1.45</v>
      </c>
      <c r="F6" s="23">
        <v>1.2</v>
      </c>
      <c r="G6" s="23">
        <v>0.7</v>
      </c>
    </row>
    <row r="7" spans="1:20" ht="9" customHeight="1" x14ac:dyDescent="0.35">
      <c r="A7" s="1" t="s">
        <v>4</v>
      </c>
      <c r="B7" s="37">
        <f>SUM(B6/30)*B5/100+1</f>
        <v>1.1159333333333334</v>
      </c>
      <c r="C7" s="37">
        <f>SUM(C6/30)*C5/100+1</f>
        <v>1.0908666666666667</v>
      </c>
      <c r="D7" s="44">
        <f>B7-C7</f>
        <v>2.5066666666666793E-2</v>
      </c>
      <c r="F7" s="37">
        <f>SUM(F6/30)*F5/100+1</f>
        <v>1.0751999999999999</v>
      </c>
      <c r="G7" s="37">
        <f>SUM(G6/30)*G5/100+1</f>
        <v>1.0438666666666667</v>
      </c>
      <c r="H7" s="338">
        <f>F7-G7</f>
        <v>3.1333333333333213E-2</v>
      </c>
      <c r="I7" s="339"/>
    </row>
    <row r="8" spans="1:20" ht="9" customHeight="1" x14ac:dyDescent="0.35">
      <c r="A8" s="1" t="s">
        <v>5</v>
      </c>
      <c r="B8" s="23">
        <v>0.9708</v>
      </c>
      <c r="C8" s="23">
        <v>0.9708</v>
      </c>
      <c r="E8" s="58"/>
      <c r="F8" s="58">
        <v>0.9708</v>
      </c>
      <c r="G8" s="58">
        <v>0.9708</v>
      </c>
    </row>
    <row r="9" spans="1:20" ht="9" customHeight="1" x14ac:dyDescent="0.35">
      <c r="A9" s="1" t="s">
        <v>6</v>
      </c>
      <c r="B9" s="33">
        <v>6.1</v>
      </c>
      <c r="C9" s="33">
        <v>6.1</v>
      </c>
      <c r="D9" s="39"/>
      <c r="F9" s="27"/>
      <c r="G9" s="27"/>
      <c r="H9" s="57"/>
    </row>
    <row r="10" spans="1:20" ht="9" customHeight="1" x14ac:dyDescent="0.35">
      <c r="A10" s="137" t="s">
        <v>7</v>
      </c>
      <c r="B10" s="102">
        <v>5.4</v>
      </c>
      <c r="C10" s="138">
        <v>5.4</v>
      </c>
      <c r="D10" s="103"/>
      <c r="E10" s="58"/>
      <c r="F10" s="33"/>
      <c r="G10" s="33"/>
      <c r="H10" s="139"/>
      <c r="I10" s="19"/>
      <c r="J10" s="19"/>
      <c r="K10" s="8"/>
      <c r="L10" s="19"/>
      <c r="M10" s="58"/>
      <c r="N10" s="58"/>
      <c r="O10" s="58"/>
    </row>
    <row r="11" spans="1:20" ht="9" customHeight="1" x14ac:dyDescent="0.35">
      <c r="A11" s="142" t="s">
        <v>45</v>
      </c>
      <c r="B11" s="143">
        <v>50</v>
      </c>
      <c r="C11" s="144">
        <v>50</v>
      </c>
      <c r="D11" s="145"/>
      <c r="E11" s="146"/>
      <c r="F11" s="147"/>
      <c r="G11" s="147"/>
      <c r="H11" s="148"/>
      <c r="I11" s="149"/>
      <c r="J11" s="149"/>
      <c r="K11" s="150"/>
      <c r="L11" s="342" t="s">
        <v>63</v>
      </c>
      <c r="M11" s="343"/>
      <c r="N11" s="343"/>
      <c r="O11" s="344"/>
      <c r="P11" s="57"/>
      <c r="Q11" s="16"/>
      <c r="R11" s="16"/>
      <c r="S11" s="6"/>
    </row>
    <row r="12" spans="1:20" ht="9" customHeight="1" x14ac:dyDescent="0.35">
      <c r="A12" s="152" t="s">
        <v>46</v>
      </c>
      <c r="B12" s="160"/>
      <c r="C12" s="160"/>
      <c r="D12" s="159"/>
      <c r="E12" s="161"/>
      <c r="F12" s="162">
        <v>8.3000000000000007</v>
      </c>
      <c r="G12" s="162">
        <v>8.3000000000000007</v>
      </c>
      <c r="H12" s="156"/>
      <c r="I12" s="157"/>
      <c r="J12" s="157"/>
      <c r="K12" s="158"/>
      <c r="L12" s="345"/>
      <c r="M12" s="346"/>
      <c r="N12" s="346"/>
      <c r="O12" s="347"/>
      <c r="P12" s="57"/>
      <c r="Q12" s="16"/>
      <c r="R12" s="16"/>
      <c r="S12" s="6"/>
    </row>
    <row r="13" spans="1:20" ht="9" customHeight="1" x14ac:dyDescent="0.35">
      <c r="A13" s="140" t="s">
        <v>47</v>
      </c>
      <c r="B13" s="42"/>
      <c r="C13" s="43">
        <v>0.04</v>
      </c>
      <c r="D13" s="42"/>
      <c r="E13" s="34"/>
      <c r="F13" s="42"/>
      <c r="G13" s="43">
        <v>0.04</v>
      </c>
      <c r="H13" s="34"/>
      <c r="I13" s="17"/>
      <c r="J13" s="17"/>
      <c r="K13" s="12"/>
      <c r="L13" s="17"/>
      <c r="M13" s="141"/>
      <c r="N13" s="34"/>
      <c r="O13" s="34"/>
    </row>
    <row r="14" spans="1:20" ht="9" customHeight="1" x14ac:dyDescent="0.35">
      <c r="A14" s="1" t="s">
        <v>13</v>
      </c>
      <c r="B14" s="23"/>
      <c r="C14" s="44">
        <f>B7-C7</f>
        <v>2.5066666666666793E-2</v>
      </c>
      <c r="G14" s="44">
        <f>F7-G7</f>
        <v>3.1333333333333213E-2</v>
      </c>
    </row>
    <row r="15" spans="1:20" ht="9" customHeight="1" x14ac:dyDescent="0.35">
      <c r="A15" s="1" t="s">
        <v>54</v>
      </c>
      <c r="B15" s="23"/>
      <c r="C15" s="45">
        <f>C14+C13</f>
        <v>6.50666666666668E-2</v>
      </c>
      <c r="G15" s="45">
        <f>G14+G13</f>
        <v>7.1333333333333221E-2</v>
      </c>
    </row>
    <row r="16" spans="1:20" s="92" customFormat="1" ht="9" customHeight="1" x14ac:dyDescent="0.35">
      <c r="A16" s="99" t="s">
        <v>21</v>
      </c>
      <c r="B16" s="58">
        <v>1.04</v>
      </c>
      <c r="C16" s="58">
        <v>1.04</v>
      </c>
      <c r="D16" s="58"/>
      <c r="E16" s="58"/>
      <c r="F16" s="58">
        <v>1.04</v>
      </c>
      <c r="G16" s="58">
        <v>1.04</v>
      </c>
      <c r="H16" s="58"/>
      <c r="I16" s="19"/>
      <c r="J16" s="19"/>
      <c r="K16" s="8"/>
      <c r="L16" s="19"/>
      <c r="M16" s="58"/>
      <c r="O16" s="58"/>
      <c r="P16" s="58"/>
      <c r="Q16" s="19"/>
      <c r="R16" s="19"/>
      <c r="S16" s="8"/>
      <c r="T16" s="58"/>
    </row>
    <row r="17" spans="1:21" s="3" customFormat="1" ht="10.5" customHeight="1" x14ac:dyDescent="0.35">
      <c r="A17" s="104"/>
      <c r="B17" s="15"/>
      <c r="C17" s="15"/>
      <c r="D17" s="15"/>
      <c r="E17" s="15"/>
      <c r="F17" s="15"/>
      <c r="G17" s="15"/>
      <c r="H17" s="15"/>
      <c r="I17" s="15"/>
      <c r="J17" s="15"/>
      <c r="L17" s="15"/>
      <c r="M17" s="15"/>
      <c r="N17" s="15"/>
      <c r="O17" s="15"/>
      <c r="P17" s="15"/>
      <c r="Q17" s="15"/>
      <c r="R17" s="15"/>
      <c r="T17" s="15"/>
    </row>
    <row r="18" spans="1:21" s="83" customFormat="1" ht="10.5" customHeight="1" x14ac:dyDescent="0.35">
      <c r="A18" s="100"/>
      <c r="D18" s="34"/>
      <c r="E18" s="305" t="s">
        <v>49</v>
      </c>
      <c r="F18" s="306"/>
      <c r="G18" s="307"/>
      <c r="H18" s="34"/>
      <c r="I18" s="17"/>
      <c r="J18" s="17"/>
      <c r="K18" s="12"/>
      <c r="L18" s="17"/>
      <c r="M18" s="305" t="s">
        <v>48</v>
      </c>
      <c r="N18" s="306"/>
      <c r="O18" s="307"/>
      <c r="P18" s="34"/>
      <c r="Q18" s="17"/>
      <c r="R18" s="17"/>
      <c r="S18" s="12"/>
      <c r="T18" s="34"/>
    </row>
    <row r="19" spans="1:21" ht="10.5" customHeight="1" x14ac:dyDescent="0.35">
      <c r="B19" s="308" t="s">
        <v>30</v>
      </c>
      <c r="C19" s="337"/>
      <c r="D19" s="309"/>
      <c r="E19" s="30">
        <f>$B$3</f>
        <v>46082</v>
      </c>
      <c r="F19" s="24" t="s">
        <v>20</v>
      </c>
      <c r="G19" s="30">
        <f>$B$4</f>
        <v>46270</v>
      </c>
      <c r="M19" s="30">
        <f>$B$3</f>
        <v>46082</v>
      </c>
      <c r="N19" s="24" t="s">
        <v>20</v>
      </c>
      <c r="O19" s="30">
        <f>$B$4</f>
        <v>46270</v>
      </c>
    </row>
    <row r="20" spans="1:21" ht="10.5" customHeight="1" x14ac:dyDescent="0.35">
      <c r="A20" s="333" t="s">
        <v>22</v>
      </c>
      <c r="B20" s="24" t="s">
        <v>17</v>
      </c>
      <c r="C20" s="46" t="s">
        <v>43</v>
      </c>
      <c r="D20" s="98" t="s">
        <v>44</v>
      </c>
      <c r="E20" s="24" t="s">
        <v>18</v>
      </c>
      <c r="F20" s="25">
        <v>0.04</v>
      </c>
      <c r="G20" s="24" t="s">
        <v>19</v>
      </c>
      <c r="K20" s="8"/>
      <c r="L20" s="302" t="s">
        <v>35</v>
      </c>
      <c r="M20" s="63" t="s">
        <v>50</v>
      </c>
      <c r="N20" s="25">
        <v>0.04</v>
      </c>
      <c r="O20" s="24" t="s">
        <v>19</v>
      </c>
      <c r="S20" s="8"/>
    </row>
    <row r="21" spans="1:21" ht="9" customHeight="1" x14ac:dyDescent="0.35">
      <c r="A21" s="333"/>
      <c r="B21" s="5" t="s">
        <v>14</v>
      </c>
      <c r="C21" s="85">
        <v>1</v>
      </c>
      <c r="D21" s="82">
        <v>100</v>
      </c>
      <c r="E21" s="47">
        <v>469.7</v>
      </c>
      <c r="F21" s="26">
        <f>E21/$B$8/$B$16</f>
        <v>465.21901049095112</v>
      </c>
      <c r="G21" s="31">
        <f>E21/$B$8*$B$7</f>
        <v>539.9195371514902</v>
      </c>
      <c r="K21" s="9"/>
      <c r="L21" s="303"/>
      <c r="M21" s="27">
        <v>445.3</v>
      </c>
      <c r="N21" s="26">
        <f>M21/$B$8/$B$16</f>
        <v>441.05178916674589</v>
      </c>
      <c r="O21" s="31">
        <f>M21/$B$8*$B$7</f>
        <v>511.87176898777648</v>
      </c>
      <c r="S21" s="9"/>
      <c r="T21" s="58"/>
    </row>
    <row r="22" spans="1:21" ht="9" customHeight="1" x14ac:dyDescent="0.35">
      <c r="A22" s="333"/>
      <c r="B22" s="5" t="s">
        <v>15</v>
      </c>
      <c r="C22" s="85">
        <v>2</v>
      </c>
      <c r="D22" s="82">
        <v>200</v>
      </c>
      <c r="E22" s="48">
        <v>9.5</v>
      </c>
      <c r="F22" s="27">
        <f>E22/$B$8*$B$10/$B$16</f>
        <v>50.810592374251215</v>
      </c>
      <c r="G22" s="32">
        <f>E22/$B$8*$B$10*$B$7</f>
        <v>58.96928306551299</v>
      </c>
      <c r="K22" s="9"/>
      <c r="L22" s="303"/>
      <c r="M22" s="50">
        <v>9</v>
      </c>
      <c r="N22" s="27">
        <f>M22/$B$8*$B$10/$B$16</f>
        <v>48.136350670343255</v>
      </c>
      <c r="O22" s="32">
        <f>M22/$B$8*$B$10*$B$7</f>
        <v>55.865636588380724</v>
      </c>
      <c r="S22" s="65"/>
      <c r="T22" s="68" t="s">
        <v>37</v>
      </c>
      <c r="U22" s="7"/>
    </row>
    <row r="23" spans="1:21" ht="9" customHeight="1" x14ac:dyDescent="0.35">
      <c r="A23" s="333"/>
      <c r="B23" s="4" t="s">
        <v>52</v>
      </c>
      <c r="C23" s="83"/>
      <c r="D23" s="34"/>
      <c r="F23" s="132">
        <f>SUMPRODUCT(F21:F22,D21:D22)</f>
        <v>56684.019523945353</v>
      </c>
      <c r="G23" s="133">
        <f>SUMPRODUCT(G21:G22,D21:D22)</f>
        <v>65785.810328251624</v>
      </c>
      <c r="K23" s="9"/>
      <c r="L23" s="303"/>
      <c r="M23" s="4" t="s">
        <v>52</v>
      </c>
      <c r="N23" s="132">
        <f>SUMPRODUCT(N21:N22,D21:D22)</f>
        <v>53732.449050743235</v>
      </c>
      <c r="O23" s="133">
        <f>SUMPRODUCT(O21:O22,D21:D22)</f>
        <v>62360.304216453791</v>
      </c>
      <c r="S23" s="65"/>
      <c r="T23" s="69" t="s">
        <v>38</v>
      </c>
      <c r="U23" s="7"/>
    </row>
    <row r="24" spans="1:21" ht="9" customHeight="1" x14ac:dyDescent="0.35">
      <c r="A24" s="333"/>
      <c r="B24" s="4" t="s">
        <v>51</v>
      </c>
      <c r="C24" s="4"/>
      <c r="F24" s="28"/>
      <c r="G24" s="86">
        <f>G23/$B$11</f>
        <v>1315.7162065650325</v>
      </c>
      <c r="H24" s="57"/>
      <c r="I24" s="16"/>
      <c r="J24" s="16"/>
      <c r="K24" s="10"/>
      <c r="L24" s="304"/>
      <c r="M24" s="4" t="s">
        <v>51</v>
      </c>
      <c r="N24" s="28"/>
      <c r="O24" s="86">
        <f>O23/$B$11</f>
        <v>1247.2060843290758</v>
      </c>
      <c r="P24" s="57"/>
      <c r="Q24" s="16"/>
      <c r="R24" s="16"/>
      <c r="S24" s="66"/>
      <c r="T24" s="70">
        <f>O24/G24-1</f>
        <v>-5.207059234667144E-2</v>
      </c>
      <c r="U24" s="7"/>
    </row>
    <row r="25" spans="1:21" ht="10.5" customHeight="1" x14ac:dyDescent="0.35">
      <c r="A25" s="21"/>
      <c r="B25" s="92"/>
      <c r="C25" s="92"/>
      <c r="D25" s="58"/>
      <c r="E25" s="58"/>
      <c r="F25" s="58"/>
      <c r="G25" s="34"/>
      <c r="O25" s="34"/>
      <c r="T25" s="67"/>
    </row>
    <row r="26" spans="1:21" ht="10.5" customHeight="1" x14ac:dyDescent="0.35">
      <c r="A26" s="325" t="s">
        <v>12</v>
      </c>
      <c r="B26" s="24" t="s">
        <v>17</v>
      </c>
      <c r="C26" s="24" t="s">
        <v>43</v>
      </c>
      <c r="D26" s="24" t="s">
        <v>16</v>
      </c>
      <c r="E26" s="24" t="s">
        <v>18</v>
      </c>
      <c r="F26" s="24" t="s">
        <v>21</v>
      </c>
      <c r="G26" s="89" t="s">
        <v>19</v>
      </c>
      <c r="K26" s="8"/>
      <c r="L26" s="302" t="s">
        <v>35</v>
      </c>
      <c r="M26" s="63" t="s">
        <v>50</v>
      </c>
      <c r="N26" s="24" t="s">
        <v>21</v>
      </c>
      <c r="O26" s="24" t="s">
        <v>19</v>
      </c>
      <c r="S26" s="8"/>
      <c r="T26" s="22"/>
    </row>
    <row r="27" spans="1:21" ht="9" customHeight="1" x14ac:dyDescent="0.35">
      <c r="A27" s="326"/>
      <c r="B27" s="2" t="s">
        <v>14</v>
      </c>
      <c r="C27" s="84">
        <v>1</v>
      </c>
      <c r="D27" s="84">
        <f>D21</f>
        <v>100</v>
      </c>
      <c r="E27" s="27">
        <v>469.7</v>
      </c>
      <c r="F27" s="27">
        <f>E27/$C$8/$C$16</f>
        <v>465.21901049095112</v>
      </c>
      <c r="G27" s="47">
        <f>E27/$C$8*$C$7</f>
        <v>527.79158769399805</v>
      </c>
      <c r="K27" s="9"/>
      <c r="L27" s="303"/>
      <c r="M27" s="27">
        <v>445.3</v>
      </c>
      <c r="N27" s="27">
        <f>M27/$C$8/$C$16</f>
        <v>441.05178916674589</v>
      </c>
      <c r="O27" s="27">
        <f>M27/$C$8*$C$7</f>
        <v>500.37384287872544</v>
      </c>
      <c r="S27" s="9"/>
      <c r="T27" s="71"/>
    </row>
    <row r="28" spans="1:21" ht="9" customHeight="1" x14ac:dyDescent="0.35">
      <c r="A28" s="326"/>
      <c r="B28" s="2" t="s">
        <v>15</v>
      </c>
      <c r="C28" s="84">
        <v>2</v>
      </c>
      <c r="D28" s="84">
        <f>D22</f>
        <v>200</v>
      </c>
      <c r="E28" s="50">
        <v>9.5</v>
      </c>
      <c r="F28" s="27">
        <f>E28/$C$8*$C$10/$C$16</f>
        <v>50.810592374251215</v>
      </c>
      <c r="G28" s="47">
        <f>E28/$C$8*$C$10*$C$7</f>
        <v>57.644684796044501</v>
      </c>
      <c r="K28" s="9"/>
      <c r="L28" s="303"/>
      <c r="M28" s="50">
        <v>9</v>
      </c>
      <c r="N28" s="27">
        <f>M28/$C$8*$C$10/$C$16</f>
        <v>48.136350670343255</v>
      </c>
      <c r="O28" s="27">
        <f>M28/$C$8*$C$10*$C$7</f>
        <v>54.610754017305318</v>
      </c>
      <c r="S28" s="65"/>
      <c r="T28" s="68" t="s">
        <v>37</v>
      </c>
      <c r="U28" s="7"/>
    </row>
    <row r="29" spans="1:21" ht="9" customHeight="1" x14ac:dyDescent="0.35">
      <c r="A29" s="326"/>
      <c r="B29" s="4" t="s">
        <v>52</v>
      </c>
      <c r="F29" s="132">
        <f>SUMPRODUCT(F27:F28,D27:D28)</f>
        <v>56684.019523945353</v>
      </c>
      <c r="G29" s="134">
        <f>SUMPRODUCT(G27:G28,D27:D28)</f>
        <v>64308.095728608707</v>
      </c>
      <c r="H29" s="58"/>
      <c r="I29" s="19"/>
      <c r="J29" s="19"/>
      <c r="K29" s="9"/>
      <c r="L29" s="303"/>
      <c r="M29" s="4" t="s">
        <v>52</v>
      </c>
      <c r="N29" s="133">
        <f>SUMPRODUCT(N27:N28,D27:D28)</f>
        <v>53732.449050743235</v>
      </c>
      <c r="O29" s="133">
        <f>SUMPRODUCT(O27:O28,D27:D28)</f>
        <v>60959.535091333601</v>
      </c>
      <c r="P29" s="58"/>
      <c r="Q29" s="19"/>
      <c r="R29" s="19"/>
      <c r="S29" s="65"/>
      <c r="T29" s="69" t="s">
        <v>38</v>
      </c>
      <c r="U29" s="7"/>
    </row>
    <row r="30" spans="1:21" ht="9" customHeight="1" x14ac:dyDescent="0.35">
      <c r="A30" s="326"/>
      <c r="B30" s="4" t="s">
        <v>51</v>
      </c>
      <c r="C30" s="4"/>
      <c r="F30" s="28"/>
      <c r="G30" s="86">
        <f>G29/$C$11</f>
        <v>1286.1619145721741</v>
      </c>
      <c r="H30" s="126">
        <f>G30/G24-1</f>
        <v>-2.2462512694904402E-2</v>
      </c>
      <c r="I30" s="18"/>
      <c r="J30" s="18"/>
      <c r="K30" s="11"/>
      <c r="L30" s="303"/>
      <c r="M30" s="118" t="s">
        <v>51</v>
      </c>
      <c r="N30" s="119">
        <f>O30/G24-1</f>
        <v>-0.10900333528842054</v>
      </c>
      <c r="O30" s="86">
        <f>O29/($C$11*$C$13+$C$11)</f>
        <v>1172.2987517564154</v>
      </c>
      <c r="P30" s="126">
        <f>O30/O24-1</f>
        <v>-6.0060108360484921E-2</v>
      </c>
      <c r="Q30" s="18"/>
      <c r="R30" s="18"/>
      <c r="S30" s="11"/>
      <c r="T30" s="70">
        <f>O30/G30-1</f>
        <v>-8.8529415717953253E-2</v>
      </c>
      <c r="U30" s="7"/>
    </row>
    <row r="31" spans="1:21" ht="9" customHeight="1" x14ac:dyDescent="0.35">
      <c r="A31" s="326"/>
      <c r="B31" s="112" t="s">
        <v>61</v>
      </c>
      <c r="F31" s="2"/>
      <c r="G31" s="124">
        <f>G23-G29</f>
        <v>1477.7145996429172</v>
      </c>
      <c r="H31" s="109"/>
      <c r="I31" s="17"/>
      <c r="J31" s="17"/>
      <c r="K31" s="12"/>
      <c r="L31" s="303"/>
      <c r="M31" s="112" t="s">
        <v>61</v>
      </c>
      <c r="N31" s="83"/>
      <c r="O31" s="131">
        <f>O23-O29</f>
        <v>1400.7691251201904</v>
      </c>
      <c r="P31" s="116"/>
      <c r="Q31" s="17"/>
      <c r="R31" s="17"/>
      <c r="S31" s="12"/>
      <c r="T31" s="67"/>
    </row>
    <row r="32" spans="1:21" ht="9" customHeight="1" x14ac:dyDescent="0.35">
      <c r="A32" s="327"/>
      <c r="B32" s="112" t="s">
        <v>62</v>
      </c>
      <c r="F32" s="2"/>
      <c r="G32" s="125">
        <f>G24-G30</f>
        <v>29.554291992858452</v>
      </c>
      <c r="H32" s="109"/>
      <c r="I32" s="17"/>
      <c r="J32" s="17"/>
      <c r="K32" s="9"/>
      <c r="L32" s="303"/>
      <c r="M32" s="112" t="s">
        <v>62</v>
      </c>
      <c r="N32" s="2"/>
      <c r="O32" s="125">
        <f>O24-O30</f>
        <v>74.90733257266038</v>
      </c>
      <c r="P32" s="109"/>
      <c r="Q32" s="17"/>
      <c r="R32" s="17"/>
      <c r="S32" s="9"/>
      <c r="T32" s="67"/>
    </row>
    <row r="33" spans="1:21" ht="10.5" customHeight="1" x14ac:dyDescent="0.35">
      <c r="A33" s="88"/>
      <c r="G33" s="108"/>
      <c r="H33" s="109"/>
      <c r="I33" s="17"/>
      <c r="J33" s="17"/>
      <c r="K33" s="9"/>
      <c r="L33" s="111"/>
      <c r="O33" s="110"/>
      <c r="P33" s="109"/>
      <c r="Q33" s="17"/>
      <c r="R33" s="17"/>
      <c r="S33" s="9"/>
      <c r="T33" s="67"/>
    </row>
    <row r="34" spans="1:21" ht="10.5" customHeight="1" x14ac:dyDescent="0.35">
      <c r="A34" s="328" t="s">
        <v>24</v>
      </c>
      <c r="B34" s="24" t="s">
        <v>17</v>
      </c>
      <c r="C34" s="24" t="s">
        <v>43</v>
      </c>
      <c r="D34" s="24" t="s">
        <v>16</v>
      </c>
      <c r="E34" s="24" t="s">
        <v>18</v>
      </c>
      <c r="F34" s="24" t="s">
        <v>21</v>
      </c>
      <c r="G34" s="89" t="s">
        <v>19</v>
      </c>
      <c r="K34" s="8"/>
      <c r="L34" s="302" t="s">
        <v>35</v>
      </c>
      <c r="M34" s="63" t="s">
        <v>50</v>
      </c>
      <c r="N34" s="24" t="s">
        <v>21</v>
      </c>
      <c r="O34" s="24" t="s">
        <v>19</v>
      </c>
      <c r="S34" s="8"/>
      <c r="T34" s="22"/>
    </row>
    <row r="35" spans="1:21" ht="9" customHeight="1" x14ac:dyDescent="0.35">
      <c r="A35" s="328"/>
      <c r="B35" s="2" t="s">
        <v>14</v>
      </c>
      <c r="C35" s="84">
        <v>1</v>
      </c>
      <c r="D35" s="84">
        <f>D21</f>
        <v>100</v>
      </c>
      <c r="E35" s="29">
        <f>469.7/6.1</f>
        <v>77</v>
      </c>
      <c r="F35" s="29">
        <f>E35/$F$8/$F$16</f>
        <v>76.265411555893621</v>
      </c>
      <c r="G35" s="49">
        <f>E35/$F$8*$F$7</f>
        <v>85.280593325092696</v>
      </c>
      <c r="K35" s="9"/>
      <c r="L35" s="303"/>
      <c r="M35" s="29">
        <v>73</v>
      </c>
      <c r="N35" s="29">
        <f>M35/$F$8/$F$16</f>
        <v>72.303571994548506</v>
      </c>
      <c r="O35" s="29">
        <f>M35/$F$8*$F$7</f>
        <v>80.8504326328801</v>
      </c>
      <c r="S35" s="9"/>
      <c r="T35" s="71"/>
    </row>
    <row r="36" spans="1:21" ht="9" customHeight="1" x14ac:dyDescent="0.35">
      <c r="A36" s="328"/>
      <c r="B36" s="2" t="s">
        <v>15</v>
      </c>
      <c r="C36" s="84">
        <v>2</v>
      </c>
      <c r="D36" s="84">
        <f>D22</f>
        <v>200</v>
      </c>
      <c r="E36" s="50">
        <v>9.5</v>
      </c>
      <c r="F36" s="29">
        <f>E36/$F$8/$F$16</f>
        <v>9.4093689581946691</v>
      </c>
      <c r="G36" s="49">
        <f>E36/$F$8*$F$7</f>
        <v>10.521631644004943</v>
      </c>
      <c r="K36" s="9"/>
      <c r="L36" s="303"/>
      <c r="M36" s="50">
        <v>9</v>
      </c>
      <c r="N36" s="29">
        <f>M36/$F$8/$F$16</f>
        <v>8.9141390130265279</v>
      </c>
      <c r="O36" s="29">
        <f>M36/$F$8*$F$7</f>
        <v>9.9678615574783684</v>
      </c>
      <c r="S36" s="65"/>
      <c r="T36" s="68" t="s">
        <v>37</v>
      </c>
      <c r="U36" s="7"/>
    </row>
    <row r="37" spans="1:21" ht="9" customHeight="1" x14ac:dyDescent="0.35">
      <c r="A37" s="328"/>
      <c r="B37" s="4" t="s">
        <v>53</v>
      </c>
      <c r="F37" s="132">
        <f>SUMPRODUCT(F35:F36,D35:D36)</f>
        <v>9508.414947228297</v>
      </c>
      <c r="G37" s="134">
        <f>SUMPRODUCT(G35:G36,D35:D36)</f>
        <v>10632.385661310258</v>
      </c>
      <c r="H37" s="58"/>
      <c r="I37" s="19"/>
      <c r="J37" s="19"/>
      <c r="K37" s="9"/>
      <c r="L37" s="303"/>
      <c r="M37" s="4" t="s">
        <v>53</v>
      </c>
      <c r="N37" s="132">
        <f>SUMPRODUCT(N35:N36,D35:D36)</f>
        <v>9013.185002060156</v>
      </c>
      <c r="O37" s="133">
        <f>SUMPRODUCT(O35:O36,D35:D36)</f>
        <v>10078.615574783684</v>
      </c>
      <c r="P37" s="58"/>
      <c r="Q37" s="19"/>
      <c r="R37" s="19"/>
      <c r="S37" s="65"/>
      <c r="T37" s="69" t="s">
        <v>38</v>
      </c>
      <c r="U37" s="7"/>
    </row>
    <row r="38" spans="1:21" ht="9" customHeight="1" x14ac:dyDescent="0.35">
      <c r="A38" s="328"/>
      <c r="B38" s="4" t="s">
        <v>51</v>
      </c>
      <c r="C38" s="4"/>
      <c r="F38" s="28"/>
      <c r="G38" s="86">
        <f>G37/$F$12</f>
        <v>1281.0103206397901</v>
      </c>
      <c r="H38" s="40"/>
      <c r="I38" s="127">
        <f>G38/G24-1</f>
        <v>-2.6377942106413532E-2</v>
      </c>
      <c r="J38" s="16"/>
      <c r="K38" s="10"/>
      <c r="L38" s="304"/>
      <c r="M38" s="4" t="s">
        <v>51</v>
      </c>
      <c r="N38" s="28"/>
      <c r="O38" s="86">
        <f>O37/$F$12</f>
        <v>1214.2910331064679</v>
      </c>
      <c r="P38" s="40"/>
      <c r="Q38" s="127">
        <f>O38/O24-1</f>
        <v>-2.6391028424395668E-2</v>
      </c>
      <c r="R38" s="16"/>
      <c r="S38" s="66"/>
      <c r="T38" s="70">
        <f>O38/G38-1</f>
        <v>-5.2083333333333148E-2</v>
      </c>
      <c r="U38" s="7"/>
    </row>
    <row r="39" spans="1:21" ht="10.5" customHeight="1" x14ac:dyDescent="0.35">
      <c r="A39" s="88"/>
      <c r="G39" s="90"/>
      <c r="H39" s="34"/>
      <c r="I39" s="17"/>
      <c r="J39" s="17"/>
      <c r="K39" s="12"/>
      <c r="L39" s="17"/>
      <c r="O39" s="34"/>
      <c r="P39" s="34"/>
      <c r="Q39" s="17"/>
      <c r="R39" s="17"/>
      <c r="S39" s="12"/>
      <c r="T39" s="67"/>
    </row>
    <row r="40" spans="1:21" ht="10.5" customHeight="1" x14ac:dyDescent="0.35">
      <c r="A40" s="325" t="s">
        <v>23</v>
      </c>
      <c r="B40" s="24" t="s">
        <v>17</v>
      </c>
      <c r="C40" s="24" t="s">
        <v>43</v>
      </c>
      <c r="D40" s="24" t="s">
        <v>16</v>
      </c>
      <c r="E40" s="24" t="s">
        <v>18</v>
      </c>
      <c r="F40" s="24" t="s">
        <v>21</v>
      </c>
      <c r="G40" s="89" t="s">
        <v>19</v>
      </c>
      <c r="K40" s="8"/>
      <c r="L40" s="302" t="s">
        <v>35</v>
      </c>
      <c r="M40" s="63" t="s">
        <v>50</v>
      </c>
      <c r="N40" s="24" t="s">
        <v>21</v>
      </c>
      <c r="O40" s="24" t="s">
        <v>19</v>
      </c>
      <c r="S40" s="8"/>
      <c r="T40" s="22"/>
    </row>
    <row r="41" spans="1:21" ht="9" customHeight="1" x14ac:dyDescent="0.35">
      <c r="A41" s="326"/>
      <c r="B41" s="2" t="s">
        <v>14</v>
      </c>
      <c r="C41" s="84">
        <v>1</v>
      </c>
      <c r="D41" s="84">
        <f>D21</f>
        <v>100</v>
      </c>
      <c r="E41" s="29">
        <f>469.7/6.1</f>
        <v>77</v>
      </c>
      <c r="F41" s="29">
        <f>E41/$G$8/$G$16</f>
        <v>76.265411555893621</v>
      </c>
      <c r="G41" s="49">
        <f>E41/$G$8*$G$7</f>
        <v>82.795357780524654</v>
      </c>
      <c r="K41" s="9"/>
      <c r="L41" s="303"/>
      <c r="M41" s="29">
        <v>73</v>
      </c>
      <c r="N41" s="29">
        <f>M41/$G$8/$G$16</f>
        <v>72.303571994548506</v>
      </c>
      <c r="O41" s="29">
        <f>M41/$G$8*$G$7</f>
        <v>78.49430023348441</v>
      </c>
      <c r="S41" s="9"/>
      <c r="T41" s="71"/>
    </row>
    <row r="42" spans="1:21" ht="9" customHeight="1" x14ac:dyDescent="0.35">
      <c r="A42" s="326"/>
      <c r="B42" s="2" t="s">
        <v>15</v>
      </c>
      <c r="C42" s="84">
        <v>2</v>
      </c>
      <c r="D42" s="84">
        <f>D22</f>
        <v>200</v>
      </c>
      <c r="E42" s="50">
        <v>9.5</v>
      </c>
      <c r="F42" s="29">
        <f>E42/$G$8/$G$16</f>
        <v>9.4093689581946691</v>
      </c>
      <c r="G42" s="49">
        <f>E42/$G$8*$G$7</f>
        <v>10.215011674220575</v>
      </c>
      <c r="K42" s="9"/>
      <c r="L42" s="303"/>
      <c r="M42" s="50">
        <v>9</v>
      </c>
      <c r="N42" s="29">
        <f>M42/$G$8/$G$16</f>
        <v>8.9141390130265279</v>
      </c>
      <c r="O42" s="29">
        <f>M42/$G$8*$G$7</f>
        <v>9.6773794808405444</v>
      </c>
      <c r="S42" s="65"/>
      <c r="T42" s="68" t="s">
        <v>37</v>
      </c>
      <c r="U42" s="7"/>
    </row>
    <row r="43" spans="1:21" ht="9" customHeight="1" x14ac:dyDescent="0.35">
      <c r="A43" s="326"/>
      <c r="B43" s="4" t="s">
        <v>53</v>
      </c>
      <c r="F43" s="132">
        <f>SUMPRODUCT(F41:F42,D41:D42)</f>
        <v>9508.414947228297</v>
      </c>
      <c r="G43" s="134">
        <f>SUMPRODUCT(G41:G42,D41:D42)</f>
        <v>10322.53811289658</v>
      </c>
      <c r="H43" s="58"/>
      <c r="I43" s="19"/>
      <c r="J43" s="19"/>
      <c r="K43" s="9"/>
      <c r="L43" s="303"/>
      <c r="M43" s="4" t="s">
        <v>53</v>
      </c>
      <c r="N43" s="133">
        <f>SUMPRODUCT(N41:N42,D41:D42)</f>
        <v>9013.185002060156</v>
      </c>
      <c r="O43" s="133">
        <f>SUMPRODUCT(O41:O42,D41:D42)</f>
        <v>9784.9059195165501</v>
      </c>
      <c r="P43" s="58"/>
      <c r="Q43" s="19"/>
      <c r="R43" s="19"/>
      <c r="S43" s="65"/>
      <c r="T43" s="69" t="s">
        <v>38</v>
      </c>
      <c r="U43" s="7"/>
    </row>
    <row r="44" spans="1:21" ht="9" customHeight="1" x14ac:dyDescent="0.35">
      <c r="A44" s="326"/>
      <c r="B44" s="4" t="s">
        <v>51</v>
      </c>
      <c r="C44" s="4"/>
      <c r="F44" s="28"/>
      <c r="G44" s="86">
        <f>G43/$G$12</f>
        <v>1243.6792907104311</v>
      </c>
      <c r="H44" s="57"/>
      <c r="I44" s="18"/>
      <c r="J44" s="127">
        <f>G44/G24-1</f>
        <v>-5.4751104755842217E-2</v>
      </c>
      <c r="K44" s="11"/>
      <c r="L44" s="303"/>
      <c r="M44" s="118" t="s">
        <v>51</v>
      </c>
      <c r="N44" s="119">
        <f>O44/G24-1</f>
        <v>-0.13844501735558523</v>
      </c>
      <c r="O44" s="120">
        <f>O43/($G$12*$G$13+$G$12)</f>
        <v>1133.5618535121118</v>
      </c>
      <c r="P44" s="57"/>
      <c r="Q44" s="18"/>
      <c r="R44" s="127">
        <f>O44/O24-1</f>
        <v>-9.1119047802030173E-2</v>
      </c>
      <c r="S44" s="11"/>
      <c r="T44" s="70">
        <f>O44/G44-1</f>
        <v>-8.8541666666666519E-2</v>
      </c>
      <c r="U44" s="7"/>
    </row>
    <row r="45" spans="1:21" ht="9" customHeight="1" x14ac:dyDescent="0.35">
      <c r="A45" s="326"/>
      <c r="B45" s="112" t="s">
        <v>61</v>
      </c>
      <c r="C45" s="83"/>
      <c r="D45" s="34"/>
      <c r="E45" s="34"/>
      <c r="F45" s="2"/>
      <c r="G45" s="129">
        <f>G37-G43</f>
        <v>309.84754841367794</v>
      </c>
      <c r="H45" s="34"/>
      <c r="I45" s="17"/>
      <c r="J45" s="17"/>
      <c r="K45" s="12"/>
      <c r="L45" s="303"/>
      <c r="M45" s="112" t="s">
        <v>61</v>
      </c>
      <c r="N45" s="83"/>
      <c r="O45" s="129">
        <f>O37-O43</f>
        <v>293.70965526713371</v>
      </c>
      <c r="P45" s="116"/>
      <c r="Q45" s="17"/>
      <c r="R45" s="17"/>
      <c r="S45" s="12"/>
      <c r="T45" s="34"/>
    </row>
    <row r="46" spans="1:21" ht="9" customHeight="1" x14ac:dyDescent="0.35">
      <c r="A46" s="327"/>
      <c r="B46" s="112" t="s">
        <v>62</v>
      </c>
      <c r="C46" s="83"/>
      <c r="D46" s="34"/>
      <c r="E46" s="34"/>
      <c r="F46" s="2"/>
      <c r="G46" s="125">
        <f>G38-G44</f>
        <v>37.33102992935892</v>
      </c>
      <c r="H46" s="34"/>
      <c r="I46" s="17"/>
      <c r="J46" s="17"/>
      <c r="K46" s="12"/>
      <c r="L46" s="304"/>
      <c r="M46" s="112" t="s">
        <v>62</v>
      </c>
      <c r="N46" s="2"/>
      <c r="O46" s="125">
        <f>O38-O44</f>
        <v>80.729179594356083</v>
      </c>
      <c r="P46" s="34"/>
      <c r="Q46" s="17"/>
      <c r="R46" s="17"/>
      <c r="S46" s="12"/>
      <c r="T46" s="34"/>
    </row>
    <row r="47" spans="1:21" ht="10.5" customHeight="1" x14ac:dyDescent="0.35">
      <c r="A47" s="21"/>
    </row>
    <row r="48" spans="1:21" ht="10.5" customHeight="1" x14ac:dyDescent="0.35">
      <c r="A48" s="21"/>
      <c r="B48" s="334" t="s">
        <v>31</v>
      </c>
      <c r="C48" s="335"/>
      <c r="D48" s="336"/>
      <c r="E48" s="96">
        <f>$B$3</f>
        <v>46082</v>
      </c>
      <c r="F48" s="24" t="s">
        <v>20</v>
      </c>
      <c r="G48" s="30">
        <f>$B$4</f>
        <v>46270</v>
      </c>
      <c r="M48" s="30">
        <f>$B$3</f>
        <v>46082</v>
      </c>
      <c r="N48" s="24" t="s">
        <v>20</v>
      </c>
      <c r="O48" s="30">
        <f>$B$4</f>
        <v>46270</v>
      </c>
    </row>
    <row r="49" spans="1:21" ht="10.5" customHeight="1" x14ac:dyDescent="0.35">
      <c r="A49" s="332" t="s">
        <v>22</v>
      </c>
      <c r="B49" s="24" t="s">
        <v>17</v>
      </c>
      <c r="C49" s="24" t="s">
        <v>43</v>
      </c>
      <c r="D49" s="98" t="s">
        <v>44</v>
      </c>
      <c r="E49" s="24" t="s">
        <v>18</v>
      </c>
      <c r="F49" s="93">
        <v>0.04</v>
      </c>
      <c r="G49" s="24" t="s">
        <v>19</v>
      </c>
      <c r="K49" s="8"/>
      <c r="L49" s="313" t="s">
        <v>36</v>
      </c>
      <c r="M49" s="64" t="s">
        <v>50</v>
      </c>
      <c r="N49" s="25">
        <v>0.04</v>
      </c>
      <c r="O49" s="24" t="s">
        <v>19</v>
      </c>
      <c r="S49" s="8"/>
    </row>
    <row r="50" spans="1:21" ht="9" customHeight="1" x14ac:dyDescent="0.35">
      <c r="A50" s="332"/>
      <c r="B50" s="2" t="s">
        <v>14</v>
      </c>
      <c r="C50" s="39">
        <v>1</v>
      </c>
      <c r="D50" s="82">
        <v>100</v>
      </c>
      <c r="E50" s="47">
        <v>469.7</v>
      </c>
      <c r="F50" s="94">
        <f>E50/$B$8/$B$16</f>
        <v>465.21901049095112</v>
      </c>
      <c r="G50" s="31">
        <f>E50/$B$8*$B$7</f>
        <v>539.9195371514902</v>
      </c>
      <c r="K50" s="9"/>
      <c r="L50" s="314"/>
      <c r="M50" s="27">
        <v>445.3</v>
      </c>
      <c r="N50" s="26">
        <f>M50/$B$8/$B$16</f>
        <v>441.05178916674589</v>
      </c>
      <c r="O50" s="31">
        <f>M50/$B$8*$B$7</f>
        <v>511.87176898777648</v>
      </c>
      <c r="S50" s="9"/>
    </row>
    <row r="51" spans="1:21" ht="9" customHeight="1" x14ac:dyDescent="0.35">
      <c r="A51" s="332"/>
      <c r="B51" s="2" t="s">
        <v>15</v>
      </c>
      <c r="C51" s="97">
        <v>3</v>
      </c>
      <c r="D51" s="82">
        <v>300</v>
      </c>
      <c r="E51" s="48">
        <v>9.5</v>
      </c>
      <c r="F51" s="47">
        <f>E51/$B$8*$B$10/$B$16</f>
        <v>50.810592374251215</v>
      </c>
      <c r="G51" s="32">
        <f>E51/$B$8*$B$10*$B$7</f>
        <v>58.96928306551299</v>
      </c>
      <c r="K51" s="9"/>
      <c r="L51" s="314"/>
      <c r="M51" s="50">
        <v>9</v>
      </c>
      <c r="N51" s="27">
        <f>M51/$B$8*$B$10/$B$16</f>
        <v>48.136350670343255</v>
      </c>
      <c r="O51" s="32">
        <f>M51/$B$8*$B$10*$B$7</f>
        <v>55.865636588380724</v>
      </c>
      <c r="S51" s="9"/>
      <c r="T51" s="58"/>
    </row>
    <row r="52" spans="1:21" ht="9" customHeight="1" x14ac:dyDescent="0.35">
      <c r="A52" s="332"/>
      <c r="B52" s="2" t="s">
        <v>25</v>
      </c>
      <c r="C52" s="97">
        <v>2</v>
      </c>
      <c r="D52" s="82">
        <v>200</v>
      </c>
      <c r="E52" s="48">
        <v>178.4</v>
      </c>
      <c r="F52" s="94">
        <f>E52/$B$8/$B$16</f>
        <v>176.69804443599253</v>
      </c>
      <c r="G52" s="31">
        <f>E52/$B$8*$B$7</f>
        <v>205.07056722977615</v>
      </c>
      <c r="K52" s="9"/>
      <c r="L52" s="314"/>
      <c r="M52" s="27">
        <v>168.5</v>
      </c>
      <c r="N52" s="26">
        <f>M52/$B$8/$B$16</f>
        <v>166.89249152166335</v>
      </c>
      <c r="O52" s="31">
        <f>M52/$B$8*$B$7</f>
        <v>193.69053014695788</v>
      </c>
      <c r="S52" s="65"/>
      <c r="T52" s="68" t="s">
        <v>37</v>
      </c>
      <c r="U52" s="7"/>
    </row>
    <row r="53" spans="1:21" ht="9" customHeight="1" x14ac:dyDescent="0.35">
      <c r="A53" s="332"/>
      <c r="B53" s="4" t="s">
        <v>52</v>
      </c>
      <c r="D53" s="34"/>
      <c r="F53" s="135">
        <f>SUMPRODUCT(F50:F52,D50:D52)</f>
        <v>97104.687648568972</v>
      </c>
      <c r="G53" s="133">
        <f>SUMPRODUCT(G50:G52,D50:D52)</f>
        <v>112696.85208075815</v>
      </c>
      <c r="K53" s="12"/>
      <c r="L53" s="314"/>
      <c r="M53" s="4" t="s">
        <v>52</v>
      </c>
      <c r="N53" s="132">
        <f>SUMPRODUCT(N50:N52,D50:D52)</f>
        <v>91924.582422110238</v>
      </c>
      <c r="O53" s="133">
        <f>SUMPRODUCT(O50:O52,D50:D52)</f>
        <v>106684.97390468344</v>
      </c>
      <c r="S53" s="74"/>
      <c r="T53" s="69" t="s">
        <v>38</v>
      </c>
      <c r="U53" s="7"/>
    </row>
    <row r="54" spans="1:21" ht="9" customHeight="1" x14ac:dyDescent="0.35">
      <c r="A54" s="332"/>
      <c r="B54" s="4" t="s">
        <v>51</v>
      </c>
      <c r="F54" s="95"/>
      <c r="G54" s="86">
        <f>G53/$B$11</f>
        <v>2253.9370416151633</v>
      </c>
      <c r="H54" s="57"/>
      <c r="I54" s="16"/>
      <c r="J54" s="16"/>
      <c r="K54" s="6"/>
      <c r="L54" s="315"/>
      <c r="M54" s="4" t="s">
        <v>51</v>
      </c>
      <c r="N54" s="28"/>
      <c r="O54" s="86">
        <f>O53/$B$11</f>
        <v>2133.6994780936689</v>
      </c>
      <c r="P54" s="57"/>
      <c r="Q54" s="16"/>
      <c r="R54" s="16"/>
      <c r="S54" s="13"/>
      <c r="T54" s="70">
        <f>O54/G54-1</f>
        <v>-5.3345573235414112E-2</v>
      </c>
      <c r="U54" s="7"/>
    </row>
    <row r="55" spans="1:21" ht="10.5" customHeight="1" x14ac:dyDescent="0.35">
      <c r="A55" s="88"/>
      <c r="F55" s="57"/>
      <c r="G55" s="34"/>
      <c r="L55" s="19"/>
      <c r="O55" s="34"/>
      <c r="T55" s="34"/>
    </row>
    <row r="56" spans="1:21" ht="10.5" customHeight="1" x14ac:dyDescent="0.35">
      <c r="A56" s="325" t="s">
        <v>12</v>
      </c>
      <c r="B56" s="24" t="s">
        <v>17</v>
      </c>
      <c r="C56" s="24" t="s">
        <v>43</v>
      </c>
      <c r="D56" s="24" t="s">
        <v>16</v>
      </c>
      <c r="E56" s="24" t="s">
        <v>18</v>
      </c>
      <c r="F56" s="89" t="s">
        <v>21</v>
      </c>
      <c r="G56" s="24" t="s">
        <v>19</v>
      </c>
      <c r="K56" s="73"/>
      <c r="L56" s="348" t="s">
        <v>36</v>
      </c>
      <c r="M56" s="113" t="s">
        <v>50</v>
      </c>
      <c r="N56" s="24" t="s">
        <v>21</v>
      </c>
      <c r="O56" s="24" t="s">
        <v>19</v>
      </c>
      <c r="S56" s="8"/>
    </row>
    <row r="57" spans="1:21" ht="9" customHeight="1" x14ac:dyDescent="0.35">
      <c r="A57" s="326"/>
      <c r="B57" s="2" t="s">
        <v>14</v>
      </c>
      <c r="C57" s="39">
        <v>1</v>
      </c>
      <c r="D57" s="84">
        <f>D50</f>
        <v>100</v>
      </c>
      <c r="E57" s="27">
        <v>469.7</v>
      </c>
      <c r="F57" s="47">
        <f>E57/$C$8/$C$16</f>
        <v>465.21901049095112</v>
      </c>
      <c r="G57" s="27">
        <f>E57/$C$8*$C$7</f>
        <v>527.79158769399805</v>
      </c>
      <c r="K57" s="65"/>
      <c r="L57" s="349"/>
      <c r="M57" s="47">
        <v>445.3</v>
      </c>
      <c r="N57" s="27">
        <f>M57/$C$8/$C$16</f>
        <v>441.05178916674589</v>
      </c>
      <c r="O57" s="27">
        <f>M57/$C$8*$C$7</f>
        <v>500.37384287872544</v>
      </c>
      <c r="S57" s="9"/>
    </row>
    <row r="58" spans="1:21" ht="9" customHeight="1" x14ac:dyDescent="0.35">
      <c r="A58" s="326"/>
      <c r="B58" s="2" t="s">
        <v>15</v>
      </c>
      <c r="C58" s="15">
        <v>3</v>
      </c>
      <c r="D58" s="84">
        <f t="shared" ref="D58:D59" si="0">D51</f>
        <v>300</v>
      </c>
      <c r="E58" s="50">
        <v>9.5</v>
      </c>
      <c r="F58" s="47">
        <f>E58/$C$8*$C$10/$C$16</f>
        <v>50.810592374251215</v>
      </c>
      <c r="G58" s="27">
        <f>E58/$C$8*$C$10*$C$7</f>
        <v>57.644684796044501</v>
      </c>
      <c r="H58" s="58"/>
      <c r="K58" s="65"/>
      <c r="L58" s="349"/>
      <c r="M58" s="48">
        <v>9</v>
      </c>
      <c r="N58" s="27">
        <f>M58/$C$8*$C$10/$C$16</f>
        <v>48.136350670343255</v>
      </c>
      <c r="O58" s="27">
        <f>M58/$C$8*$C$10*$C$7</f>
        <v>54.610754017305318</v>
      </c>
      <c r="P58" s="58"/>
      <c r="S58" s="9"/>
      <c r="T58" s="58"/>
    </row>
    <row r="59" spans="1:21" ht="9" customHeight="1" x14ac:dyDescent="0.35">
      <c r="A59" s="326"/>
      <c r="B59" s="2" t="s">
        <v>25</v>
      </c>
      <c r="C59" s="15">
        <v>2</v>
      </c>
      <c r="D59" s="84">
        <f t="shared" si="0"/>
        <v>200</v>
      </c>
      <c r="E59" s="27">
        <v>178.4</v>
      </c>
      <c r="F59" s="47">
        <f>E59/$C$8/$C$16</f>
        <v>176.69804443599253</v>
      </c>
      <c r="G59" s="51">
        <f>E59/$C$8*$C$7</f>
        <v>200.4641670100261</v>
      </c>
      <c r="H59" s="15"/>
      <c r="I59" s="59"/>
      <c r="J59" s="19"/>
      <c r="K59" s="65"/>
      <c r="L59" s="349"/>
      <c r="M59" s="47">
        <v>168.5</v>
      </c>
      <c r="N59" s="27">
        <f>M59/$C$8/$C$16</f>
        <v>166.89249152166335</v>
      </c>
      <c r="O59" s="27">
        <f>M59/$C$8*$C$7</f>
        <v>189.33975415464911</v>
      </c>
      <c r="P59" s="15"/>
      <c r="Q59" s="59"/>
      <c r="R59" s="19"/>
      <c r="S59" s="65"/>
      <c r="T59" s="68" t="s">
        <v>37</v>
      </c>
      <c r="U59" s="7"/>
    </row>
    <row r="60" spans="1:21" ht="9" customHeight="1" x14ac:dyDescent="0.35">
      <c r="A60" s="326"/>
      <c r="B60" s="4" t="s">
        <v>52</v>
      </c>
      <c r="F60" s="135">
        <f>SUMPRODUCT(F57:F59,D57:D59)</f>
        <v>97104.687648568972</v>
      </c>
      <c r="G60" s="136">
        <f>SUMPRODUCT(G57:G59,D57:D59)</f>
        <v>110165.39761021838</v>
      </c>
      <c r="H60" s="19"/>
      <c r="I60" s="59"/>
      <c r="J60" s="19"/>
      <c r="K60" s="65"/>
      <c r="L60" s="349"/>
      <c r="M60" s="114" t="s">
        <v>52</v>
      </c>
      <c r="N60" s="133">
        <f>SUMPRODUCT(N57:N59,D57:D59)</f>
        <v>91924.582422110238</v>
      </c>
      <c r="O60" s="133">
        <f>SUMPRODUCT(O57:O59,D57:D59)</f>
        <v>104288.56132399396</v>
      </c>
      <c r="P60" s="19"/>
      <c r="Q60" s="59"/>
      <c r="R60" s="19"/>
      <c r="S60" s="65"/>
      <c r="T60" s="69" t="s">
        <v>38</v>
      </c>
      <c r="U60" s="7"/>
    </row>
    <row r="61" spans="1:21" ht="9" customHeight="1" x14ac:dyDescent="0.35">
      <c r="A61" s="326"/>
      <c r="B61" s="4" t="s">
        <v>51</v>
      </c>
      <c r="F61" s="95"/>
      <c r="G61" s="87">
        <f>G60/$C$11</f>
        <v>2203.3079522043677</v>
      </c>
      <c r="H61" s="127">
        <f>G61/G54-1</f>
        <v>-2.2462512694904291E-2</v>
      </c>
      <c r="I61" s="18"/>
      <c r="J61" s="18"/>
      <c r="K61" s="11"/>
      <c r="L61" s="349"/>
      <c r="M61" s="121" t="s">
        <v>51</v>
      </c>
      <c r="N61" s="119">
        <f>O61/G54-1</f>
        <v>-0.11020174068682786</v>
      </c>
      <c r="O61" s="120">
        <f>O60/($C$11*$C$13+$C$11)</f>
        <v>2005.5492562306531</v>
      </c>
      <c r="P61" s="127">
        <f>O61/O54-1</f>
        <v>-6.0060108360484921E-2</v>
      </c>
      <c r="Q61" s="18"/>
      <c r="R61" s="18"/>
      <c r="S61" s="11"/>
      <c r="T61" s="70">
        <f>O61/G61-1</f>
        <v>-8.9755358880205915E-2</v>
      </c>
      <c r="U61" s="7"/>
    </row>
    <row r="62" spans="1:21" ht="9" customHeight="1" x14ac:dyDescent="0.35">
      <c r="A62" s="326"/>
      <c r="B62" s="112" t="s">
        <v>61</v>
      </c>
      <c r="F62" s="57"/>
      <c r="G62" s="124">
        <f>G53-G60</f>
        <v>2531.4544705397711</v>
      </c>
      <c r="H62" s="17"/>
      <c r="I62" s="60"/>
      <c r="J62" s="17"/>
      <c r="K62" s="74"/>
      <c r="L62" s="349"/>
      <c r="M62" s="115" t="s">
        <v>61</v>
      </c>
      <c r="N62" s="34"/>
      <c r="O62" s="124">
        <f>O53-O60</f>
        <v>2396.4125806894881</v>
      </c>
      <c r="P62" s="17"/>
      <c r="Q62" s="60"/>
      <c r="R62" s="17"/>
      <c r="S62" s="12"/>
      <c r="T62" s="34"/>
    </row>
    <row r="63" spans="1:21" ht="9" customHeight="1" x14ac:dyDescent="0.35">
      <c r="A63" s="327"/>
      <c r="B63" s="112" t="s">
        <v>62</v>
      </c>
      <c r="F63" s="57"/>
      <c r="G63" s="125">
        <f>G54-G61</f>
        <v>50.629089410795586</v>
      </c>
      <c r="H63" s="17"/>
      <c r="I63" s="60"/>
      <c r="J63" s="17"/>
      <c r="K63" s="74"/>
      <c r="L63" s="350"/>
      <c r="M63" s="115" t="s">
        <v>62</v>
      </c>
      <c r="O63" s="125">
        <f>O54-O61</f>
        <v>128.15022186301576</v>
      </c>
      <c r="P63" s="17"/>
      <c r="Q63" s="60"/>
      <c r="R63" s="17"/>
      <c r="S63" s="12"/>
      <c r="T63" s="34"/>
    </row>
    <row r="64" spans="1:21" ht="10.5" customHeight="1" x14ac:dyDescent="0.35">
      <c r="A64" s="88"/>
      <c r="F64" s="57"/>
      <c r="G64" s="41"/>
      <c r="H64" s="17"/>
      <c r="I64" s="60"/>
      <c r="J64" s="17"/>
      <c r="K64" s="12"/>
      <c r="L64" s="111"/>
      <c r="O64" s="34"/>
      <c r="P64" s="17"/>
      <c r="Q64" s="60"/>
      <c r="R64" s="17"/>
      <c r="S64" s="12"/>
      <c r="T64" s="34"/>
    </row>
    <row r="65" spans="1:21" ht="10.5" customHeight="1" x14ac:dyDescent="0.35">
      <c r="A65" s="328" t="s">
        <v>24</v>
      </c>
      <c r="B65" s="24" t="s">
        <v>17</v>
      </c>
      <c r="C65" s="24" t="s">
        <v>43</v>
      </c>
      <c r="D65" s="24" t="s">
        <v>16</v>
      </c>
      <c r="E65" s="24" t="s">
        <v>18</v>
      </c>
      <c r="F65" s="89" t="s">
        <v>21</v>
      </c>
      <c r="G65" s="72" t="s">
        <v>19</v>
      </c>
      <c r="H65" s="15"/>
      <c r="I65" s="16"/>
      <c r="L65" s="313" t="s">
        <v>36</v>
      </c>
      <c r="M65" s="64" t="s">
        <v>50</v>
      </c>
      <c r="N65" s="24" t="s">
        <v>21</v>
      </c>
      <c r="O65" s="24" t="s">
        <v>19</v>
      </c>
      <c r="P65" s="15"/>
      <c r="Q65" s="16"/>
    </row>
    <row r="66" spans="1:21" ht="9" customHeight="1" x14ac:dyDescent="0.35">
      <c r="A66" s="328"/>
      <c r="B66" s="2" t="s">
        <v>14</v>
      </c>
      <c r="C66" s="39">
        <v>1</v>
      </c>
      <c r="D66" s="84">
        <f>D50</f>
        <v>100</v>
      </c>
      <c r="E66" s="29">
        <f>469.7/6.1</f>
        <v>77</v>
      </c>
      <c r="F66" s="49">
        <f>E66/$F$8/$F$16</f>
        <v>76.265411555893621</v>
      </c>
      <c r="G66" s="53">
        <f>E66/$F$8*$F$7</f>
        <v>85.280593325092696</v>
      </c>
      <c r="H66" s="15"/>
      <c r="I66" s="16"/>
      <c r="L66" s="314"/>
      <c r="M66" s="29">
        <v>73</v>
      </c>
      <c r="N66" s="29">
        <f>M66/$F$8/$F$16</f>
        <v>72.303571994548506</v>
      </c>
      <c r="O66" s="29">
        <f>M66/$F$8*$F$7</f>
        <v>80.8504326328801</v>
      </c>
      <c r="P66" s="15"/>
      <c r="Q66" s="16"/>
    </row>
    <row r="67" spans="1:21" ht="9" customHeight="1" x14ac:dyDescent="0.35">
      <c r="A67" s="328"/>
      <c r="B67" s="2" t="s">
        <v>15</v>
      </c>
      <c r="C67" s="15">
        <v>3</v>
      </c>
      <c r="D67" s="84">
        <f>D51</f>
        <v>300</v>
      </c>
      <c r="E67" s="50">
        <v>9.5</v>
      </c>
      <c r="F67" s="49">
        <f>E67/$F$8/$F$16</f>
        <v>9.4093689581946691</v>
      </c>
      <c r="G67" s="53">
        <f>E67/$F$8*$F$7</f>
        <v>10.521631644004943</v>
      </c>
      <c r="H67" s="15"/>
      <c r="I67" s="16"/>
      <c r="L67" s="314"/>
      <c r="M67" s="50">
        <v>9</v>
      </c>
      <c r="N67" s="29">
        <f>M67/$F$8/$F$16</f>
        <v>8.9141390130265279</v>
      </c>
      <c r="O67" s="29">
        <f>M67/$F$8*$F$7</f>
        <v>9.9678615574783684</v>
      </c>
      <c r="P67" s="15"/>
      <c r="Q67" s="16"/>
      <c r="T67" s="58"/>
    </row>
    <row r="68" spans="1:21" ht="9" customHeight="1" x14ac:dyDescent="0.35">
      <c r="A68" s="328"/>
      <c r="B68" s="2" t="s">
        <v>25</v>
      </c>
      <c r="C68" s="15">
        <v>2</v>
      </c>
      <c r="D68" s="84">
        <f>D52</f>
        <v>200</v>
      </c>
      <c r="E68" s="50">
        <v>29.73</v>
      </c>
      <c r="F68" s="49">
        <f>E68/$F$8/$F$16</f>
        <v>29.446372539697631</v>
      </c>
      <c r="G68" s="53">
        <f>E68/$F$8*$F$7</f>
        <v>32.927169344870208</v>
      </c>
      <c r="H68" s="15"/>
      <c r="I68" s="59"/>
      <c r="J68" s="19"/>
      <c r="K68" s="8"/>
      <c r="L68" s="314"/>
      <c r="M68" s="50">
        <v>27.62</v>
      </c>
      <c r="N68" s="29">
        <f>M68/$F$8/$F$16</f>
        <v>27.356502171088081</v>
      </c>
      <c r="O68" s="29">
        <f>M68/$F$8*$F$7</f>
        <v>30.590259579728059</v>
      </c>
      <c r="P68" s="15"/>
      <c r="Q68" s="59"/>
      <c r="R68" s="19"/>
      <c r="S68" s="73"/>
      <c r="T68" s="68" t="s">
        <v>37</v>
      </c>
      <c r="U68" s="7"/>
    </row>
    <row r="69" spans="1:21" ht="9" customHeight="1" x14ac:dyDescent="0.35">
      <c r="A69" s="328"/>
      <c r="B69" s="4" t="s">
        <v>53</v>
      </c>
      <c r="F69" s="135">
        <f>SUMPRODUCT(F66:F68,D66:D68)</f>
        <v>16338.62635098729</v>
      </c>
      <c r="G69" s="136">
        <f>SUMPRODUCT(G66:G68,D66:D68)</f>
        <v>18269.982694684797</v>
      </c>
      <c r="H69" s="15"/>
      <c r="I69" s="59"/>
      <c r="J69" s="19"/>
      <c r="K69" s="8"/>
      <c r="L69" s="314"/>
      <c r="M69" s="4" t="s">
        <v>53</v>
      </c>
      <c r="N69" s="132">
        <f>SUMPRODUCT(N66:N68,D66:D68)</f>
        <v>15375.899337580424</v>
      </c>
      <c r="O69" s="133">
        <f>SUMPRODUCT(O66:O68,D66:D68)</f>
        <v>17193.453646477134</v>
      </c>
      <c r="P69" s="15"/>
      <c r="Q69" s="59"/>
      <c r="R69" s="19"/>
      <c r="S69" s="73"/>
      <c r="T69" s="69" t="s">
        <v>38</v>
      </c>
      <c r="U69" s="7"/>
    </row>
    <row r="70" spans="1:21" ht="9" customHeight="1" x14ac:dyDescent="0.35">
      <c r="A70" s="328"/>
      <c r="B70" s="4" t="s">
        <v>51</v>
      </c>
      <c r="F70" s="95"/>
      <c r="G70" s="86">
        <f>G69/$F$12</f>
        <v>2201.2027342993729</v>
      </c>
      <c r="H70" s="61"/>
      <c r="I70" s="127">
        <f>G70/G54-1</f>
        <v>-2.3396530755801948E-2</v>
      </c>
      <c r="J70" s="16"/>
      <c r="K70" s="6"/>
      <c r="L70" s="315"/>
      <c r="M70" s="4" t="s">
        <v>51</v>
      </c>
      <c r="N70" s="28"/>
      <c r="O70" s="86">
        <f>O69/$F$12</f>
        <v>2071.5004393345944</v>
      </c>
      <c r="P70" s="61"/>
      <c r="Q70" s="127">
        <f>O70/O54-1</f>
        <v>-2.9150796256765088E-2</v>
      </c>
      <c r="R70" s="16"/>
      <c r="S70" s="13"/>
      <c r="T70" s="70">
        <f>O70/G70-1</f>
        <v>-5.8923375363724384E-2</v>
      </c>
      <c r="U70" s="7"/>
    </row>
    <row r="71" spans="1:21" ht="10.5" customHeight="1" x14ac:dyDescent="0.35">
      <c r="A71" s="88"/>
      <c r="F71" s="57"/>
      <c r="G71" s="41"/>
      <c r="H71" s="15"/>
      <c r="I71" s="60"/>
      <c r="J71" s="17"/>
      <c r="K71" s="12"/>
      <c r="L71" s="111"/>
      <c r="O71" s="34"/>
      <c r="P71" s="15"/>
      <c r="Q71" s="60"/>
      <c r="R71" s="17"/>
      <c r="S71" s="12"/>
      <c r="T71" s="34"/>
    </row>
    <row r="72" spans="1:21" ht="10.5" customHeight="1" x14ac:dyDescent="0.35">
      <c r="A72" s="325" t="s">
        <v>23</v>
      </c>
      <c r="B72" s="24" t="s">
        <v>17</v>
      </c>
      <c r="C72" s="24" t="s">
        <v>43</v>
      </c>
      <c r="D72" s="24" t="s">
        <v>16</v>
      </c>
      <c r="E72" s="24" t="s">
        <v>18</v>
      </c>
      <c r="F72" s="89" t="s">
        <v>21</v>
      </c>
      <c r="G72" s="72" t="s">
        <v>19</v>
      </c>
      <c r="H72" s="15"/>
      <c r="I72" s="16"/>
      <c r="K72" s="76"/>
      <c r="L72" s="313" t="s">
        <v>36</v>
      </c>
      <c r="M72" s="113" t="s">
        <v>50</v>
      </c>
      <c r="N72" s="24" t="s">
        <v>21</v>
      </c>
      <c r="O72" s="24" t="s">
        <v>19</v>
      </c>
      <c r="P72" s="15"/>
      <c r="Q72" s="16"/>
    </row>
    <row r="73" spans="1:21" ht="9" customHeight="1" x14ac:dyDescent="0.35">
      <c r="A73" s="326"/>
      <c r="B73" s="2" t="s">
        <v>14</v>
      </c>
      <c r="C73" s="39">
        <v>1</v>
      </c>
      <c r="D73" s="84">
        <f>D50</f>
        <v>100</v>
      </c>
      <c r="E73" s="29">
        <f>469.7/6.1</f>
        <v>77</v>
      </c>
      <c r="F73" s="49">
        <f>E73/$G$8/$G$16</f>
        <v>76.265411555893621</v>
      </c>
      <c r="G73" s="53">
        <f>E73/$G$8*$G$7</f>
        <v>82.795357780524654</v>
      </c>
      <c r="H73" s="15"/>
      <c r="I73" s="16"/>
      <c r="K73" s="76"/>
      <c r="L73" s="314"/>
      <c r="M73" s="49">
        <v>73</v>
      </c>
      <c r="N73" s="29">
        <f>M73/$G$8/$G$16</f>
        <v>72.303571994548506</v>
      </c>
      <c r="O73" s="29">
        <f>M73/$G$8*$G$7</f>
        <v>78.49430023348441</v>
      </c>
      <c r="P73" s="15"/>
      <c r="Q73" s="16"/>
    </row>
    <row r="74" spans="1:21" ht="9" customHeight="1" x14ac:dyDescent="0.35">
      <c r="A74" s="326"/>
      <c r="B74" s="2" t="s">
        <v>15</v>
      </c>
      <c r="C74" s="15">
        <v>3</v>
      </c>
      <c r="D74" s="84">
        <f>D51</f>
        <v>300</v>
      </c>
      <c r="E74" s="50">
        <v>9.5</v>
      </c>
      <c r="F74" s="49">
        <f>E74/$G$8/$G$16</f>
        <v>9.4093689581946691</v>
      </c>
      <c r="G74" s="53">
        <f>E74/$G$8*$G$7</f>
        <v>10.215011674220575</v>
      </c>
      <c r="H74" s="15"/>
      <c r="I74" s="16"/>
      <c r="K74" s="76"/>
      <c r="L74" s="314"/>
      <c r="M74" s="48">
        <v>9</v>
      </c>
      <c r="N74" s="29">
        <f>M74/$G$8/$G$16</f>
        <v>8.9141390130265279</v>
      </c>
      <c r="O74" s="29">
        <f>M74/$G$8*$G$7</f>
        <v>9.6773794808405444</v>
      </c>
      <c r="P74" s="15"/>
      <c r="Q74" s="16"/>
      <c r="T74" s="58"/>
    </row>
    <row r="75" spans="1:21" ht="9" customHeight="1" x14ac:dyDescent="0.35">
      <c r="A75" s="326"/>
      <c r="B75" s="2" t="s">
        <v>25</v>
      </c>
      <c r="C75" s="15">
        <v>2</v>
      </c>
      <c r="D75" s="84">
        <f>D52</f>
        <v>200</v>
      </c>
      <c r="E75" s="50">
        <v>29.73</v>
      </c>
      <c r="F75" s="49">
        <f>E75/$G$8/$G$16</f>
        <v>29.446372539697631</v>
      </c>
      <c r="G75" s="53">
        <f>E75/$G$8*$G$7</f>
        <v>31.967610218376599</v>
      </c>
      <c r="H75" s="15"/>
      <c r="I75" s="59"/>
      <c r="J75" s="19"/>
      <c r="K75" s="73"/>
      <c r="L75" s="314"/>
      <c r="M75" s="48">
        <v>27.62</v>
      </c>
      <c r="N75" s="29">
        <f>M75/$G$8/$G$16</f>
        <v>27.356502171088081</v>
      </c>
      <c r="O75" s="29">
        <f>M75/$G$8*$G$7</f>
        <v>29.698802362312872</v>
      </c>
      <c r="P75" s="15"/>
      <c r="Q75" s="59"/>
      <c r="R75" s="19"/>
      <c r="S75" s="73"/>
      <c r="T75" s="68" t="s">
        <v>37</v>
      </c>
      <c r="U75" s="7"/>
    </row>
    <row r="76" spans="1:21" ht="9" customHeight="1" x14ac:dyDescent="0.35">
      <c r="A76" s="326"/>
      <c r="B76" s="4" t="s">
        <v>53</v>
      </c>
      <c r="F76" s="135">
        <f>SUMPRODUCT(F73:F75,D73:D75)</f>
        <v>16338.62635098729</v>
      </c>
      <c r="G76" s="136">
        <f>SUMPRODUCT(G73:G75,D73:D75)</f>
        <v>17737.561323993956</v>
      </c>
      <c r="H76" s="15"/>
      <c r="I76" s="59"/>
      <c r="J76" s="19"/>
      <c r="K76" s="73"/>
      <c r="L76" s="314"/>
      <c r="M76" s="114" t="s">
        <v>53</v>
      </c>
      <c r="N76" s="133">
        <f>SUMPRODUCT(N73:N75,D73:D75)</f>
        <v>15375.899337580424</v>
      </c>
      <c r="O76" s="133">
        <f>SUMPRODUCT(O73:O75,D73:D75)</f>
        <v>16692.404340063178</v>
      </c>
      <c r="P76" s="15"/>
      <c r="Q76" s="59"/>
      <c r="R76" s="19"/>
      <c r="S76" s="73"/>
      <c r="T76" s="69" t="s">
        <v>38</v>
      </c>
      <c r="U76" s="7"/>
    </row>
    <row r="77" spans="1:21" ht="9" customHeight="1" x14ac:dyDescent="0.35">
      <c r="A77" s="326"/>
      <c r="B77" s="4" t="s">
        <v>51</v>
      </c>
      <c r="F77" s="95"/>
      <c r="G77" s="86">
        <f>G76/$G$12</f>
        <v>2137.0555812040907</v>
      </c>
      <c r="H77" s="62"/>
      <c r="I77" s="18"/>
      <c r="J77" s="127">
        <f>G77/G54-1</f>
        <v>-5.1856577292556327E-2</v>
      </c>
      <c r="K77" s="11"/>
      <c r="L77" s="314"/>
      <c r="M77" s="121" t="s">
        <v>51</v>
      </c>
      <c r="N77" s="119">
        <f>O77/G54-1</f>
        <v>-0.14204268085326299</v>
      </c>
      <c r="O77" s="120">
        <f>O76/($G$12*$G$13+$G$12)</f>
        <v>1933.7817817496727</v>
      </c>
      <c r="P77" s="62"/>
      <c r="Q77" s="18"/>
      <c r="R77" s="127">
        <f>O77/O54-1</f>
        <v>-9.3695339196788185E-2</v>
      </c>
      <c r="S77" s="11"/>
      <c r="T77" s="70">
        <f>O77/G77-1</f>
        <v>-9.5118630157427386E-2</v>
      </c>
      <c r="U77" s="7"/>
    </row>
    <row r="78" spans="1:21" ht="9" customHeight="1" x14ac:dyDescent="0.35">
      <c r="A78" s="326"/>
      <c r="B78" s="112" t="s">
        <v>61</v>
      </c>
      <c r="F78" s="57"/>
      <c r="G78" s="129">
        <f>G69-G76</f>
        <v>532.42137069084129</v>
      </c>
      <c r="H78" s="34"/>
      <c r="I78" s="17"/>
      <c r="J78" s="17"/>
      <c r="K78" s="12"/>
      <c r="L78" s="314"/>
      <c r="M78" s="115" t="s">
        <v>61</v>
      </c>
      <c r="N78" s="34"/>
      <c r="O78" s="129">
        <f>O69-O76</f>
        <v>501.04930641395549</v>
      </c>
      <c r="P78" s="34"/>
      <c r="Q78" s="17"/>
      <c r="R78" s="17"/>
      <c r="S78" s="12"/>
      <c r="T78" s="34"/>
    </row>
    <row r="79" spans="1:21" ht="9" customHeight="1" x14ac:dyDescent="0.35">
      <c r="A79" s="327"/>
      <c r="B79" s="112" t="s">
        <v>62</v>
      </c>
      <c r="F79" s="57"/>
      <c r="G79" s="125">
        <f>G70-G77</f>
        <v>64.147153095282192</v>
      </c>
      <c r="H79" s="34"/>
      <c r="I79" s="17"/>
      <c r="J79" s="17"/>
      <c r="K79" s="12"/>
      <c r="L79" s="315"/>
      <c r="M79" s="115" t="s">
        <v>62</v>
      </c>
      <c r="O79" s="125">
        <f>O70-O77</f>
        <v>137.71865758492163</v>
      </c>
      <c r="P79" s="34"/>
      <c r="Q79" s="17"/>
      <c r="R79" s="17"/>
      <c r="S79" s="12"/>
      <c r="T79" s="34"/>
    </row>
    <row r="80" spans="1:21" ht="10.5" customHeight="1" x14ac:dyDescent="0.35">
      <c r="A80" s="88"/>
      <c r="F80" s="57"/>
    </row>
    <row r="81" spans="1:21" ht="10.5" customHeight="1" x14ac:dyDescent="0.35">
      <c r="A81" s="88"/>
      <c r="B81" s="316" t="s">
        <v>32</v>
      </c>
      <c r="C81" s="316"/>
      <c r="D81" s="316"/>
      <c r="E81" s="30">
        <f>$B$3</f>
        <v>46082</v>
      </c>
      <c r="F81" s="89" t="s">
        <v>20</v>
      </c>
      <c r="G81" s="30">
        <f>$B$4</f>
        <v>46270</v>
      </c>
      <c r="M81" s="30">
        <f>$B$3</f>
        <v>46082</v>
      </c>
      <c r="N81" s="24" t="s">
        <v>20</v>
      </c>
      <c r="O81" s="30">
        <f>$B$4</f>
        <v>46270</v>
      </c>
    </row>
    <row r="82" spans="1:21" ht="10.5" customHeight="1" x14ac:dyDescent="0.35">
      <c r="A82" s="332" t="s">
        <v>22</v>
      </c>
      <c r="B82" s="24" t="s">
        <v>17</v>
      </c>
      <c r="C82" s="24" t="s">
        <v>43</v>
      </c>
      <c r="D82" s="98" t="s">
        <v>44</v>
      </c>
      <c r="E82" s="24" t="s">
        <v>18</v>
      </c>
      <c r="F82" s="93">
        <v>0.04</v>
      </c>
      <c r="G82" s="24" t="s">
        <v>19</v>
      </c>
      <c r="L82" s="310" t="s">
        <v>26</v>
      </c>
      <c r="M82" s="78" t="s">
        <v>50</v>
      </c>
      <c r="N82" s="25">
        <v>0.04</v>
      </c>
      <c r="O82" s="24" t="s">
        <v>19</v>
      </c>
    </row>
    <row r="83" spans="1:21" ht="9" customHeight="1" x14ac:dyDescent="0.35">
      <c r="A83" s="332"/>
      <c r="B83" s="2" t="s">
        <v>14</v>
      </c>
      <c r="C83" s="39">
        <v>1</v>
      </c>
      <c r="D83" s="82">
        <v>100</v>
      </c>
      <c r="E83" s="47">
        <v>469.7</v>
      </c>
      <c r="F83" s="94">
        <f>E83/$B$8/$B$16</f>
        <v>465.21901049095112</v>
      </c>
      <c r="G83" s="31">
        <f>E83/$B$8*$B$7</f>
        <v>539.9195371514902</v>
      </c>
      <c r="L83" s="311"/>
      <c r="M83" s="27">
        <v>445.3</v>
      </c>
      <c r="N83" s="26">
        <f>M83/$B$8/$B$16</f>
        <v>441.05178916674589</v>
      </c>
      <c r="O83" s="31">
        <f>M83/$B$8*$B$7</f>
        <v>511.87176898777648</v>
      </c>
    </row>
    <row r="84" spans="1:21" ht="9" customHeight="1" x14ac:dyDescent="0.35">
      <c r="A84" s="332"/>
      <c r="B84" s="2" t="s">
        <v>27</v>
      </c>
      <c r="C84" s="39">
        <v>1</v>
      </c>
      <c r="D84" s="82">
        <v>100</v>
      </c>
      <c r="E84" s="47">
        <v>113.9</v>
      </c>
      <c r="F84" s="94">
        <f>E84/$B$8/$B$16</f>
        <v>112.8133815093024</v>
      </c>
      <c r="G84" s="31">
        <f>E84/$B$8*$B$7</f>
        <v>130.92790138717211</v>
      </c>
      <c r="L84" s="311"/>
      <c r="M84" s="27">
        <v>103.7</v>
      </c>
      <c r="N84" s="26">
        <f>M84/$B$8/$B$16</f>
        <v>102.71069062787232</v>
      </c>
      <c r="O84" s="31">
        <f>M84/$B$8*$B$7</f>
        <v>119.20301469578355</v>
      </c>
      <c r="T84" s="58"/>
    </row>
    <row r="85" spans="1:21" ht="9" customHeight="1" x14ac:dyDescent="0.35">
      <c r="A85" s="332"/>
      <c r="B85" s="2" t="s">
        <v>25</v>
      </c>
      <c r="C85" s="39">
        <v>2</v>
      </c>
      <c r="D85" s="82">
        <v>200</v>
      </c>
      <c r="E85" s="48">
        <v>178.4</v>
      </c>
      <c r="F85" s="94">
        <f>E85/$B$8/$B$16</f>
        <v>176.69804443599253</v>
      </c>
      <c r="G85" s="31">
        <f>E85/$B$8*$B$7</f>
        <v>205.07056722977615</v>
      </c>
      <c r="L85" s="311"/>
      <c r="M85" s="27">
        <v>168.5</v>
      </c>
      <c r="N85" s="26">
        <f>M85/$B$8/$B$16</f>
        <v>166.89249152166335</v>
      </c>
      <c r="O85" s="31">
        <f>M85/$B$8*$B$7</f>
        <v>193.69053014695788</v>
      </c>
      <c r="S85" s="76"/>
      <c r="T85" s="68" t="s">
        <v>37</v>
      </c>
      <c r="U85" s="7"/>
    </row>
    <row r="86" spans="1:21" ht="9" customHeight="1" x14ac:dyDescent="0.35">
      <c r="A86" s="332"/>
      <c r="B86" s="4" t="s">
        <v>52</v>
      </c>
      <c r="D86" s="34"/>
      <c r="F86" s="135">
        <f>SUMPRODUCT(F83:F85,D83:D85)</f>
        <v>93142.848087223858</v>
      </c>
      <c r="G86" s="133">
        <f>SUMPRODUCT(G83:G85,D83:D85)</f>
        <v>108098.85729982147</v>
      </c>
      <c r="L86" s="311"/>
      <c r="M86" s="4" t="s">
        <v>52</v>
      </c>
      <c r="N86" s="132">
        <f>SUMPRODUCT(N83:N85,D83:D85)</f>
        <v>87754.746283794491</v>
      </c>
      <c r="O86" s="133">
        <f>SUMPRODUCT(O83:O85,D83:D85)</f>
        <v>101845.58439774759</v>
      </c>
      <c r="S86" s="76"/>
      <c r="T86" s="69" t="s">
        <v>38</v>
      </c>
      <c r="U86" s="7"/>
    </row>
    <row r="87" spans="1:21" ht="9" customHeight="1" x14ac:dyDescent="0.35">
      <c r="A87" s="332"/>
      <c r="B87" s="4" t="s">
        <v>51</v>
      </c>
      <c r="F87" s="95"/>
      <c r="G87" s="86">
        <f>G86/$B$11</f>
        <v>2161.9771459964295</v>
      </c>
      <c r="H87" s="57"/>
      <c r="I87" s="16"/>
      <c r="J87" s="16"/>
      <c r="K87" s="6"/>
      <c r="L87" s="312"/>
      <c r="M87" s="4" t="s">
        <v>51</v>
      </c>
      <c r="N87" s="28"/>
      <c r="O87" s="86">
        <f>O86/$B$11</f>
        <v>2036.9116879549517</v>
      </c>
      <c r="P87" s="57"/>
      <c r="Q87" s="16"/>
      <c r="R87" s="16"/>
      <c r="S87" s="13"/>
      <c r="T87" s="70">
        <f>O87/G87-1</f>
        <v>-5.7847724372607323E-2</v>
      </c>
      <c r="U87" s="7"/>
    </row>
    <row r="88" spans="1:21" ht="10.5" customHeight="1" x14ac:dyDescent="0.35">
      <c r="A88" s="88"/>
      <c r="F88" s="57"/>
      <c r="G88" s="34"/>
      <c r="O88" s="34"/>
      <c r="T88" s="34"/>
    </row>
    <row r="89" spans="1:21" ht="10.5" customHeight="1" x14ac:dyDescent="0.35">
      <c r="A89" s="325" t="s">
        <v>12</v>
      </c>
      <c r="B89" s="24" t="s">
        <v>17</v>
      </c>
      <c r="C89" s="24" t="s">
        <v>43</v>
      </c>
      <c r="D89" s="24" t="s">
        <v>16</v>
      </c>
      <c r="E89" s="24" t="s">
        <v>18</v>
      </c>
      <c r="F89" s="89" t="s">
        <v>21</v>
      </c>
      <c r="G89" s="24" t="s">
        <v>19</v>
      </c>
      <c r="L89" s="310" t="s">
        <v>26</v>
      </c>
      <c r="M89" s="78" t="s">
        <v>50</v>
      </c>
      <c r="N89" s="24" t="s">
        <v>21</v>
      </c>
      <c r="O89" s="24" t="s">
        <v>19</v>
      </c>
    </row>
    <row r="90" spans="1:21" ht="9" customHeight="1" x14ac:dyDescent="0.35">
      <c r="A90" s="326"/>
      <c r="B90" s="2" t="s">
        <v>14</v>
      </c>
      <c r="C90" s="39">
        <v>1</v>
      </c>
      <c r="D90" s="84">
        <f>D83</f>
        <v>100</v>
      </c>
      <c r="E90" s="27">
        <v>469.7</v>
      </c>
      <c r="F90" s="47">
        <f>E90/$C$8/$C$16</f>
        <v>465.21901049095112</v>
      </c>
      <c r="G90" s="27">
        <f>E90/$C$8*$C$7</f>
        <v>527.79158769399805</v>
      </c>
      <c r="L90" s="311"/>
      <c r="M90" s="27">
        <v>445.3</v>
      </c>
      <c r="N90" s="27">
        <f>M90/$C$8/$C$16</f>
        <v>441.05178916674589</v>
      </c>
      <c r="O90" s="27">
        <f>M90/$C$8*$C$7</f>
        <v>500.37384287872544</v>
      </c>
    </row>
    <row r="91" spans="1:21" ht="9" customHeight="1" x14ac:dyDescent="0.35">
      <c r="A91" s="326"/>
      <c r="B91" s="2" t="s">
        <v>27</v>
      </c>
      <c r="C91" s="23">
        <v>1</v>
      </c>
      <c r="D91" s="84">
        <f>D84</f>
        <v>100</v>
      </c>
      <c r="E91" s="27">
        <v>113.9</v>
      </c>
      <c r="F91" s="47">
        <f>E91/$C$8/$C$16</f>
        <v>112.8133815093024</v>
      </c>
      <c r="G91" s="27">
        <f>E91/$C$8*$C$7</f>
        <v>127.98693174014559</v>
      </c>
      <c r="H91" s="58"/>
      <c r="I91" s="19"/>
      <c r="J91" s="19"/>
      <c r="K91" s="8"/>
      <c r="L91" s="311"/>
      <c r="M91" s="27">
        <v>103.7</v>
      </c>
      <c r="N91" s="27">
        <f>M91/$C$8/$C$16</f>
        <v>102.71069062787232</v>
      </c>
      <c r="O91" s="27">
        <f>M91/$C$8*$C$7</f>
        <v>116.52541546490866</v>
      </c>
      <c r="P91" s="58"/>
      <c r="Q91" s="19"/>
      <c r="R91" s="19"/>
      <c r="S91" s="8"/>
      <c r="T91" s="58"/>
    </row>
    <row r="92" spans="1:21" ht="9" customHeight="1" x14ac:dyDescent="0.35">
      <c r="A92" s="326"/>
      <c r="B92" s="2" t="s">
        <v>25</v>
      </c>
      <c r="C92" s="23">
        <v>2</v>
      </c>
      <c r="D92" s="84">
        <f>D85</f>
        <v>200</v>
      </c>
      <c r="E92" s="27">
        <v>178.4</v>
      </c>
      <c r="F92" s="47">
        <f>E92/$C$8/$C$16</f>
        <v>176.69804443599253</v>
      </c>
      <c r="G92" s="51">
        <f>E92/$C$8*$C$7</f>
        <v>200.4641670100261</v>
      </c>
      <c r="H92" s="15"/>
      <c r="L92" s="311"/>
      <c r="M92" s="27">
        <v>168.5</v>
      </c>
      <c r="N92" s="27">
        <f>M92/$C$8/$C$16</f>
        <v>166.89249152166335</v>
      </c>
      <c r="O92" s="27">
        <f>M92/$C$8*$C$7</f>
        <v>189.33975415464911</v>
      </c>
      <c r="P92" s="15"/>
      <c r="S92" s="76"/>
      <c r="T92" s="68" t="s">
        <v>37</v>
      </c>
      <c r="U92" s="7"/>
    </row>
    <row r="93" spans="1:21" ht="9" customHeight="1" x14ac:dyDescent="0.35">
      <c r="A93" s="326"/>
      <c r="B93" s="4" t="s">
        <v>52</v>
      </c>
      <c r="F93" s="135">
        <f>SUMPRODUCT(F90:F92,D90:D92)</f>
        <v>93142.848087223858</v>
      </c>
      <c r="G93" s="136">
        <f>SUMPRODUCT(G90:G92,D90:D92)</f>
        <v>105670.6853454196</v>
      </c>
      <c r="H93" s="19"/>
      <c r="L93" s="311"/>
      <c r="M93" s="4" t="s">
        <v>52</v>
      </c>
      <c r="N93" s="133">
        <f>SUMPRODUCT(N90:N92,D90:D92)</f>
        <v>87754.746283794491</v>
      </c>
      <c r="O93" s="133">
        <f>SUMPRODUCT(O90:O92,D90:D92)</f>
        <v>99557.876665293239</v>
      </c>
      <c r="P93" s="19"/>
      <c r="S93" s="76"/>
      <c r="T93" s="69" t="s">
        <v>38</v>
      </c>
      <c r="U93" s="7"/>
    </row>
    <row r="94" spans="1:21" ht="9" customHeight="1" x14ac:dyDescent="0.35">
      <c r="A94" s="326"/>
      <c r="B94" s="4" t="s">
        <v>51</v>
      </c>
      <c r="F94" s="95"/>
      <c r="G94" s="87">
        <f>G93/$C$11</f>
        <v>2113.4137069083918</v>
      </c>
      <c r="H94" s="127">
        <f>G94/G87-1</f>
        <v>-2.2462512694904291E-2</v>
      </c>
      <c r="I94" s="62"/>
      <c r="J94" s="20"/>
      <c r="K94" s="14"/>
      <c r="L94" s="311"/>
      <c r="M94" s="118" t="s">
        <v>51</v>
      </c>
      <c r="N94" s="119">
        <f>O94/G87-1</f>
        <v>-0.114433492138866</v>
      </c>
      <c r="O94" s="120">
        <f>O93/($C$11*$C$13+$C$11)</f>
        <v>1914.5745512556391</v>
      </c>
      <c r="P94" s="127">
        <f>O94/O87-1</f>
        <v>-6.0060108360484921E-2</v>
      </c>
      <c r="Q94" s="62"/>
      <c r="R94" s="20"/>
      <c r="S94" s="77"/>
      <c r="T94" s="70">
        <f>O94/G94-1</f>
        <v>-9.4084350358276336E-2</v>
      </c>
      <c r="U94" s="7"/>
    </row>
    <row r="95" spans="1:21" ht="9" customHeight="1" x14ac:dyDescent="0.35">
      <c r="A95" s="326"/>
      <c r="B95" s="112" t="s">
        <v>61</v>
      </c>
      <c r="F95" s="57"/>
      <c r="G95" s="124">
        <f>G86-G93</f>
        <v>2428.1719544018706</v>
      </c>
      <c r="H95" s="17"/>
      <c r="L95" s="311"/>
      <c r="M95" s="115" t="s">
        <v>61</v>
      </c>
      <c r="N95" s="34"/>
      <c r="O95" s="130">
        <f>O86-O93</f>
        <v>2287.7077324543498</v>
      </c>
      <c r="P95" s="17"/>
      <c r="T95" s="34"/>
    </row>
    <row r="96" spans="1:21" ht="9" customHeight="1" x14ac:dyDescent="0.35">
      <c r="A96" s="327"/>
      <c r="B96" s="112" t="s">
        <v>62</v>
      </c>
      <c r="F96" s="57"/>
      <c r="G96" s="125">
        <f>G87-G94</f>
        <v>48.56343908803774</v>
      </c>
      <c r="H96" s="17"/>
      <c r="L96" s="312"/>
      <c r="M96" s="115" t="s">
        <v>62</v>
      </c>
      <c r="O96" s="125">
        <f>O87-O94</f>
        <v>122.33713669931262</v>
      </c>
      <c r="P96" s="17"/>
      <c r="T96" s="34"/>
    </row>
    <row r="97" spans="1:21" ht="10.5" customHeight="1" x14ac:dyDescent="0.35">
      <c r="A97" s="88"/>
      <c r="F97" s="57"/>
      <c r="G97" s="41"/>
      <c r="H97" s="17"/>
      <c r="L97" s="19"/>
      <c r="O97" s="34"/>
      <c r="P97" s="17"/>
      <c r="T97" s="34"/>
    </row>
    <row r="98" spans="1:21" ht="10.5" customHeight="1" x14ac:dyDescent="0.35">
      <c r="A98" s="328" t="s">
        <v>24</v>
      </c>
      <c r="B98" s="24" t="s">
        <v>17</v>
      </c>
      <c r="C98" s="24" t="s">
        <v>43</v>
      </c>
      <c r="D98" s="24" t="s">
        <v>16</v>
      </c>
      <c r="E98" s="24" t="s">
        <v>18</v>
      </c>
      <c r="F98" s="89" t="s">
        <v>21</v>
      </c>
      <c r="G98" s="24" t="s">
        <v>19</v>
      </c>
      <c r="H98" s="15"/>
      <c r="L98" s="310" t="s">
        <v>26</v>
      </c>
      <c r="M98" s="78" t="s">
        <v>50</v>
      </c>
      <c r="N98" s="24" t="s">
        <v>21</v>
      </c>
      <c r="O98" s="24" t="s">
        <v>19</v>
      </c>
      <c r="P98" s="15"/>
    </row>
    <row r="99" spans="1:21" ht="9" customHeight="1" x14ac:dyDescent="0.35">
      <c r="A99" s="328"/>
      <c r="B99" s="2" t="s">
        <v>14</v>
      </c>
      <c r="C99" s="39">
        <v>1</v>
      </c>
      <c r="D99" s="84">
        <f>D83</f>
        <v>100</v>
      </c>
      <c r="E99" s="29">
        <f>469.7/6.1</f>
        <v>77</v>
      </c>
      <c r="F99" s="49">
        <f>E99/$F$8/$F$16</f>
        <v>76.265411555893621</v>
      </c>
      <c r="G99" s="53">
        <f>E99/$F$8*$F$7</f>
        <v>85.280593325092696</v>
      </c>
      <c r="H99" s="15"/>
      <c r="L99" s="311"/>
      <c r="M99" s="29">
        <v>73</v>
      </c>
      <c r="N99" s="29">
        <f>M99/$F$8/$F$16</f>
        <v>72.303571994548506</v>
      </c>
      <c r="O99" s="29">
        <f>M99/$F$8*$F$7</f>
        <v>80.8504326328801</v>
      </c>
      <c r="P99" s="15"/>
    </row>
    <row r="100" spans="1:21" ht="9" customHeight="1" x14ac:dyDescent="0.35">
      <c r="A100" s="328"/>
      <c r="B100" s="2" t="s">
        <v>27</v>
      </c>
      <c r="C100" s="23">
        <v>1</v>
      </c>
      <c r="D100" s="84">
        <f>D84</f>
        <v>100</v>
      </c>
      <c r="E100" s="50">
        <v>18.670000000000002</v>
      </c>
      <c r="F100" s="49">
        <f>E100/$F$8/$F$16</f>
        <v>18.491886152578367</v>
      </c>
      <c r="G100" s="53">
        <f>E100/$F$8*$F$7</f>
        <v>20.67777503090235</v>
      </c>
      <c r="H100" s="15"/>
      <c r="L100" s="311"/>
      <c r="M100" s="50">
        <v>17</v>
      </c>
      <c r="N100" s="29">
        <f>M100/$F$8/$F$16</f>
        <v>16.837818135716773</v>
      </c>
      <c r="O100" s="29">
        <f>M100/$F$8*$F$7</f>
        <v>18.828182941903581</v>
      </c>
      <c r="P100" s="15"/>
      <c r="T100" s="58"/>
    </row>
    <row r="101" spans="1:21" ht="9" customHeight="1" x14ac:dyDescent="0.35">
      <c r="A101" s="328"/>
      <c r="B101" s="2" t="s">
        <v>25</v>
      </c>
      <c r="C101" s="23">
        <v>2</v>
      </c>
      <c r="D101" s="84">
        <f>D85</f>
        <v>200</v>
      </c>
      <c r="E101" s="50">
        <v>29.73</v>
      </c>
      <c r="F101" s="49">
        <f>E101/$F$8/$F$16</f>
        <v>29.446372539697631</v>
      </c>
      <c r="G101" s="53">
        <f>E101/$F$8*$F$7</f>
        <v>32.927169344870208</v>
      </c>
      <c r="H101" s="15"/>
      <c r="L101" s="311"/>
      <c r="M101" s="50">
        <v>27.622950819672134</v>
      </c>
      <c r="N101" s="29">
        <f>M101/$F$8/$F$16</f>
        <v>27.359424839616942</v>
      </c>
      <c r="O101" s="29">
        <f>M101/$F$8*$F$7</f>
        <v>30.59352773105838</v>
      </c>
      <c r="P101" s="15"/>
      <c r="S101" s="76"/>
      <c r="T101" s="68" t="s">
        <v>37</v>
      </c>
      <c r="U101" s="7"/>
    </row>
    <row r="102" spans="1:21" ht="9" customHeight="1" x14ac:dyDescent="0.35">
      <c r="A102" s="328"/>
      <c r="B102" s="4" t="s">
        <v>53</v>
      </c>
      <c r="F102" s="135">
        <f>SUMPRODUCT(F99:F101,D99:D101)</f>
        <v>15365.004278786726</v>
      </c>
      <c r="G102" s="136">
        <f>SUMPRODUCT(G99:G101,D99:D101)</f>
        <v>17181.270704573544</v>
      </c>
      <c r="H102" s="15"/>
      <c r="I102" s="19"/>
      <c r="L102" s="311"/>
      <c r="M102" s="4" t="s">
        <v>53</v>
      </c>
      <c r="N102" s="132">
        <f>SUMPRODUCT(N99:N101,D99:D101)</f>
        <v>14386.023980949916</v>
      </c>
      <c r="O102" s="133">
        <f>SUMPRODUCT(O99:O101,D99:D101)</f>
        <v>16086.567103690046</v>
      </c>
      <c r="P102" s="15"/>
      <c r="Q102" s="19"/>
      <c r="S102" s="76"/>
      <c r="T102" s="69" t="s">
        <v>38</v>
      </c>
      <c r="U102" s="7"/>
    </row>
    <row r="103" spans="1:21" ht="9" customHeight="1" x14ac:dyDescent="0.35">
      <c r="A103" s="328"/>
      <c r="B103" s="4" t="s">
        <v>51</v>
      </c>
      <c r="F103" s="95"/>
      <c r="G103" s="86">
        <f>G102/$F$12</f>
        <v>2070.0326150088604</v>
      </c>
      <c r="H103" s="61"/>
      <c r="I103" s="127">
        <f>G103/G87-1</f>
        <v>-4.2527984700408528E-2</v>
      </c>
      <c r="J103" s="16"/>
      <c r="L103" s="312"/>
      <c r="M103" s="4" t="s">
        <v>51</v>
      </c>
      <c r="N103" s="28"/>
      <c r="O103" s="86">
        <f>O102/$F$12</f>
        <v>1938.1406149024149</v>
      </c>
      <c r="P103" s="61"/>
      <c r="Q103" s="127">
        <f>O103/O87-1</f>
        <v>-4.8490601549693313E-2</v>
      </c>
      <c r="R103" s="16"/>
      <c r="S103" s="76"/>
      <c r="T103" s="70">
        <f>O103/G103-1</f>
        <v>-6.3714938185107317E-2</v>
      </c>
      <c r="U103" s="7"/>
    </row>
    <row r="104" spans="1:21" ht="10.5" customHeight="1" x14ac:dyDescent="0.35">
      <c r="A104" s="88"/>
      <c r="F104" s="57"/>
      <c r="G104" s="41"/>
      <c r="H104" s="15"/>
      <c r="I104" s="17"/>
      <c r="O104" s="34"/>
      <c r="P104" s="15"/>
      <c r="Q104" s="17"/>
      <c r="T104" s="34"/>
    </row>
    <row r="105" spans="1:21" ht="10.5" customHeight="1" x14ac:dyDescent="0.35">
      <c r="A105" s="325" t="s">
        <v>23</v>
      </c>
      <c r="B105" s="24" t="s">
        <v>17</v>
      </c>
      <c r="C105" s="24" t="s">
        <v>43</v>
      </c>
      <c r="D105" s="24" t="s">
        <v>16</v>
      </c>
      <c r="E105" s="24" t="s">
        <v>18</v>
      </c>
      <c r="F105" s="89" t="s">
        <v>21</v>
      </c>
      <c r="G105" s="24" t="s">
        <v>19</v>
      </c>
      <c r="H105" s="15"/>
      <c r="L105" s="310" t="s">
        <v>26</v>
      </c>
      <c r="M105" s="78" t="s">
        <v>50</v>
      </c>
      <c r="N105" s="24" t="s">
        <v>21</v>
      </c>
      <c r="O105" s="24" t="s">
        <v>19</v>
      </c>
      <c r="P105" s="15"/>
    </row>
    <row r="106" spans="1:21" ht="9" customHeight="1" x14ac:dyDescent="0.35">
      <c r="A106" s="326"/>
      <c r="B106" s="2" t="s">
        <v>14</v>
      </c>
      <c r="C106" s="39">
        <v>1</v>
      </c>
      <c r="D106" s="84">
        <f>D83</f>
        <v>100</v>
      </c>
      <c r="E106" s="29">
        <f>469.7/6.1</f>
        <v>77</v>
      </c>
      <c r="F106" s="49">
        <f>E106/$G$8/$G$16</f>
        <v>76.265411555893621</v>
      </c>
      <c r="G106" s="53">
        <f>E106/$G$8*$G$7</f>
        <v>82.795357780524654</v>
      </c>
      <c r="H106" s="15"/>
      <c r="L106" s="311"/>
      <c r="M106" s="29">
        <v>73</v>
      </c>
      <c r="N106" s="29">
        <f>M106/$G$8/$G$16</f>
        <v>72.303571994548506</v>
      </c>
      <c r="O106" s="29">
        <f>M106/$G$8*$G$7</f>
        <v>78.49430023348441</v>
      </c>
      <c r="P106" s="15"/>
    </row>
    <row r="107" spans="1:21" ht="9" customHeight="1" x14ac:dyDescent="0.35">
      <c r="A107" s="326"/>
      <c r="B107" s="2" t="s">
        <v>27</v>
      </c>
      <c r="C107" s="23">
        <v>1</v>
      </c>
      <c r="D107" s="84">
        <f>D84</f>
        <v>100</v>
      </c>
      <c r="E107" s="50">
        <v>18.670000000000002</v>
      </c>
      <c r="F107" s="49">
        <f>E107/$G$8/$G$16</f>
        <v>18.491886152578367</v>
      </c>
      <c r="G107" s="53">
        <f>E107/$G$8*$G$7</f>
        <v>20.075186100810331</v>
      </c>
      <c r="H107" s="15"/>
      <c r="L107" s="311"/>
      <c r="M107" s="50">
        <v>17</v>
      </c>
      <c r="N107" s="29">
        <f>M107/$G$8/$G$16</f>
        <v>16.837818135716773</v>
      </c>
      <c r="O107" s="29">
        <f>M107/$G$8*$G$7</f>
        <v>18.279494574921028</v>
      </c>
      <c r="P107" s="15"/>
      <c r="T107" s="58"/>
    </row>
    <row r="108" spans="1:21" ht="9" customHeight="1" x14ac:dyDescent="0.35">
      <c r="A108" s="326"/>
      <c r="B108" s="2" t="s">
        <v>25</v>
      </c>
      <c r="C108" s="23">
        <v>2</v>
      </c>
      <c r="D108" s="84">
        <f>D85</f>
        <v>200</v>
      </c>
      <c r="E108" s="50">
        <v>29.73</v>
      </c>
      <c r="F108" s="49">
        <f>E108/$G$8/$G$16</f>
        <v>29.446372539697631</v>
      </c>
      <c r="G108" s="53">
        <f>E108/$G$8*$G$7</f>
        <v>31.967610218376599</v>
      </c>
      <c r="H108" s="15"/>
      <c r="L108" s="311"/>
      <c r="M108" s="50">
        <v>27.622950819672134</v>
      </c>
      <c r="N108" s="29">
        <f>M108/$G$8/$G$16</f>
        <v>27.359424839616942</v>
      </c>
      <c r="O108" s="29">
        <f>M108/$G$8*$G$7</f>
        <v>29.701975273618064</v>
      </c>
      <c r="P108" s="15"/>
      <c r="S108" s="76"/>
      <c r="T108" s="68" t="s">
        <v>37</v>
      </c>
      <c r="U108" s="7"/>
    </row>
    <row r="109" spans="1:21" ht="9" customHeight="1" x14ac:dyDescent="0.35">
      <c r="A109" s="326"/>
      <c r="B109" s="4" t="s">
        <v>53</v>
      </c>
      <c r="F109" s="135">
        <f>SUMPRODUCT(F106:F108,D106:D108)</f>
        <v>15365.004278786726</v>
      </c>
      <c r="G109" s="136">
        <f>SUMPRODUCT(G106:G108,D106:D108)</f>
        <v>16680.576431808819</v>
      </c>
      <c r="H109" s="15"/>
      <c r="J109" s="19"/>
      <c r="L109" s="311"/>
      <c r="M109" s="4" t="s">
        <v>53</v>
      </c>
      <c r="N109" s="133">
        <f>SUMPRODUCT(N106:N108,D106:D108)</f>
        <v>14386.023980949916</v>
      </c>
      <c r="O109" s="133">
        <f>SUMPRODUCT(O106:O108,D106:D108)</f>
        <v>15617.774535564156</v>
      </c>
      <c r="P109" s="15"/>
      <c r="R109" s="19"/>
      <c r="S109" s="76"/>
      <c r="T109" s="69" t="s">
        <v>38</v>
      </c>
      <c r="U109" s="7"/>
    </row>
    <row r="110" spans="1:21" ht="9" customHeight="1" x14ac:dyDescent="0.35">
      <c r="A110" s="326"/>
      <c r="B110" s="4" t="s">
        <v>51</v>
      </c>
      <c r="F110" s="95"/>
      <c r="G110" s="86">
        <f>G109/$G$12</f>
        <v>2009.7080038323877</v>
      </c>
      <c r="H110" s="62"/>
      <c r="I110" s="75"/>
      <c r="J110" s="127">
        <f>G110/G87-1</f>
        <v>-7.0430504987536668E-2</v>
      </c>
      <c r="K110" s="11"/>
      <c r="L110" s="311"/>
      <c r="M110" s="118" t="s">
        <v>51</v>
      </c>
      <c r="N110" s="119">
        <f>O110/G87-1</f>
        <v>-0.1631326614432862</v>
      </c>
      <c r="O110" s="120">
        <f>O109/($G$12*$G$13+$G$12)</f>
        <v>1809.2880601904719</v>
      </c>
      <c r="P110" s="62"/>
      <c r="Q110" s="75"/>
      <c r="R110" s="127">
        <f>O110/O87-1</f>
        <v>-0.11174938467411555</v>
      </c>
      <c r="S110" s="11"/>
      <c r="T110" s="70">
        <f>O110/G110-1</f>
        <v>-9.9725902101065134E-2</v>
      </c>
      <c r="U110" s="7"/>
    </row>
    <row r="111" spans="1:21" ht="9" customHeight="1" x14ac:dyDescent="0.35">
      <c r="A111" s="326"/>
      <c r="B111" s="112" t="s">
        <v>61</v>
      </c>
      <c r="F111" s="57"/>
      <c r="G111" s="129">
        <f>G102-G109</f>
        <v>500.69427276472561</v>
      </c>
      <c r="H111" s="15"/>
      <c r="J111" s="17"/>
      <c r="L111" s="311"/>
      <c r="M111" s="112" t="s">
        <v>61</v>
      </c>
      <c r="N111" s="34"/>
      <c r="O111" s="129">
        <f>O102-O109</f>
        <v>468.79256812588937</v>
      </c>
      <c r="P111" s="15"/>
      <c r="R111" s="17"/>
      <c r="T111" s="34"/>
    </row>
    <row r="112" spans="1:21" ht="9" customHeight="1" x14ac:dyDescent="0.35">
      <c r="A112" s="327"/>
      <c r="B112" s="112" t="s">
        <v>62</v>
      </c>
      <c r="F112" s="57"/>
      <c r="G112" s="125">
        <f>G103-G110</f>
        <v>60.324611176472672</v>
      </c>
      <c r="H112" s="15"/>
      <c r="J112" s="17"/>
      <c r="L112" s="312"/>
      <c r="M112" s="112" t="s">
        <v>62</v>
      </c>
      <c r="O112" s="125">
        <f>O103-O110</f>
        <v>128.85255471194296</v>
      </c>
      <c r="P112" s="15"/>
      <c r="R112" s="17"/>
      <c r="T112" s="34"/>
    </row>
    <row r="113" spans="1:21" ht="10.5" customHeight="1" x14ac:dyDescent="0.35">
      <c r="A113" s="88"/>
      <c r="F113" s="57"/>
      <c r="G113" s="39"/>
      <c r="H113" s="15"/>
      <c r="P113" s="15"/>
    </row>
    <row r="114" spans="1:21" ht="10.5" customHeight="1" x14ac:dyDescent="0.35">
      <c r="A114" s="88"/>
      <c r="B114" s="320" t="s">
        <v>33</v>
      </c>
      <c r="C114" s="320"/>
      <c r="D114" s="320"/>
      <c r="E114" s="30">
        <f>$B$3</f>
        <v>46082</v>
      </c>
      <c r="F114" s="89" t="s">
        <v>20</v>
      </c>
      <c r="G114" s="30">
        <f>$B$4</f>
        <v>46270</v>
      </c>
      <c r="H114" s="15"/>
      <c r="M114" s="30">
        <f>$B$3</f>
        <v>46082</v>
      </c>
      <c r="N114" s="24" t="s">
        <v>20</v>
      </c>
      <c r="O114" s="30">
        <f>$B$4</f>
        <v>46270</v>
      </c>
      <c r="P114" s="15"/>
    </row>
    <row r="115" spans="1:21" ht="10.5" customHeight="1" x14ac:dyDescent="0.35">
      <c r="A115" s="332" t="s">
        <v>22</v>
      </c>
      <c r="B115" s="24" t="s">
        <v>17</v>
      </c>
      <c r="C115" s="24" t="s">
        <v>43</v>
      </c>
      <c r="D115" s="98" t="s">
        <v>44</v>
      </c>
      <c r="E115" s="24" t="s">
        <v>18</v>
      </c>
      <c r="F115" s="93">
        <v>0.04</v>
      </c>
      <c r="G115" s="24" t="s">
        <v>19</v>
      </c>
      <c r="H115" s="15"/>
      <c r="L115" s="317" t="s">
        <v>28</v>
      </c>
      <c r="M115" s="79" t="s">
        <v>50</v>
      </c>
      <c r="N115" s="25">
        <v>0.04</v>
      </c>
      <c r="O115" s="24" t="s">
        <v>19</v>
      </c>
      <c r="P115" s="15"/>
    </row>
    <row r="116" spans="1:21" ht="9" customHeight="1" x14ac:dyDescent="0.35">
      <c r="A116" s="332"/>
      <c r="B116" s="2" t="s">
        <v>14</v>
      </c>
      <c r="C116" s="39">
        <v>3</v>
      </c>
      <c r="D116" s="82">
        <v>3</v>
      </c>
      <c r="E116" s="47">
        <v>469.7</v>
      </c>
      <c r="F116" s="94">
        <f>E116/$B$8/$B$16</f>
        <v>465.21901049095112</v>
      </c>
      <c r="G116" s="55">
        <f>E116/$B$8*$B$7</f>
        <v>539.9195371514902</v>
      </c>
      <c r="H116" s="15"/>
      <c r="L116" s="318"/>
      <c r="M116" s="27">
        <v>427</v>
      </c>
      <c r="N116" s="26">
        <f>M116/$B$8/$B$16</f>
        <v>422.92637317359191</v>
      </c>
      <c r="O116" s="31">
        <f>M116/$B$8*$B$7</f>
        <v>490.83594286499107</v>
      </c>
      <c r="P116" s="15"/>
    </row>
    <row r="117" spans="1:21" ht="9" customHeight="1" x14ac:dyDescent="0.35">
      <c r="A117" s="332"/>
      <c r="B117" s="2" t="s">
        <v>15</v>
      </c>
      <c r="C117" s="39">
        <v>3</v>
      </c>
      <c r="D117" s="82">
        <v>3</v>
      </c>
      <c r="E117" s="48">
        <v>9.5</v>
      </c>
      <c r="F117" s="47">
        <f>E117/$B$8*$B$10/$B$16</f>
        <v>50.810592374251215</v>
      </c>
      <c r="G117" s="56">
        <f>E117/$B$8*$B$10*$B$7</f>
        <v>58.96928306551299</v>
      </c>
      <c r="H117" s="15"/>
      <c r="L117" s="318"/>
      <c r="M117" s="50">
        <v>9</v>
      </c>
      <c r="N117" s="27">
        <f>M117/$B$8*$B$10/$B$16</f>
        <v>48.136350670343255</v>
      </c>
      <c r="O117" s="32">
        <f>M117/$B$8*$B$10*$B$7</f>
        <v>55.865636588380724</v>
      </c>
      <c r="P117" s="15"/>
      <c r="T117" s="58"/>
    </row>
    <row r="118" spans="1:21" ht="9" customHeight="1" x14ac:dyDescent="0.35">
      <c r="A118" s="332"/>
      <c r="B118" s="2" t="s">
        <v>25</v>
      </c>
      <c r="C118" s="39">
        <v>2</v>
      </c>
      <c r="D118" s="82">
        <v>2</v>
      </c>
      <c r="E118" s="48">
        <v>178.4</v>
      </c>
      <c r="F118" s="94">
        <f>E118/$B$8/$B$16</f>
        <v>176.69804443599253</v>
      </c>
      <c r="G118" s="55">
        <f>E118/$B$8*$B$7</f>
        <v>205.07056722977615</v>
      </c>
      <c r="H118" s="15"/>
      <c r="L118" s="318"/>
      <c r="M118" s="27">
        <v>168.5</v>
      </c>
      <c r="N118" s="26">
        <f>M118/$B$8/$B$16</f>
        <v>166.89249152166335</v>
      </c>
      <c r="O118" s="31">
        <f>M118/$B$8*$B$7</f>
        <v>193.69053014695788</v>
      </c>
      <c r="P118" s="15"/>
      <c r="S118" s="76"/>
      <c r="T118" s="68" t="s">
        <v>37</v>
      </c>
      <c r="U118" s="7"/>
    </row>
    <row r="119" spans="1:21" ht="9" customHeight="1" x14ac:dyDescent="0.35">
      <c r="A119" s="332"/>
      <c r="B119" s="4" t="s">
        <v>52</v>
      </c>
      <c r="D119" s="34"/>
      <c r="F119" s="135">
        <f>SUMPRODUCT(F116:F118,D116:D118)</f>
        <v>1901.484897467592</v>
      </c>
      <c r="G119" s="136">
        <f>SUMPRODUCT(G116:G118,D116:D118)</f>
        <v>2206.807595110562</v>
      </c>
      <c r="H119" s="15"/>
      <c r="L119" s="318"/>
      <c r="M119" s="4" t="s">
        <v>52</v>
      </c>
      <c r="N119" s="132">
        <f>SUMPRODUCT(N116:N118,D116:D118)</f>
        <v>1746.9731545751322</v>
      </c>
      <c r="O119" s="133">
        <f>SUMPRODUCT(O116:O118,D116:D118)</f>
        <v>2027.485798654031</v>
      </c>
      <c r="P119" s="15"/>
      <c r="S119" s="76"/>
      <c r="T119" s="69" t="s">
        <v>38</v>
      </c>
      <c r="U119" s="7"/>
    </row>
    <row r="120" spans="1:21" ht="9" customHeight="1" x14ac:dyDescent="0.35">
      <c r="A120" s="332"/>
      <c r="B120" s="4" t="s">
        <v>51</v>
      </c>
      <c r="F120" s="95"/>
      <c r="G120" s="86">
        <f>G119/$B$11</f>
        <v>44.136151902211239</v>
      </c>
      <c r="H120" s="16"/>
      <c r="L120" s="319"/>
      <c r="M120" s="4" t="s">
        <v>51</v>
      </c>
      <c r="N120" s="28"/>
      <c r="O120" s="86">
        <f>O119/$B$11</f>
        <v>40.549715973080623</v>
      </c>
      <c r="P120" s="16"/>
      <c r="S120" s="76"/>
      <c r="T120" s="70">
        <f>O120/G120-1</f>
        <v>-8.1258464423377474E-2</v>
      </c>
      <c r="U120" s="7"/>
    </row>
    <row r="121" spans="1:21" ht="10.5" customHeight="1" x14ac:dyDescent="0.35">
      <c r="A121" s="88"/>
      <c r="F121" s="57"/>
      <c r="G121" s="41"/>
      <c r="H121" s="15"/>
      <c r="O121" s="34"/>
      <c r="P121" s="15"/>
      <c r="T121" s="34"/>
    </row>
    <row r="122" spans="1:21" ht="10.5" customHeight="1" x14ac:dyDescent="0.35">
      <c r="A122" s="325" t="s">
        <v>12</v>
      </c>
      <c r="B122" s="24" t="s">
        <v>17</v>
      </c>
      <c r="C122" s="24" t="s">
        <v>43</v>
      </c>
      <c r="D122" s="24" t="s">
        <v>16</v>
      </c>
      <c r="E122" s="24" t="s">
        <v>18</v>
      </c>
      <c r="F122" s="89" t="s">
        <v>21</v>
      </c>
      <c r="G122" s="24" t="s">
        <v>19</v>
      </c>
      <c r="H122" s="15"/>
      <c r="L122" s="317" t="s">
        <v>28</v>
      </c>
      <c r="M122" s="79" t="s">
        <v>50</v>
      </c>
      <c r="N122" s="24" t="s">
        <v>21</v>
      </c>
      <c r="O122" s="24" t="s">
        <v>19</v>
      </c>
      <c r="P122" s="15"/>
    </row>
    <row r="123" spans="1:21" ht="9" customHeight="1" x14ac:dyDescent="0.35">
      <c r="A123" s="326"/>
      <c r="B123" s="2" t="s">
        <v>14</v>
      </c>
      <c r="C123" s="39">
        <v>3</v>
      </c>
      <c r="D123" s="84">
        <f>D116</f>
        <v>3</v>
      </c>
      <c r="E123" s="27">
        <v>469.7</v>
      </c>
      <c r="F123" s="47">
        <f>E123/$C$8/$C$16</f>
        <v>465.21901049095112</v>
      </c>
      <c r="G123" s="51">
        <f>E123/$C$8*$C$7</f>
        <v>527.79158769399805</v>
      </c>
      <c r="H123" s="15"/>
      <c r="L123" s="318"/>
      <c r="M123" s="27">
        <v>427</v>
      </c>
      <c r="N123" s="27">
        <f>M123/$C$8/$C$16</f>
        <v>422.92637317359191</v>
      </c>
      <c r="O123" s="27">
        <f>M123/$C$8*$C$7</f>
        <v>479.81053426727095</v>
      </c>
      <c r="P123" s="15"/>
    </row>
    <row r="124" spans="1:21" ht="9" customHeight="1" x14ac:dyDescent="0.35">
      <c r="A124" s="326"/>
      <c r="B124" s="2" t="s">
        <v>15</v>
      </c>
      <c r="C124" s="39">
        <v>3</v>
      </c>
      <c r="D124" s="84">
        <f>D117</f>
        <v>3</v>
      </c>
      <c r="E124" s="50">
        <v>9.5</v>
      </c>
      <c r="F124" s="47">
        <f>E124/$C$8*$C$10/$C$16</f>
        <v>50.810592374251215</v>
      </c>
      <c r="G124" s="51">
        <f>E124/$C$8*$C$10*$C$7</f>
        <v>57.644684796044501</v>
      </c>
      <c r="H124" s="15"/>
      <c r="L124" s="318"/>
      <c r="M124" s="50">
        <v>9</v>
      </c>
      <c r="N124" s="27">
        <f>M124/$C$8*$C$10/$C$16</f>
        <v>48.136350670343255</v>
      </c>
      <c r="O124" s="27">
        <f>M124/$C$8*$C$10*$C$7</f>
        <v>54.610754017305318</v>
      </c>
      <c r="P124" s="15"/>
      <c r="T124" s="58"/>
    </row>
    <row r="125" spans="1:21" ht="9" customHeight="1" x14ac:dyDescent="0.35">
      <c r="A125" s="326"/>
      <c r="B125" s="2" t="s">
        <v>25</v>
      </c>
      <c r="C125" s="39">
        <v>2</v>
      </c>
      <c r="D125" s="84">
        <f>D118</f>
        <v>2</v>
      </c>
      <c r="E125" s="27">
        <v>178.4</v>
      </c>
      <c r="F125" s="47">
        <f>E125/$C$8/$C$16</f>
        <v>176.69804443599253</v>
      </c>
      <c r="G125" s="51">
        <f>E125/$C$8*$C$7</f>
        <v>200.4641670100261</v>
      </c>
      <c r="H125" s="15"/>
      <c r="L125" s="318"/>
      <c r="M125" s="27">
        <v>168.5</v>
      </c>
      <c r="N125" s="27">
        <f>M125/$C$8/$C$16</f>
        <v>166.89249152166335</v>
      </c>
      <c r="O125" s="27">
        <f>M125/$C$8*$C$7</f>
        <v>189.33975415464911</v>
      </c>
      <c r="P125" s="15"/>
      <c r="S125" s="76"/>
      <c r="T125" s="68" t="s">
        <v>37</v>
      </c>
      <c r="U125" s="7"/>
    </row>
    <row r="126" spans="1:21" ht="9" customHeight="1" x14ac:dyDescent="0.35">
      <c r="A126" s="326"/>
      <c r="B126" s="4" t="s">
        <v>52</v>
      </c>
      <c r="F126" s="135">
        <f>SUMPRODUCT(F123:F125,D123:D125)</f>
        <v>1901.484897467592</v>
      </c>
      <c r="G126" s="136">
        <f>SUMPRODUCT(G123:G125,D123:D125)</f>
        <v>2157.2371514901797</v>
      </c>
      <c r="H126" s="19"/>
      <c r="L126" s="318"/>
      <c r="M126" s="4" t="s">
        <v>52</v>
      </c>
      <c r="N126" s="133">
        <f>SUMPRODUCT(N123:N125,D123:D125)</f>
        <v>1746.9731545751322</v>
      </c>
      <c r="O126" s="133">
        <f>SUMPRODUCT(O123:O125,D123:D125)</f>
        <v>1981.943373163027</v>
      </c>
      <c r="P126" s="19"/>
      <c r="S126" s="76"/>
      <c r="T126" s="69" t="s">
        <v>38</v>
      </c>
      <c r="U126" s="7"/>
    </row>
    <row r="127" spans="1:21" ht="9" customHeight="1" x14ac:dyDescent="0.35">
      <c r="A127" s="326"/>
      <c r="B127" s="4" t="s">
        <v>51</v>
      </c>
      <c r="F127" s="95"/>
      <c r="G127" s="87">
        <f>G126/$C$11</f>
        <v>43.144743029803593</v>
      </c>
      <c r="H127" s="127">
        <f>G127/G120-1</f>
        <v>-2.2462512694904291E-2</v>
      </c>
      <c r="I127" s="62"/>
      <c r="J127" s="20"/>
      <c r="K127" s="14"/>
      <c r="L127" s="318"/>
      <c r="M127" s="118" t="s">
        <v>51</v>
      </c>
      <c r="N127" s="119">
        <f>O127/G120-1</f>
        <v>-0.1364381806053877</v>
      </c>
      <c r="O127" s="122">
        <f>O126/($C$11*$C$13+$C$11)</f>
        <v>38.114295637750516</v>
      </c>
      <c r="P127" s="127">
        <f>O127/O120-1</f>
        <v>-6.0060108360484921E-2</v>
      </c>
      <c r="Q127" s="62"/>
      <c r="R127" s="20"/>
      <c r="S127" s="77"/>
      <c r="T127" s="70">
        <f>O127/G127-1</f>
        <v>-0.11659467733017059</v>
      </c>
      <c r="U127" s="7"/>
    </row>
    <row r="128" spans="1:21" ht="9" customHeight="1" x14ac:dyDescent="0.35">
      <c r="A128" s="326"/>
      <c r="B128" s="112" t="s">
        <v>61</v>
      </c>
      <c r="F128" s="57"/>
      <c r="G128" s="124">
        <f>G119-G126</f>
        <v>49.570443620382321</v>
      </c>
      <c r="H128" s="17"/>
      <c r="L128" s="318"/>
      <c r="M128" s="115" t="s">
        <v>61</v>
      </c>
      <c r="N128" s="34"/>
      <c r="O128" s="130">
        <f>O119-O126</f>
        <v>45.542425491003996</v>
      </c>
      <c r="P128" s="17"/>
      <c r="T128" s="34"/>
    </row>
    <row r="129" spans="1:21" ht="9" customHeight="1" x14ac:dyDescent="0.35">
      <c r="A129" s="327"/>
      <c r="B129" s="112" t="s">
        <v>62</v>
      </c>
      <c r="F129" s="57"/>
      <c r="G129" s="125">
        <f>G120-G127</f>
        <v>0.99140887240764641</v>
      </c>
      <c r="H129" s="17"/>
      <c r="L129" s="319"/>
      <c r="M129" s="115" t="s">
        <v>62</v>
      </c>
      <c r="O129" s="125">
        <f>O120-O127</f>
        <v>2.4354203353301074</v>
      </c>
      <c r="P129" s="17"/>
      <c r="T129" s="34"/>
    </row>
    <row r="130" spans="1:21" ht="10.5" customHeight="1" x14ac:dyDescent="0.35">
      <c r="A130" s="88"/>
      <c r="F130" s="57"/>
      <c r="G130" s="41"/>
      <c r="H130" s="17"/>
      <c r="L130" s="19"/>
      <c r="O130" s="34"/>
      <c r="P130" s="17"/>
      <c r="T130" s="34"/>
    </row>
    <row r="131" spans="1:21" ht="10.5" customHeight="1" x14ac:dyDescent="0.35">
      <c r="A131" s="328" t="s">
        <v>24</v>
      </c>
      <c r="B131" s="24" t="s">
        <v>17</v>
      </c>
      <c r="C131" s="24" t="s">
        <v>43</v>
      </c>
      <c r="D131" s="24" t="s">
        <v>16</v>
      </c>
      <c r="E131" s="24" t="s">
        <v>18</v>
      </c>
      <c r="F131" s="89" t="s">
        <v>21</v>
      </c>
      <c r="G131" s="24" t="s">
        <v>19</v>
      </c>
      <c r="H131" s="15"/>
      <c r="L131" s="317" t="s">
        <v>28</v>
      </c>
      <c r="M131" s="79" t="s">
        <v>50</v>
      </c>
      <c r="N131" s="24" t="s">
        <v>21</v>
      </c>
      <c r="O131" s="24" t="s">
        <v>19</v>
      </c>
      <c r="P131" s="15"/>
    </row>
    <row r="132" spans="1:21" ht="9" customHeight="1" x14ac:dyDescent="0.35">
      <c r="A132" s="328"/>
      <c r="B132" s="2" t="s">
        <v>14</v>
      </c>
      <c r="C132" s="39">
        <v>3</v>
      </c>
      <c r="D132" s="84">
        <f>D116</f>
        <v>3</v>
      </c>
      <c r="E132" s="29">
        <f>469.7/6.1</f>
        <v>77</v>
      </c>
      <c r="F132" s="49">
        <f>E132/$F$8/$F$16</f>
        <v>76.265411555893621</v>
      </c>
      <c r="G132" s="53">
        <f>E132/$F$8*$F$7</f>
        <v>85.280593325092696</v>
      </c>
      <c r="H132" s="15"/>
      <c r="L132" s="318"/>
      <c r="M132" s="29">
        <v>70</v>
      </c>
      <c r="N132" s="29">
        <f>M132/$F$8/$F$16</f>
        <v>69.332192323539658</v>
      </c>
      <c r="O132" s="29">
        <f>M132/$F$8*$F$7</f>
        <v>77.527812113720643</v>
      </c>
      <c r="P132" s="15"/>
    </row>
    <row r="133" spans="1:21" ht="9" customHeight="1" x14ac:dyDescent="0.35">
      <c r="A133" s="328"/>
      <c r="B133" s="2" t="s">
        <v>15</v>
      </c>
      <c r="C133" s="39">
        <v>3</v>
      </c>
      <c r="D133" s="84">
        <f>D117</f>
        <v>3</v>
      </c>
      <c r="E133" s="50">
        <v>9.5</v>
      </c>
      <c r="F133" s="49">
        <f>E133/$F$8/$F$16</f>
        <v>9.4093689581946691</v>
      </c>
      <c r="G133" s="53">
        <f>E133/$F$8*$F$7</f>
        <v>10.521631644004943</v>
      </c>
      <c r="H133" s="15"/>
      <c r="L133" s="318"/>
      <c r="M133" s="50">
        <v>9</v>
      </c>
      <c r="N133" s="29">
        <f>M133/$F$8/$F$16</f>
        <v>8.9141390130265279</v>
      </c>
      <c r="O133" s="29">
        <f>M133/$F$8*$F$7</f>
        <v>9.9678615574783684</v>
      </c>
      <c r="P133" s="15"/>
      <c r="T133" s="58"/>
    </row>
    <row r="134" spans="1:21" ht="9" customHeight="1" x14ac:dyDescent="0.35">
      <c r="A134" s="328"/>
      <c r="B134" s="2" t="s">
        <v>25</v>
      </c>
      <c r="C134" s="39">
        <v>2</v>
      </c>
      <c r="D134" s="84">
        <f>D118</f>
        <v>2</v>
      </c>
      <c r="E134" s="50">
        <v>29.73</v>
      </c>
      <c r="F134" s="49">
        <f>E134/$F$8/$F$16</f>
        <v>29.446372539697631</v>
      </c>
      <c r="G134" s="53">
        <f>E134/$F$8*$F$7</f>
        <v>32.927169344870208</v>
      </c>
      <c r="H134" s="15"/>
      <c r="L134" s="318"/>
      <c r="M134" s="50">
        <v>27.622950819672134</v>
      </c>
      <c r="N134" s="29">
        <f>M134/$F$8/$F$16</f>
        <v>27.359424839616942</v>
      </c>
      <c r="O134" s="29">
        <f>M134/$F$8*$F$7</f>
        <v>30.59352773105838</v>
      </c>
      <c r="P134" s="15"/>
      <c r="S134" s="76"/>
      <c r="T134" s="68" t="s">
        <v>37</v>
      </c>
      <c r="U134" s="7"/>
    </row>
    <row r="135" spans="1:21" ht="9" customHeight="1" x14ac:dyDescent="0.35">
      <c r="A135" s="328"/>
      <c r="B135" s="4" t="s">
        <v>53</v>
      </c>
      <c r="F135" s="135">
        <f>SUMPRODUCT(F132:F134,D132:D134)</f>
        <v>315.91708662166013</v>
      </c>
      <c r="G135" s="136">
        <f>SUMPRODUCT(G132:G134,D132:D134)</f>
        <v>353.26101359703335</v>
      </c>
      <c r="H135" s="15"/>
      <c r="I135" s="19"/>
      <c r="L135" s="318"/>
      <c r="M135" s="4" t="s">
        <v>53</v>
      </c>
      <c r="N135" s="132">
        <f>SUMPRODUCT(N132:N134,D132:D134)</f>
        <v>289.45784368893243</v>
      </c>
      <c r="O135" s="133">
        <f>SUMPRODUCT(O132:O134,D132:D134)</f>
        <v>323.67407647571378</v>
      </c>
      <c r="P135" s="15"/>
      <c r="Q135" s="19"/>
      <c r="S135" s="76"/>
      <c r="T135" s="69" t="s">
        <v>38</v>
      </c>
      <c r="U135" s="7"/>
    </row>
    <row r="136" spans="1:21" ht="9" customHeight="1" x14ac:dyDescent="0.35">
      <c r="A136" s="328"/>
      <c r="B136" s="4" t="s">
        <v>51</v>
      </c>
      <c r="F136" s="95"/>
      <c r="G136" s="86">
        <f>G135/$F$12</f>
        <v>42.561567903257028</v>
      </c>
      <c r="H136" s="61"/>
      <c r="I136" s="127">
        <f>G136/G120-1</f>
        <v>-3.5675606755271372E-2</v>
      </c>
      <c r="J136" s="16"/>
      <c r="L136" s="319"/>
      <c r="M136" s="4" t="s">
        <v>51</v>
      </c>
      <c r="N136" s="28"/>
      <c r="O136" s="86">
        <f>O135/$F$12</f>
        <v>38.996876683820936</v>
      </c>
      <c r="P136" s="61"/>
      <c r="Q136" s="127">
        <f>O136/O120-1</f>
        <v>-3.8294701997186764E-2</v>
      </c>
      <c r="R136" s="16"/>
      <c r="S136" s="76"/>
      <c r="T136" s="70">
        <f>O136/G136-1</f>
        <v>-8.3753757087583813E-2</v>
      </c>
      <c r="U136" s="7"/>
    </row>
    <row r="137" spans="1:21" ht="10.5" customHeight="1" x14ac:dyDescent="0.35">
      <c r="A137" s="88"/>
      <c r="F137" s="57"/>
      <c r="G137" s="41"/>
      <c r="H137" s="15"/>
      <c r="I137" s="17"/>
      <c r="O137" s="34"/>
      <c r="P137" s="15"/>
      <c r="Q137" s="17"/>
      <c r="T137" s="34"/>
    </row>
    <row r="138" spans="1:21" ht="10.5" customHeight="1" x14ac:dyDescent="0.35">
      <c r="A138" s="325" t="s">
        <v>23</v>
      </c>
      <c r="B138" s="24" t="s">
        <v>17</v>
      </c>
      <c r="C138" s="24" t="s">
        <v>43</v>
      </c>
      <c r="D138" s="24" t="s">
        <v>16</v>
      </c>
      <c r="E138" s="24" t="s">
        <v>18</v>
      </c>
      <c r="F138" s="89" t="s">
        <v>21</v>
      </c>
      <c r="G138" s="24" t="s">
        <v>19</v>
      </c>
      <c r="H138" s="15"/>
      <c r="L138" s="317" t="s">
        <v>28</v>
      </c>
      <c r="M138" s="79" t="s">
        <v>50</v>
      </c>
      <c r="N138" s="24" t="s">
        <v>21</v>
      </c>
      <c r="O138" s="24" t="s">
        <v>19</v>
      </c>
      <c r="P138" s="15"/>
    </row>
    <row r="139" spans="1:21" ht="9" customHeight="1" x14ac:dyDescent="0.35">
      <c r="A139" s="326"/>
      <c r="B139" s="2" t="s">
        <v>14</v>
      </c>
      <c r="C139" s="39">
        <v>3</v>
      </c>
      <c r="D139" s="84">
        <f>D116</f>
        <v>3</v>
      </c>
      <c r="E139" s="29">
        <f>469.7/6.1</f>
        <v>77</v>
      </c>
      <c r="F139" s="49">
        <f>E139/$G$8/$G$16</f>
        <v>76.265411555893621</v>
      </c>
      <c r="G139" s="53">
        <f>E139/$G$8*$G$7</f>
        <v>82.795357780524654</v>
      </c>
      <c r="H139" s="15"/>
      <c r="L139" s="318"/>
      <c r="M139" s="29">
        <v>70</v>
      </c>
      <c r="N139" s="29">
        <f>M139/$G$8/$G$16</f>
        <v>69.332192323539658</v>
      </c>
      <c r="O139" s="29">
        <f>M139/$G$8*$G$7</f>
        <v>75.268507073204233</v>
      </c>
      <c r="P139" s="15"/>
    </row>
    <row r="140" spans="1:21" ht="9" customHeight="1" x14ac:dyDescent="0.35">
      <c r="A140" s="326"/>
      <c r="B140" s="2" t="s">
        <v>15</v>
      </c>
      <c r="C140" s="39">
        <v>3</v>
      </c>
      <c r="D140" s="84">
        <f>D117</f>
        <v>3</v>
      </c>
      <c r="E140" s="50">
        <v>9.5</v>
      </c>
      <c r="F140" s="49">
        <f>E140/$G$8/$G$16</f>
        <v>9.4093689581946691</v>
      </c>
      <c r="G140" s="53">
        <f>E140/$G$8*$G$7</f>
        <v>10.215011674220575</v>
      </c>
      <c r="H140" s="15"/>
      <c r="L140" s="318"/>
      <c r="M140" s="50">
        <v>9</v>
      </c>
      <c r="N140" s="29">
        <f>M140/$G$8/$G$16</f>
        <v>8.9141390130265279</v>
      </c>
      <c r="O140" s="29">
        <f>M140/$G$8*$G$7</f>
        <v>9.6773794808405444</v>
      </c>
      <c r="P140" s="15"/>
      <c r="T140" s="58"/>
    </row>
    <row r="141" spans="1:21" ht="9" customHeight="1" x14ac:dyDescent="0.35">
      <c r="A141" s="326"/>
      <c r="B141" s="2" t="s">
        <v>25</v>
      </c>
      <c r="C141" s="39">
        <v>2</v>
      </c>
      <c r="D141" s="84">
        <f>D118</f>
        <v>2</v>
      </c>
      <c r="E141" s="50">
        <v>29.73</v>
      </c>
      <c r="F141" s="49">
        <f>E141/$G$8/$G$16</f>
        <v>29.446372539697631</v>
      </c>
      <c r="G141" s="53">
        <f>E141/$G$8*$G$7</f>
        <v>31.967610218376599</v>
      </c>
      <c r="H141" s="15"/>
      <c r="L141" s="318"/>
      <c r="M141" s="50">
        <v>27.622950819672134</v>
      </c>
      <c r="N141" s="29">
        <f>M141/$G$8/$G$16</f>
        <v>27.359424839616942</v>
      </c>
      <c r="O141" s="29">
        <f>M141/$G$8*$G$7</f>
        <v>29.701975273618064</v>
      </c>
      <c r="P141" s="15"/>
      <c r="S141" s="76"/>
      <c r="T141" s="68" t="s">
        <v>37</v>
      </c>
      <c r="U141" s="7"/>
    </row>
    <row r="142" spans="1:21" ht="9" customHeight="1" x14ac:dyDescent="0.35">
      <c r="A142" s="326"/>
      <c r="B142" s="4" t="s">
        <v>53</v>
      </c>
      <c r="F142" s="135">
        <f>SUMPRODUCT(F139:F141,D139:D141)</f>
        <v>315.91708662166013</v>
      </c>
      <c r="G142" s="136">
        <f>SUMPRODUCT(G139:G141,D139:D141)</f>
        <v>342.96632880098889</v>
      </c>
      <c r="H142" s="15"/>
      <c r="J142" s="19"/>
      <c r="L142" s="318"/>
      <c r="M142" s="4" t="s">
        <v>53</v>
      </c>
      <c r="N142" s="133">
        <f>SUMPRODUCT(N139:N141,D139:D141)</f>
        <v>289.45784368893243</v>
      </c>
      <c r="O142" s="133">
        <f>SUMPRODUCT(O139:O141,D139:D141)</f>
        <v>314.24161020937049</v>
      </c>
      <c r="P142" s="15"/>
      <c r="R142" s="19"/>
      <c r="S142" s="76"/>
      <c r="T142" s="69" t="s">
        <v>38</v>
      </c>
      <c r="U142" s="7"/>
    </row>
    <row r="143" spans="1:21" ht="9" customHeight="1" x14ac:dyDescent="0.35">
      <c r="A143" s="326"/>
      <c r="B143" s="4" t="s">
        <v>51</v>
      </c>
      <c r="F143" s="95"/>
      <c r="G143" s="86">
        <f>G142/$G$12</f>
        <v>41.321244433854076</v>
      </c>
      <c r="H143" s="62"/>
      <c r="I143" s="75"/>
      <c r="J143" s="127">
        <f>G143/G120-1</f>
        <v>-6.3777818115949847E-2</v>
      </c>
      <c r="K143" s="11"/>
      <c r="L143" s="318"/>
      <c r="M143" s="118" t="s">
        <v>51</v>
      </c>
      <c r="N143" s="119">
        <f>O143/G120-1</f>
        <v>-0.17518263780526366</v>
      </c>
      <c r="O143" s="120">
        <f>O142/($G$12*$G$13+$G$12)</f>
        <v>36.40426438940807</v>
      </c>
      <c r="P143" s="62"/>
      <c r="Q143" s="75"/>
      <c r="R143" s="127">
        <f>O143/O120-1</f>
        <v>-0.10223133465163003</v>
      </c>
      <c r="S143" s="11"/>
      <c r="T143" s="70">
        <f>O143/G143-1</f>
        <v>-0.11899399719959969</v>
      </c>
      <c r="U143" s="7"/>
    </row>
    <row r="144" spans="1:21" ht="9" customHeight="1" x14ac:dyDescent="0.35">
      <c r="A144" s="326"/>
      <c r="B144" s="112" t="s">
        <v>61</v>
      </c>
      <c r="F144" s="57"/>
      <c r="G144" s="124">
        <f>G135-G142</f>
        <v>10.294684796044464</v>
      </c>
      <c r="H144" s="17"/>
      <c r="J144" s="17"/>
      <c r="L144" s="318"/>
      <c r="M144" s="115" t="s">
        <v>61</v>
      </c>
      <c r="N144" s="34"/>
      <c r="O144" s="129">
        <f>O135-O142</f>
        <v>9.4324662663432832</v>
      </c>
      <c r="P144" s="15"/>
      <c r="R144" s="17"/>
      <c r="T144" s="34"/>
    </row>
    <row r="145" spans="1:21" ht="9" customHeight="1" x14ac:dyDescent="0.35">
      <c r="A145" s="327"/>
      <c r="B145" s="112" t="s">
        <v>62</v>
      </c>
      <c r="F145" s="57"/>
      <c r="G145" s="125">
        <f>G136-G143</f>
        <v>1.2403234694029521</v>
      </c>
      <c r="H145" s="17"/>
      <c r="J145" s="17"/>
      <c r="L145" s="319"/>
      <c r="M145" s="115" t="s">
        <v>62</v>
      </c>
      <c r="O145" s="125">
        <f>O136-O143</f>
        <v>2.5926122944128664</v>
      </c>
      <c r="P145" s="15"/>
      <c r="R145" s="17"/>
      <c r="T145" s="34"/>
    </row>
    <row r="146" spans="1:21" ht="10.5" customHeight="1" x14ac:dyDescent="0.35">
      <c r="A146" s="88"/>
      <c r="F146" s="57"/>
      <c r="G146" s="39"/>
      <c r="H146" s="15"/>
      <c r="P146" s="15"/>
    </row>
    <row r="147" spans="1:21" ht="10.5" customHeight="1" x14ac:dyDescent="0.35">
      <c r="A147" s="88"/>
      <c r="B147" s="324" t="s">
        <v>34</v>
      </c>
      <c r="C147" s="324"/>
      <c r="D147" s="324"/>
      <c r="E147" s="30">
        <f>$B$3</f>
        <v>46082</v>
      </c>
      <c r="F147" s="89" t="s">
        <v>20</v>
      </c>
      <c r="G147" s="30">
        <f>$B$4</f>
        <v>46270</v>
      </c>
      <c r="H147" s="15"/>
      <c r="M147" s="30">
        <f>$B$3</f>
        <v>46082</v>
      </c>
      <c r="N147" s="24" t="s">
        <v>20</v>
      </c>
      <c r="O147" s="30">
        <f>$B$4</f>
        <v>46270</v>
      </c>
      <c r="P147" s="15"/>
    </row>
    <row r="148" spans="1:21" ht="10.5" customHeight="1" x14ac:dyDescent="0.35">
      <c r="A148" s="332" t="s">
        <v>22</v>
      </c>
      <c r="B148" s="24" t="s">
        <v>17</v>
      </c>
      <c r="C148" s="24" t="s">
        <v>43</v>
      </c>
      <c r="D148" s="98" t="s">
        <v>44</v>
      </c>
      <c r="E148" s="24" t="s">
        <v>18</v>
      </c>
      <c r="F148" s="93">
        <v>0.04</v>
      </c>
      <c r="G148" s="24" t="s">
        <v>19</v>
      </c>
      <c r="H148" s="15"/>
      <c r="L148" s="321" t="s">
        <v>29</v>
      </c>
      <c r="M148" s="80" t="s">
        <v>50</v>
      </c>
      <c r="N148" s="25">
        <v>0.04</v>
      </c>
      <c r="O148" s="24" t="s">
        <v>19</v>
      </c>
      <c r="P148" s="15"/>
    </row>
    <row r="149" spans="1:21" ht="9" customHeight="1" x14ac:dyDescent="0.35">
      <c r="A149" s="332"/>
      <c r="B149" s="2" t="s">
        <v>14</v>
      </c>
      <c r="C149" s="39">
        <v>3</v>
      </c>
      <c r="D149" s="82">
        <v>300</v>
      </c>
      <c r="E149" s="47">
        <v>469.7</v>
      </c>
      <c r="F149" s="94">
        <f>E149/$B$8/$B$16</f>
        <v>465.21901049095112</v>
      </c>
      <c r="G149" s="55">
        <f>E149/$B$8*$B$7</f>
        <v>539.9195371514902</v>
      </c>
      <c r="H149" s="15"/>
      <c r="L149" s="322"/>
      <c r="M149" s="27">
        <v>427</v>
      </c>
      <c r="N149" s="26">
        <f>M149/$B$8/$B$16</f>
        <v>422.92637317359191</v>
      </c>
      <c r="O149" s="31">
        <f>M149/$B$8*$B$7</f>
        <v>490.83594286499107</v>
      </c>
      <c r="P149" s="15"/>
    </row>
    <row r="150" spans="1:21" ht="9" customHeight="1" x14ac:dyDescent="0.35">
      <c r="A150" s="332"/>
      <c r="B150" s="2" t="s">
        <v>27</v>
      </c>
      <c r="C150" s="39">
        <v>1</v>
      </c>
      <c r="D150" s="82">
        <v>100</v>
      </c>
      <c r="E150" s="47">
        <v>113.9</v>
      </c>
      <c r="F150" s="94">
        <f>E150/$B$8/$B$16</f>
        <v>112.8133815093024</v>
      </c>
      <c r="G150" s="55">
        <f>E150/$B$8*$B$7</f>
        <v>130.92790138717211</v>
      </c>
      <c r="H150" s="15"/>
      <c r="L150" s="322"/>
      <c r="M150" s="27">
        <v>103.7</v>
      </c>
      <c r="N150" s="26">
        <f>M150/$B$8/$B$16</f>
        <v>102.71069062787232</v>
      </c>
      <c r="O150" s="31">
        <f>M150/$B$8*$B$7</f>
        <v>119.20301469578355</v>
      </c>
      <c r="P150" s="15"/>
    </row>
    <row r="151" spans="1:21" ht="9" customHeight="1" x14ac:dyDescent="0.35">
      <c r="A151" s="332"/>
      <c r="B151" s="2" t="s">
        <v>15</v>
      </c>
      <c r="C151" s="39">
        <v>3</v>
      </c>
      <c r="D151" s="82">
        <v>300</v>
      </c>
      <c r="E151" s="48">
        <v>9.5</v>
      </c>
      <c r="F151" s="47">
        <f>E151/$B$8*$B$10/$B$16</f>
        <v>50.810592374251215</v>
      </c>
      <c r="G151" s="56">
        <f>E151/$B$8*$B$10*$B$7</f>
        <v>58.96928306551299</v>
      </c>
      <c r="H151" s="15"/>
      <c r="L151" s="322"/>
      <c r="M151" s="50">
        <v>9</v>
      </c>
      <c r="N151" s="27">
        <f>M151/$B$8*$B$10/$B$16</f>
        <v>48.136350670343255</v>
      </c>
      <c r="O151" s="32">
        <f>M151/$B$8*$B$10*$B$7</f>
        <v>55.865636588380724</v>
      </c>
      <c r="P151" s="15"/>
      <c r="T151" s="58"/>
    </row>
    <row r="152" spans="1:21" ht="9" customHeight="1" x14ac:dyDescent="0.35">
      <c r="A152" s="332"/>
      <c r="B152" s="2" t="s">
        <v>25</v>
      </c>
      <c r="C152" s="39">
        <v>2</v>
      </c>
      <c r="D152" s="82">
        <v>200</v>
      </c>
      <c r="E152" s="48">
        <v>178.4</v>
      </c>
      <c r="F152" s="94">
        <f>E152/$B$8/$B$16</f>
        <v>176.69804443599253</v>
      </c>
      <c r="G152" s="55">
        <f>E152/$B$8*$B$7</f>
        <v>205.07056722977615</v>
      </c>
      <c r="H152" s="15"/>
      <c r="L152" s="322"/>
      <c r="M152" s="27">
        <v>168.5</v>
      </c>
      <c r="N152" s="26">
        <f>M152/$B$8/$B$16</f>
        <v>166.89249152166335</v>
      </c>
      <c r="O152" s="31">
        <f>M152/$B$8*$B$7</f>
        <v>193.69053014695788</v>
      </c>
      <c r="P152" s="15"/>
      <c r="S152" s="76"/>
      <c r="T152" s="68" t="s">
        <v>37</v>
      </c>
      <c r="U152" s="7"/>
    </row>
    <row r="153" spans="1:21" ht="9" customHeight="1" x14ac:dyDescent="0.35">
      <c r="A153" s="332"/>
      <c r="B153" s="4" t="s">
        <v>52</v>
      </c>
      <c r="D153" s="34"/>
      <c r="F153" s="135">
        <f>SUMPRODUCT(F149:F152,D149:D152)</f>
        <v>201429.82789768942</v>
      </c>
      <c r="G153" s="136">
        <f>SUMPRODUCT(G149:G152,D149:D152)</f>
        <v>233773.5496497734</v>
      </c>
      <c r="H153" s="15"/>
      <c r="L153" s="322"/>
      <c r="M153" s="4" t="s">
        <v>52</v>
      </c>
      <c r="N153" s="132">
        <f>SUMPRODUCT(N149:N152,D149:D152)</f>
        <v>184968.38452030046</v>
      </c>
      <c r="O153" s="133">
        <f>SUMPRODUCT(O149:O152,D149:D152)</f>
        <v>214668.88133498147</v>
      </c>
      <c r="P153" s="15"/>
      <c r="S153" s="76"/>
      <c r="T153" s="69" t="s">
        <v>38</v>
      </c>
      <c r="U153" s="7"/>
    </row>
    <row r="154" spans="1:21" ht="9" customHeight="1" x14ac:dyDescent="0.35">
      <c r="A154" s="332"/>
      <c r="B154" s="4" t="s">
        <v>51</v>
      </c>
      <c r="F154" s="95"/>
      <c r="G154" s="86">
        <f>G153/$B$11</f>
        <v>4675.4709929954679</v>
      </c>
      <c r="H154" s="16"/>
      <c r="L154" s="323"/>
      <c r="M154" s="4" t="s">
        <v>51</v>
      </c>
      <c r="N154" s="28"/>
      <c r="O154" s="86">
        <f>O153/$B$11</f>
        <v>4293.3776266996292</v>
      </c>
      <c r="P154" s="16"/>
      <c r="S154" s="76"/>
      <c r="T154" s="70">
        <f>O154/G154-1</f>
        <v>-8.1722967989378947E-2</v>
      </c>
      <c r="U154" s="7"/>
    </row>
    <row r="155" spans="1:21" ht="10.5" customHeight="1" x14ac:dyDescent="0.35">
      <c r="A155" s="88"/>
      <c r="F155" s="57"/>
      <c r="G155" s="41"/>
      <c r="H155" s="15"/>
      <c r="O155" s="34"/>
      <c r="P155" s="15"/>
      <c r="T155" s="34"/>
    </row>
    <row r="156" spans="1:21" ht="10.5" customHeight="1" x14ac:dyDescent="0.35">
      <c r="A156" s="325" t="s">
        <v>12</v>
      </c>
      <c r="B156" s="24" t="s">
        <v>17</v>
      </c>
      <c r="C156" s="24" t="s">
        <v>43</v>
      </c>
      <c r="D156" s="24" t="s">
        <v>16</v>
      </c>
      <c r="E156" s="24" t="s">
        <v>18</v>
      </c>
      <c r="F156" s="89" t="s">
        <v>21</v>
      </c>
      <c r="G156" s="24" t="s">
        <v>19</v>
      </c>
      <c r="H156" s="15"/>
      <c r="L156" s="321" t="s">
        <v>29</v>
      </c>
      <c r="M156" s="80" t="s">
        <v>50</v>
      </c>
      <c r="N156" s="101" t="s">
        <v>21</v>
      </c>
      <c r="O156" s="101" t="s">
        <v>19</v>
      </c>
      <c r="P156" s="15"/>
    </row>
    <row r="157" spans="1:21" ht="9" customHeight="1" x14ac:dyDescent="0.35">
      <c r="A157" s="326"/>
      <c r="B157" s="2" t="s">
        <v>14</v>
      </c>
      <c r="C157" s="39">
        <v>3</v>
      </c>
      <c r="D157" s="84">
        <f>D149</f>
        <v>300</v>
      </c>
      <c r="E157" s="27">
        <v>469.7</v>
      </c>
      <c r="F157" s="47">
        <f>E157/$C$8/$C$16</f>
        <v>465.21901049095112</v>
      </c>
      <c r="G157" s="51">
        <f>E157/$C$8*$C$7</f>
        <v>527.79158769399805</v>
      </c>
      <c r="H157" s="15"/>
      <c r="L157" s="322"/>
      <c r="M157" s="27">
        <v>427</v>
      </c>
      <c r="N157" s="27">
        <f>M157/$C$8/$C$16</f>
        <v>422.92637317359191</v>
      </c>
      <c r="O157" s="27">
        <f>M157/$C$8*$C$7</f>
        <v>479.81053426727095</v>
      </c>
      <c r="P157" s="15"/>
    </row>
    <row r="158" spans="1:21" ht="9" customHeight="1" x14ac:dyDescent="0.35">
      <c r="A158" s="326"/>
      <c r="B158" s="2" t="s">
        <v>27</v>
      </c>
      <c r="C158" s="39">
        <v>1</v>
      </c>
      <c r="D158" s="84">
        <f t="shared" ref="D158:D160" si="1">D150</f>
        <v>100</v>
      </c>
      <c r="E158" s="27">
        <v>113.9</v>
      </c>
      <c r="F158" s="47">
        <f>E158/$C$8/$C$16</f>
        <v>112.8133815093024</v>
      </c>
      <c r="G158" s="51">
        <f>E158/$C$8*$C$7</f>
        <v>127.98693174014559</v>
      </c>
      <c r="H158" s="15"/>
      <c r="L158" s="322"/>
      <c r="M158" s="27">
        <v>103.7</v>
      </c>
      <c r="N158" s="27">
        <f>M158/$C$8/$C$16</f>
        <v>102.71069062787232</v>
      </c>
      <c r="O158" s="27">
        <f>M158/$C$8*$C$7</f>
        <v>116.52541546490866</v>
      </c>
      <c r="P158" s="15"/>
    </row>
    <row r="159" spans="1:21" ht="9" customHeight="1" x14ac:dyDescent="0.35">
      <c r="A159" s="326"/>
      <c r="B159" s="2" t="s">
        <v>15</v>
      </c>
      <c r="C159" s="39">
        <v>3</v>
      </c>
      <c r="D159" s="84">
        <f t="shared" si="1"/>
        <v>300</v>
      </c>
      <c r="E159" s="50">
        <v>9.5</v>
      </c>
      <c r="F159" s="47">
        <f>E159/$C$8*$C$10/$C$16</f>
        <v>50.810592374251215</v>
      </c>
      <c r="G159" s="51">
        <f>E159/$C$8*$C$10*$C$7</f>
        <v>57.644684796044501</v>
      </c>
      <c r="H159" s="15"/>
      <c r="L159" s="322"/>
      <c r="M159" s="50">
        <v>9</v>
      </c>
      <c r="N159" s="27">
        <f>M159/$C$8*$C$10/$C$16</f>
        <v>48.136350670343255</v>
      </c>
      <c r="O159" s="27">
        <f>M159/$C$8*$C$10*$C$7</f>
        <v>54.610754017305318</v>
      </c>
      <c r="P159" s="15"/>
      <c r="T159" s="58"/>
    </row>
    <row r="160" spans="1:21" ht="9" customHeight="1" x14ac:dyDescent="0.35">
      <c r="A160" s="326"/>
      <c r="B160" s="2" t="s">
        <v>25</v>
      </c>
      <c r="C160" s="39">
        <v>2</v>
      </c>
      <c r="D160" s="84">
        <f t="shared" si="1"/>
        <v>200</v>
      </c>
      <c r="E160" s="27">
        <v>178.4</v>
      </c>
      <c r="F160" s="47">
        <f>E160/$C$8/$C$16</f>
        <v>176.69804443599253</v>
      </c>
      <c r="G160" s="51">
        <f>E160/$C$8*$C$7</f>
        <v>200.4641670100261</v>
      </c>
      <c r="H160" s="15"/>
      <c r="L160" s="322"/>
      <c r="M160" s="27">
        <v>168.5</v>
      </c>
      <c r="N160" s="27">
        <f>M160/$C$8/$C$16</f>
        <v>166.89249152166335</v>
      </c>
      <c r="O160" s="27">
        <f>M160/$C$8*$C$7</f>
        <v>189.33975415464911</v>
      </c>
      <c r="P160" s="15"/>
      <c r="S160" s="76"/>
      <c r="T160" s="68" t="s">
        <v>37</v>
      </c>
      <c r="U160" s="7"/>
    </row>
    <row r="161" spans="1:21" ht="9" customHeight="1" x14ac:dyDescent="0.35">
      <c r="A161" s="326"/>
      <c r="B161" s="4" t="s">
        <v>52</v>
      </c>
      <c r="F161" s="135">
        <f>SUMPRODUCT(F157:F160,D157:D160)</f>
        <v>201429.82789768942</v>
      </c>
      <c r="G161" s="136">
        <f>SUMPRODUCT(G157:G160,D157:D160)</f>
        <v>228522.40832303255</v>
      </c>
      <c r="H161" s="19"/>
      <c r="L161" s="322"/>
      <c r="M161" s="4" t="s">
        <v>52</v>
      </c>
      <c r="N161" s="133">
        <f>SUMPRODUCT(N157:N160,D157:D160)</f>
        <v>184968.38452030046</v>
      </c>
      <c r="O161" s="133">
        <f>SUMPRODUCT(O157:O160,D157:D160)</f>
        <v>209846.87886279359</v>
      </c>
      <c r="P161" s="19"/>
      <c r="S161" s="76"/>
      <c r="T161" s="69" t="s">
        <v>38</v>
      </c>
      <c r="U161" s="7"/>
    </row>
    <row r="162" spans="1:21" ht="9" customHeight="1" x14ac:dyDescent="0.35">
      <c r="A162" s="326"/>
      <c r="B162" s="4" t="s">
        <v>51</v>
      </c>
      <c r="F162" s="95"/>
      <c r="G162" s="87">
        <f>G161/$C$11</f>
        <v>4570.448166460651</v>
      </c>
      <c r="H162" s="128">
        <f>G162/G154-1</f>
        <v>-2.246251269490418E-2</v>
      </c>
      <c r="I162" s="62"/>
      <c r="J162" s="20"/>
      <c r="K162" s="14"/>
      <c r="L162" s="322"/>
      <c r="M162" s="118" t="s">
        <v>51</v>
      </c>
      <c r="N162" s="119">
        <f>O162/G154-1</f>
        <v>-0.13687478603688119</v>
      </c>
      <c r="O162" s="122">
        <f>O161/($C$11*$C$13+$C$11)</f>
        <v>4035.5169012075689</v>
      </c>
      <c r="P162" s="128">
        <f>O162/O154-1</f>
        <v>-6.0060108360484699E-2</v>
      </c>
      <c r="Q162" s="62"/>
      <c r="R162" s="20"/>
      <c r="S162" s="77"/>
      <c r="T162" s="70">
        <f>O162/G162-1</f>
        <v>-0.11704131537440277</v>
      </c>
      <c r="U162" s="7"/>
    </row>
    <row r="163" spans="1:21" ht="9" customHeight="1" x14ac:dyDescent="0.35">
      <c r="A163" s="326"/>
      <c r="B163" s="112" t="s">
        <v>61</v>
      </c>
      <c r="F163" s="57"/>
      <c r="G163" s="124">
        <f>G153-G161</f>
        <v>5251.1413267408498</v>
      </c>
      <c r="H163" s="17"/>
      <c r="L163" s="322"/>
      <c r="M163" s="115" t="s">
        <v>61</v>
      </c>
      <c r="N163" s="34"/>
      <c r="O163" s="129">
        <f>O153-O161</f>
        <v>4822.0024721878872</v>
      </c>
      <c r="P163" s="17"/>
      <c r="T163" s="34"/>
    </row>
    <row r="164" spans="1:21" ht="9" customHeight="1" x14ac:dyDescent="0.35">
      <c r="A164" s="327"/>
      <c r="B164" s="112" t="s">
        <v>62</v>
      </c>
      <c r="F164" s="57"/>
      <c r="G164" s="125">
        <f>G154-G162</f>
        <v>105.02282653481689</v>
      </c>
      <c r="H164" s="17"/>
      <c r="L164" s="323"/>
      <c r="M164" s="115" t="s">
        <v>62</v>
      </c>
      <c r="O164" s="125">
        <f>O154-O162</f>
        <v>257.86072549206028</v>
      </c>
      <c r="P164" s="17"/>
      <c r="T164" s="34"/>
    </row>
    <row r="165" spans="1:21" ht="10.5" customHeight="1" x14ac:dyDescent="0.35">
      <c r="A165" s="88"/>
      <c r="F165" s="57"/>
      <c r="G165" s="41"/>
      <c r="H165" s="17"/>
      <c r="L165" s="19"/>
      <c r="O165" s="107"/>
      <c r="P165" s="17"/>
      <c r="T165" s="34"/>
    </row>
    <row r="166" spans="1:21" ht="10.5" customHeight="1" x14ac:dyDescent="0.35">
      <c r="A166" s="328" t="s">
        <v>24</v>
      </c>
      <c r="B166" s="24" t="s">
        <v>17</v>
      </c>
      <c r="C166" s="24" t="s">
        <v>43</v>
      </c>
      <c r="D166" s="24" t="s">
        <v>16</v>
      </c>
      <c r="E166" s="24" t="s">
        <v>18</v>
      </c>
      <c r="F166" s="89" t="s">
        <v>21</v>
      </c>
      <c r="G166" s="24" t="s">
        <v>19</v>
      </c>
      <c r="H166" s="15"/>
      <c r="L166" s="321" t="s">
        <v>29</v>
      </c>
      <c r="M166" s="80" t="s">
        <v>50</v>
      </c>
      <c r="N166" s="101" t="s">
        <v>21</v>
      </c>
      <c r="O166" s="101" t="s">
        <v>19</v>
      </c>
      <c r="P166" s="15"/>
    </row>
    <row r="167" spans="1:21" ht="9" customHeight="1" x14ac:dyDescent="0.35">
      <c r="A167" s="328"/>
      <c r="B167" s="2" t="s">
        <v>14</v>
      </c>
      <c r="C167" s="39">
        <v>3</v>
      </c>
      <c r="D167" s="84">
        <f>D149</f>
        <v>300</v>
      </c>
      <c r="E167" s="29">
        <f>469.7/6.1</f>
        <v>77</v>
      </c>
      <c r="F167" s="49">
        <f>E167/$F$8/$F$16</f>
        <v>76.265411555893621</v>
      </c>
      <c r="G167" s="53">
        <f>E167/$F$8*$F$7</f>
        <v>85.280593325092696</v>
      </c>
      <c r="H167" s="15"/>
      <c r="L167" s="322"/>
      <c r="M167" s="29">
        <v>70</v>
      </c>
      <c r="N167" s="29">
        <f>M167/$F$8/$F$16</f>
        <v>69.332192323539658</v>
      </c>
      <c r="O167" s="29">
        <f>M167/$F$8*$F$7</f>
        <v>77.527812113720643</v>
      </c>
      <c r="P167" s="15"/>
    </row>
    <row r="168" spans="1:21" ht="9" customHeight="1" x14ac:dyDescent="0.35">
      <c r="A168" s="328"/>
      <c r="B168" s="2" t="s">
        <v>27</v>
      </c>
      <c r="C168" s="39">
        <v>1</v>
      </c>
      <c r="D168" s="84">
        <f t="shared" ref="D168:D170" si="2">D150</f>
        <v>100</v>
      </c>
      <c r="E168" s="29">
        <v>18.670000000000002</v>
      </c>
      <c r="F168" s="49">
        <f>E168/$F$8/$F$16</f>
        <v>18.491886152578367</v>
      </c>
      <c r="G168" s="53">
        <f>E168/$F$8*$F$7</f>
        <v>20.67777503090235</v>
      </c>
      <c r="H168" s="15"/>
      <c r="L168" s="322"/>
      <c r="M168" s="29">
        <v>17</v>
      </c>
      <c r="N168" s="29">
        <f>M168/$F$8/$F$16</f>
        <v>16.837818135716773</v>
      </c>
      <c r="O168" s="29">
        <f>M168/$F$8*$F$7</f>
        <v>18.828182941903581</v>
      </c>
      <c r="P168" s="15"/>
    </row>
    <row r="169" spans="1:21" ht="9" customHeight="1" x14ac:dyDescent="0.35">
      <c r="A169" s="328"/>
      <c r="B169" s="2" t="s">
        <v>15</v>
      </c>
      <c r="C169" s="39">
        <v>3</v>
      </c>
      <c r="D169" s="84">
        <f t="shared" si="2"/>
        <v>300</v>
      </c>
      <c r="E169" s="50">
        <v>9.5</v>
      </c>
      <c r="F169" s="49">
        <f>E169/$F$8/$F$16</f>
        <v>9.4093689581946691</v>
      </c>
      <c r="G169" s="53">
        <f>E169/$F$8*$F$7</f>
        <v>10.521631644004943</v>
      </c>
      <c r="H169" s="15"/>
      <c r="L169" s="322"/>
      <c r="M169" s="50">
        <v>9</v>
      </c>
      <c r="N169" s="29">
        <f>M169/$F$8/$F$16</f>
        <v>8.9141390130265279</v>
      </c>
      <c r="O169" s="29">
        <f>M169/$F$8*$F$7</f>
        <v>9.9678615574783684</v>
      </c>
      <c r="P169" s="15"/>
      <c r="T169" s="58"/>
    </row>
    <row r="170" spans="1:21" ht="9" customHeight="1" x14ac:dyDescent="0.35">
      <c r="A170" s="328"/>
      <c r="B170" s="2" t="s">
        <v>25</v>
      </c>
      <c r="C170" s="39">
        <v>2</v>
      </c>
      <c r="D170" s="84">
        <f t="shared" si="2"/>
        <v>200</v>
      </c>
      <c r="E170" s="50">
        <v>29.73</v>
      </c>
      <c r="F170" s="49">
        <f>E170/$F$8/$F$16</f>
        <v>29.446372539697631</v>
      </c>
      <c r="G170" s="53">
        <f>E170/$F$8*$F$7</f>
        <v>32.927169344870208</v>
      </c>
      <c r="H170" s="15"/>
      <c r="L170" s="322"/>
      <c r="M170" s="50">
        <v>27.622950819672134</v>
      </c>
      <c r="N170" s="29">
        <f>M170/$F$8/$F$16</f>
        <v>27.359424839616942</v>
      </c>
      <c r="O170" s="29">
        <f>M170/$F$8*$F$7</f>
        <v>30.59352773105838</v>
      </c>
      <c r="P170" s="15"/>
      <c r="S170" s="76"/>
      <c r="T170" s="68" t="s">
        <v>37</v>
      </c>
      <c r="U170" s="7"/>
    </row>
    <row r="171" spans="1:21" ht="9" customHeight="1" x14ac:dyDescent="0.35">
      <c r="A171" s="328"/>
      <c r="B171" s="4" t="s">
        <v>53</v>
      </c>
      <c r="F171" s="135">
        <f>SUMPRODUCT(F167:F170,D167:D170)</f>
        <v>33440.89727742385</v>
      </c>
      <c r="G171" s="136">
        <f>SUMPRODUCT(G167:G170,D167:D170)</f>
        <v>37393.878862793565</v>
      </c>
      <c r="H171" s="15"/>
      <c r="I171" s="19"/>
      <c r="L171" s="322"/>
      <c r="M171" s="4" t="s">
        <v>53</v>
      </c>
      <c r="N171" s="132">
        <f>SUMPRODUCT(N167:N170,D167:D170)</f>
        <v>30629.566182464921</v>
      </c>
      <c r="O171" s="133">
        <f>SUMPRODUCT(O167:O170,D167:D170)</f>
        <v>34250.225941761739</v>
      </c>
      <c r="P171" s="15"/>
      <c r="Q171" s="19"/>
      <c r="S171" s="76"/>
      <c r="T171" s="69" t="s">
        <v>38</v>
      </c>
      <c r="U171" s="7"/>
    </row>
    <row r="172" spans="1:21" ht="9" customHeight="1" x14ac:dyDescent="0.35">
      <c r="A172" s="328"/>
      <c r="B172" s="4" t="s">
        <v>51</v>
      </c>
      <c r="F172" s="95"/>
      <c r="G172" s="86">
        <f>G171/$F$12</f>
        <v>4505.2866099751282</v>
      </c>
      <c r="H172" s="61"/>
      <c r="I172" s="128">
        <f>G172/G154-1</f>
        <v>-3.6399409444588748E-2</v>
      </c>
      <c r="J172" s="16"/>
      <c r="L172" s="323"/>
      <c r="M172" s="4" t="s">
        <v>51</v>
      </c>
      <c r="N172" s="28"/>
      <c r="O172" s="86">
        <f>O171/$F$12</f>
        <v>4126.5332459953897</v>
      </c>
      <c r="P172" s="61"/>
      <c r="Q172" s="128">
        <f>O172/O154-1</f>
        <v>-3.8860867878629857E-2</v>
      </c>
      <c r="R172" s="16"/>
      <c r="S172" s="76"/>
      <c r="T172" s="70">
        <f>O172/G172-1</f>
        <v>-8.4068650181132298E-2</v>
      </c>
      <c r="U172" s="7"/>
    </row>
    <row r="173" spans="1:21" ht="10.5" customHeight="1" x14ac:dyDescent="0.35">
      <c r="A173" s="88"/>
      <c r="F173" s="57"/>
      <c r="G173" s="41"/>
      <c r="H173" s="15"/>
      <c r="I173" s="17"/>
      <c r="O173" s="34"/>
      <c r="P173" s="15"/>
      <c r="Q173" s="17"/>
      <c r="T173" s="34"/>
    </row>
    <row r="174" spans="1:21" ht="10.5" customHeight="1" x14ac:dyDescent="0.35">
      <c r="A174" s="325" t="s">
        <v>23</v>
      </c>
      <c r="B174" s="24" t="s">
        <v>17</v>
      </c>
      <c r="C174" s="24" t="s">
        <v>43</v>
      </c>
      <c r="D174" s="24" t="s">
        <v>16</v>
      </c>
      <c r="E174" s="24" t="s">
        <v>18</v>
      </c>
      <c r="F174" s="89" t="s">
        <v>21</v>
      </c>
      <c r="G174" s="24" t="s">
        <v>19</v>
      </c>
      <c r="H174" s="15"/>
      <c r="L174" s="321" t="s">
        <v>29</v>
      </c>
      <c r="M174" s="80" t="s">
        <v>50</v>
      </c>
      <c r="N174" s="101" t="s">
        <v>21</v>
      </c>
      <c r="O174" s="101" t="s">
        <v>19</v>
      </c>
      <c r="P174" s="15"/>
    </row>
    <row r="175" spans="1:21" ht="9" customHeight="1" x14ac:dyDescent="0.35">
      <c r="A175" s="326"/>
      <c r="B175" s="2" t="s">
        <v>14</v>
      </c>
      <c r="C175" s="39">
        <v>3</v>
      </c>
      <c r="D175" s="84">
        <f>D149</f>
        <v>300</v>
      </c>
      <c r="E175" s="29">
        <f>469.7/6.1</f>
        <v>77</v>
      </c>
      <c r="F175" s="49">
        <f>E175/$G$8/$G$16</f>
        <v>76.265411555893621</v>
      </c>
      <c r="G175" s="53">
        <f>E175/$G$8*$G$7</f>
        <v>82.795357780524654</v>
      </c>
      <c r="H175" s="15"/>
      <c r="L175" s="322"/>
      <c r="M175" s="29">
        <v>70</v>
      </c>
      <c r="N175" s="29">
        <f>M175/$G$8/$G$16</f>
        <v>69.332192323539658</v>
      </c>
      <c r="O175" s="29">
        <f>M175/$G$8*$G$7</f>
        <v>75.268507073204233</v>
      </c>
      <c r="P175" s="15"/>
    </row>
    <row r="176" spans="1:21" ht="9" customHeight="1" x14ac:dyDescent="0.35">
      <c r="A176" s="326"/>
      <c r="B176" s="2" t="s">
        <v>27</v>
      </c>
      <c r="C176" s="39">
        <v>1</v>
      </c>
      <c r="D176" s="84">
        <f t="shared" ref="D176:D178" si="3">D150</f>
        <v>100</v>
      </c>
      <c r="E176" s="29">
        <v>18.670000000000002</v>
      </c>
      <c r="F176" s="49">
        <f>E176/$G$8/$G$16</f>
        <v>18.491886152578367</v>
      </c>
      <c r="G176" s="53">
        <f>E176/$G$8*$G$7</f>
        <v>20.075186100810331</v>
      </c>
      <c r="H176" s="15"/>
      <c r="L176" s="322"/>
      <c r="M176" s="29">
        <v>17</v>
      </c>
      <c r="N176" s="29">
        <f>M176/$G$8/$G$16</f>
        <v>16.837818135716773</v>
      </c>
      <c r="O176" s="29">
        <f>M176/$G$8*$G$7</f>
        <v>18.279494574921028</v>
      </c>
      <c r="P176" s="15"/>
    </row>
    <row r="177" spans="1:21" ht="9" customHeight="1" x14ac:dyDescent="0.35">
      <c r="A177" s="326"/>
      <c r="B177" s="2" t="s">
        <v>15</v>
      </c>
      <c r="C177" s="39">
        <v>3</v>
      </c>
      <c r="D177" s="84">
        <f t="shared" si="3"/>
        <v>300</v>
      </c>
      <c r="E177" s="50">
        <v>9.5</v>
      </c>
      <c r="F177" s="49">
        <f>E177/$G$8/$G$16</f>
        <v>9.4093689581946691</v>
      </c>
      <c r="G177" s="53">
        <f>E177/$G$8*$G$7</f>
        <v>10.215011674220575</v>
      </c>
      <c r="H177" s="15"/>
      <c r="L177" s="322"/>
      <c r="M177" s="50">
        <v>9</v>
      </c>
      <c r="N177" s="29">
        <f>M177/$G$8/$G$16</f>
        <v>8.9141390130265279</v>
      </c>
      <c r="O177" s="29">
        <f>M177/$G$8*$G$7</f>
        <v>9.6773794808405444</v>
      </c>
      <c r="P177" s="15"/>
      <c r="T177" s="58"/>
    </row>
    <row r="178" spans="1:21" ht="9" customHeight="1" x14ac:dyDescent="0.35">
      <c r="A178" s="326"/>
      <c r="B178" s="2" t="s">
        <v>25</v>
      </c>
      <c r="C178" s="39">
        <v>2</v>
      </c>
      <c r="D178" s="84">
        <f t="shared" si="3"/>
        <v>200</v>
      </c>
      <c r="E178" s="50">
        <v>29.73</v>
      </c>
      <c r="F178" s="49">
        <f>E178/$G$8/$G$16</f>
        <v>29.446372539697631</v>
      </c>
      <c r="G178" s="53">
        <f>E178/$G$8*$G$7</f>
        <v>31.967610218376599</v>
      </c>
      <c r="H178" s="15"/>
      <c r="L178" s="322"/>
      <c r="M178" s="50">
        <v>27.622950819672134</v>
      </c>
      <c r="N178" s="29">
        <f>M178/$G$8/$G$16</f>
        <v>27.359424839616942</v>
      </c>
      <c r="O178" s="29">
        <f>M178/$G$8*$G$7</f>
        <v>29.701975273618064</v>
      </c>
      <c r="P178" s="15"/>
      <c r="S178" s="76"/>
      <c r="T178" s="68" t="s">
        <v>37</v>
      </c>
      <c r="U178" s="7"/>
    </row>
    <row r="179" spans="1:21" ht="9" customHeight="1" x14ac:dyDescent="0.35">
      <c r="A179" s="326"/>
      <c r="B179" s="4" t="s">
        <v>53</v>
      </c>
      <c r="F179" s="135">
        <f>SUMPRODUCT(F175:F178,D175:D178)</f>
        <v>33440.89727742385</v>
      </c>
      <c r="G179" s="136">
        <f>SUMPRODUCT(G175:G178,D175:D178)</f>
        <v>36304.151490179924</v>
      </c>
      <c r="H179" s="15"/>
      <c r="J179" s="19"/>
      <c r="L179" s="322"/>
      <c r="M179" s="4" t="s">
        <v>53</v>
      </c>
      <c r="N179" s="133">
        <f>SUMPRODUCT(N175:N178,D175:D178)</f>
        <v>30629.566182464921</v>
      </c>
      <c r="O179" s="133">
        <f>SUMPRODUCT(O175:O178,D175:D178)</f>
        <v>33252.110478429153</v>
      </c>
      <c r="P179" s="15"/>
      <c r="R179" s="19"/>
      <c r="S179" s="76"/>
      <c r="T179" s="69" t="s">
        <v>38</v>
      </c>
      <c r="U179" s="7"/>
    </row>
    <row r="180" spans="1:21" ht="9" customHeight="1" x14ac:dyDescent="0.35">
      <c r="A180" s="326"/>
      <c r="B180" s="4" t="s">
        <v>51</v>
      </c>
      <c r="F180" s="95"/>
      <c r="G180" s="86">
        <f>G179/$G$12</f>
        <v>4373.9941554433635</v>
      </c>
      <c r="H180" s="62"/>
      <c r="I180" s="75"/>
      <c r="J180" s="128">
        <f>G180/G154-1</f>
        <v>-6.4480527844950841E-2</v>
      </c>
      <c r="K180" s="11"/>
      <c r="L180" s="322"/>
      <c r="M180" s="118" t="s">
        <v>51</v>
      </c>
      <c r="N180" s="119">
        <f>O180/G154-1</f>
        <v>-0.17608498758383773</v>
      </c>
      <c r="O180" s="120">
        <f>O179/($G$12*$G$13+$G$12)</f>
        <v>3852.1907412452674</v>
      </c>
      <c r="P180" s="62"/>
      <c r="Q180" s="75"/>
      <c r="R180" s="128">
        <f>O180/O154-1</f>
        <v>-0.10275986037443141</v>
      </c>
      <c r="S180" s="11"/>
      <c r="T180" s="70">
        <f>O180/G180-1</f>
        <v>-0.11929677902031954</v>
      </c>
      <c r="U180" s="7"/>
    </row>
    <row r="181" spans="1:21" ht="9" customHeight="1" x14ac:dyDescent="0.35">
      <c r="A181" s="326"/>
      <c r="B181" s="112" t="s">
        <v>61</v>
      </c>
      <c r="F181" s="57"/>
      <c r="G181" s="124">
        <f>G171-G179</f>
        <v>1089.7273726136409</v>
      </c>
      <c r="H181" s="15"/>
      <c r="J181" s="17"/>
      <c r="L181" s="322"/>
      <c r="M181" s="115" t="s">
        <v>61</v>
      </c>
      <c r="N181" s="34"/>
      <c r="O181" s="129">
        <f>O171-O179</f>
        <v>998.11546333258593</v>
      </c>
      <c r="P181" s="15"/>
      <c r="R181" s="17"/>
      <c r="T181" s="34"/>
    </row>
    <row r="182" spans="1:21" ht="9" customHeight="1" x14ac:dyDescent="0.35">
      <c r="A182" s="327"/>
      <c r="B182" s="112" t="s">
        <v>62</v>
      </c>
      <c r="F182" s="57"/>
      <c r="G182" s="125">
        <f>G172-G180</f>
        <v>131.29245453176463</v>
      </c>
      <c r="H182" s="34"/>
      <c r="I182" s="17"/>
      <c r="J182" s="17"/>
      <c r="K182" s="12"/>
      <c r="L182" s="323"/>
      <c r="M182" s="115" t="s">
        <v>62</v>
      </c>
      <c r="O182" s="125">
        <f>O172-O180</f>
        <v>274.34250475012232</v>
      </c>
      <c r="P182" s="34"/>
      <c r="Q182" s="17"/>
      <c r="R182" s="17"/>
      <c r="S182" s="12"/>
    </row>
    <row r="183" spans="1:21" ht="10.5" customHeight="1" x14ac:dyDescent="0.35">
      <c r="A183" s="22"/>
      <c r="O183" s="117"/>
    </row>
    <row r="184" spans="1:21" ht="10.5" customHeight="1" x14ac:dyDescent="0.35"/>
    <row r="185" spans="1:21" ht="10.5" customHeight="1" x14ac:dyDescent="0.35"/>
    <row r="186" spans="1:21" ht="10.5" customHeight="1" x14ac:dyDescent="0.35"/>
    <row r="187" spans="1:21" ht="10.5" customHeight="1" x14ac:dyDescent="0.35"/>
    <row r="188" spans="1:21" ht="10.5" customHeight="1" x14ac:dyDescent="0.35"/>
    <row r="189" spans="1:21" ht="10.5" customHeight="1" x14ac:dyDescent="0.35"/>
  </sheetData>
  <mergeCells count="52">
    <mergeCell ref="L115:L120"/>
    <mergeCell ref="L65:L70"/>
    <mergeCell ref="L49:L54"/>
    <mergeCell ref="L56:L63"/>
    <mergeCell ref="L72:L79"/>
    <mergeCell ref="L89:L96"/>
    <mergeCell ref="L26:L32"/>
    <mergeCell ref="L40:L46"/>
    <mergeCell ref="H7:I7"/>
    <mergeCell ref="H2:I2"/>
    <mergeCell ref="A98:A103"/>
    <mergeCell ref="A49:A54"/>
    <mergeCell ref="A65:A70"/>
    <mergeCell ref="A82:A87"/>
    <mergeCell ref="L11:O12"/>
    <mergeCell ref="L98:L103"/>
    <mergeCell ref="L82:L87"/>
    <mergeCell ref="M18:O18"/>
    <mergeCell ref="L20:L24"/>
    <mergeCell ref="L34:L38"/>
    <mergeCell ref="F1:I1"/>
    <mergeCell ref="A148:A154"/>
    <mergeCell ref="B147:D147"/>
    <mergeCell ref="A20:A24"/>
    <mergeCell ref="A34:A38"/>
    <mergeCell ref="B1:D1"/>
    <mergeCell ref="B48:D48"/>
    <mergeCell ref="E18:G18"/>
    <mergeCell ref="A26:A32"/>
    <mergeCell ref="A40:A46"/>
    <mergeCell ref="A56:A63"/>
    <mergeCell ref="A72:A79"/>
    <mergeCell ref="A89:A96"/>
    <mergeCell ref="B81:D81"/>
    <mergeCell ref="B19:D19"/>
    <mergeCell ref="A115:A120"/>
    <mergeCell ref="A156:A164"/>
    <mergeCell ref="L156:L164"/>
    <mergeCell ref="L174:L182"/>
    <mergeCell ref="A174:A182"/>
    <mergeCell ref="A105:A112"/>
    <mergeCell ref="L105:L112"/>
    <mergeCell ref="A122:A129"/>
    <mergeCell ref="L122:L129"/>
    <mergeCell ref="A138:A145"/>
    <mergeCell ref="L138:L145"/>
    <mergeCell ref="A166:A172"/>
    <mergeCell ref="L166:L172"/>
    <mergeCell ref="L148:L154"/>
    <mergeCell ref="B114:D114"/>
    <mergeCell ref="A131:A136"/>
    <mergeCell ref="L131:L13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58:G58 F51:G51 N51:O51 N58:O58 F117:G117 N117:O117 F151:G151 N151:O151 F159:G159 N159:O159 F124:G124 N124:O124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8860-3CF3-492D-B726-70C11EE0C2CB}">
  <sheetPr>
    <tabColor rgb="FF00B0F0"/>
  </sheetPr>
  <dimension ref="A1:U191"/>
  <sheetViews>
    <sheetView workbookViewId="0">
      <selection activeCell="O17" sqref="O17"/>
    </sheetView>
  </sheetViews>
  <sheetFormatPr defaultColWidth="8.7265625" defaultRowHeight="10.5" x14ac:dyDescent="0.35"/>
  <cols>
    <col min="1" max="1" width="21.54296875" style="4" customWidth="1"/>
    <col min="2" max="3" width="11.453125" style="2" customWidth="1"/>
    <col min="4" max="4" width="9" style="23" customWidth="1"/>
    <col min="5" max="5" width="8.1796875" style="23" customWidth="1"/>
    <col min="6" max="7" width="12.54296875" style="23" customWidth="1"/>
    <col min="8" max="8" width="4.54296875" style="23" customWidth="1"/>
    <col min="9" max="10" width="4.54296875" style="15" customWidth="1"/>
    <col min="11" max="11" width="0.81640625" style="3" customWidth="1"/>
    <col min="12" max="12" width="3.453125" style="15" customWidth="1"/>
    <col min="13" max="13" width="8.1796875" style="23" customWidth="1"/>
    <col min="14" max="15" width="12.54296875" style="23" customWidth="1"/>
    <col min="16" max="16" width="4.54296875" style="23" customWidth="1"/>
    <col min="17" max="18" width="4.54296875" style="15" customWidth="1"/>
    <col min="19" max="19" width="0.81640625" style="3" customWidth="1"/>
    <col min="20" max="20" width="11" style="23" bestFit="1" customWidth="1"/>
    <col min="21" max="16384" width="8.7265625" style="2"/>
  </cols>
  <sheetData>
    <row r="1" spans="1:19" ht="9" customHeight="1" x14ac:dyDescent="0.35">
      <c r="A1" s="1" t="s">
        <v>10</v>
      </c>
      <c r="B1" s="354" t="s">
        <v>41</v>
      </c>
      <c r="C1" s="355"/>
      <c r="D1" s="356"/>
      <c r="F1" s="354" t="s">
        <v>42</v>
      </c>
      <c r="G1" s="355"/>
      <c r="H1" s="355"/>
      <c r="I1" s="356"/>
    </row>
    <row r="2" spans="1:19" ht="9" customHeight="1" x14ac:dyDescent="0.35">
      <c r="A2" s="1" t="s">
        <v>8</v>
      </c>
      <c r="B2" s="22" t="s">
        <v>9</v>
      </c>
      <c r="C2" s="22" t="s">
        <v>12</v>
      </c>
      <c r="D2" s="22" t="s">
        <v>55</v>
      </c>
      <c r="E2" s="22"/>
      <c r="F2" s="22" t="s">
        <v>11</v>
      </c>
      <c r="G2" s="22" t="s">
        <v>23</v>
      </c>
      <c r="H2" s="340" t="s">
        <v>55</v>
      </c>
      <c r="I2" s="341"/>
    </row>
    <row r="3" spans="1:19" ht="9" customHeight="1" x14ac:dyDescent="0.35">
      <c r="A3" s="1" t="s">
        <v>0</v>
      </c>
      <c r="B3" s="36">
        <v>46082</v>
      </c>
      <c r="C3" s="36">
        <v>46082</v>
      </c>
      <c r="F3" s="36">
        <v>46082</v>
      </c>
      <c r="G3" s="36">
        <v>46082</v>
      </c>
    </row>
    <row r="4" spans="1:19" ht="9" customHeight="1" x14ac:dyDescent="0.35">
      <c r="A4" s="1" t="s">
        <v>1</v>
      </c>
      <c r="B4" s="36">
        <v>46331</v>
      </c>
      <c r="C4" s="36">
        <v>46331</v>
      </c>
      <c r="F4" s="36">
        <v>46331</v>
      </c>
      <c r="G4" s="36">
        <v>46331</v>
      </c>
    </row>
    <row r="5" spans="1:19" ht="9" customHeight="1" x14ac:dyDescent="0.35">
      <c r="A5" s="1" t="s">
        <v>2</v>
      </c>
      <c r="B5" s="23">
        <f>B4-B3</f>
        <v>249</v>
      </c>
      <c r="C5" s="23">
        <f>C4-C3</f>
        <v>249</v>
      </c>
      <c r="F5" s="23">
        <f>F4-F3</f>
        <v>249</v>
      </c>
      <c r="G5" s="23">
        <f>G4-G3</f>
        <v>249</v>
      </c>
    </row>
    <row r="6" spans="1:19" ht="9" customHeight="1" x14ac:dyDescent="0.35">
      <c r="A6" s="1" t="s">
        <v>3</v>
      </c>
      <c r="B6" s="23">
        <v>1.85</v>
      </c>
      <c r="C6" s="23">
        <v>1.45</v>
      </c>
      <c r="F6" s="23">
        <v>1.2</v>
      </c>
      <c r="G6" s="23">
        <v>0.7</v>
      </c>
    </row>
    <row r="7" spans="1:19" ht="9" customHeight="1" x14ac:dyDescent="0.35">
      <c r="A7" s="1" t="s">
        <v>4</v>
      </c>
      <c r="B7" s="37">
        <f>SUM(B6/30)*B5/100+1</f>
        <v>1.1535500000000001</v>
      </c>
      <c r="C7" s="37">
        <f>SUM(C6/30)*C5/100+1</f>
        <v>1.12035</v>
      </c>
      <c r="D7" s="44">
        <f>B7-C7</f>
        <v>3.3200000000000118E-2</v>
      </c>
      <c r="F7" s="37">
        <f>SUM(F6/30)*F5/100+1</f>
        <v>1.0995999999999999</v>
      </c>
      <c r="G7" s="37">
        <f>SUM(G6/30)*G5/100+1</f>
        <v>1.0581</v>
      </c>
      <c r="H7" s="338">
        <f>F7-G7</f>
        <v>4.149999999999987E-2</v>
      </c>
      <c r="I7" s="339"/>
    </row>
    <row r="8" spans="1:19" ht="9" customHeight="1" x14ac:dyDescent="0.35">
      <c r="A8" s="1" t="s">
        <v>5</v>
      </c>
      <c r="B8" s="23">
        <v>0.9708</v>
      </c>
      <c r="C8" s="23">
        <v>0.9708</v>
      </c>
      <c r="E8" s="58"/>
      <c r="F8" s="58">
        <v>0.9708</v>
      </c>
      <c r="G8" s="58">
        <v>0.9708</v>
      </c>
    </row>
    <row r="9" spans="1:19" ht="9" customHeight="1" x14ac:dyDescent="0.35">
      <c r="A9" s="1" t="s">
        <v>6</v>
      </c>
      <c r="B9" s="33">
        <v>6.1</v>
      </c>
      <c r="C9" s="33">
        <v>6.1</v>
      </c>
      <c r="D9" s="39"/>
      <c r="F9" s="27"/>
      <c r="G9" s="27"/>
      <c r="H9" s="57"/>
    </row>
    <row r="10" spans="1:19" ht="9" customHeight="1" x14ac:dyDescent="0.35">
      <c r="A10" s="137" t="s">
        <v>7</v>
      </c>
      <c r="B10" s="102">
        <v>5.5</v>
      </c>
      <c r="C10" s="138">
        <v>5.5</v>
      </c>
      <c r="D10" s="103"/>
      <c r="E10" s="58"/>
      <c r="F10" s="33"/>
      <c r="G10" s="33"/>
      <c r="H10" s="139"/>
      <c r="I10" s="19"/>
      <c r="J10" s="19"/>
      <c r="K10" s="8"/>
      <c r="L10" s="19"/>
      <c r="M10" s="58"/>
      <c r="N10" s="58"/>
      <c r="O10" s="58"/>
    </row>
    <row r="11" spans="1:19" ht="9" customHeight="1" x14ac:dyDescent="0.35">
      <c r="A11" s="142" t="s">
        <v>56</v>
      </c>
      <c r="B11" s="143">
        <v>135</v>
      </c>
      <c r="C11" s="144">
        <v>135</v>
      </c>
      <c r="D11" s="145"/>
      <c r="E11" s="146"/>
      <c r="F11" s="147"/>
      <c r="G11" s="147"/>
      <c r="H11" s="148"/>
      <c r="I11" s="149"/>
      <c r="J11" s="149"/>
      <c r="K11" s="342" t="s">
        <v>63</v>
      </c>
      <c r="L11" s="343"/>
      <c r="M11" s="343"/>
      <c r="N11" s="343"/>
      <c r="O11" s="344"/>
      <c r="P11" s="57"/>
      <c r="Q11" s="16"/>
      <c r="R11" s="16"/>
      <c r="S11" s="6"/>
    </row>
    <row r="12" spans="1:19" ht="9" customHeight="1" x14ac:dyDescent="0.35">
      <c r="A12" s="151" t="s">
        <v>57</v>
      </c>
      <c r="B12" s="41"/>
      <c r="C12" s="41"/>
      <c r="E12" s="40"/>
      <c r="F12" s="106">
        <f>F13*33.069</f>
        <v>22.486920000000005</v>
      </c>
      <c r="G12" s="106">
        <f>G13*33.069</f>
        <v>22.486920000000005</v>
      </c>
      <c r="H12" s="57"/>
      <c r="I12" s="16"/>
      <c r="J12" s="16"/>
      <c r="K12" s="351"/>
      <c r="L12" s="352"/>
      <c r="M12" s="352"/>
      <c r="N12" s="352"/>
      <c r="O12" s="353"/>
      <c r="P12" s="57"/>
      <c r="Q12" s="16"/>
      <c r="R12" s="16"/>
      <c r="S12" s="6"/>
    </row>
    <row r="13" spans="1:19" ht="9" customHeight="1" x14ac:dyDescent="0.35">
      <c r="A13" s="151" t="s">
        <v>58</v>
      </c>
      <c r="B13" s="81"/>
      <c r="C13" s="81"/>
      <c r="D13" s="34"/>
      <c r="E13" s="105"/>
      <c r="F13" s="106">
        <v>0.68</v>
      </c>
      <c r="G13" s="106">
        <v>0.68</v>
      </c>
      <c r="H13" s="57"/>
      <c r="I13" s="16"/>
      <c r="J13" s="16"/>
      <c r="K13" s="351"/>
      <c r="L13" s="352"/>
      <c r="M13" s="352"/>
      <c r="N13" s="352"/>
      <c r="O13" s="353"/>
      <c r="P13" s="57"/>
      <c r="Q13" s="16"/>
      <c r="R13" s="16"/>
      <c r="S13" s="6"/>
    </row>
    <row r="14" spans="1:19" ht="9" customHeight="1" x14ac:dyDescent="0.35">
      <c r="A14" s="152" t="s">
        <v>59</v>
      </c>
      <c r="B14" s="153">
        <v>31.4</v>
      </c>
      <c r="C14" s="153">
        <v>31.4</v>
      </c>
      <c r="D14" s="154"/>
      <c r="E14" s="155"/>
      <c r="F14" s="153">
        <v>31.4</v>
      </c>
      <c r="G14" s="153">
        <v>31.4</v>
      </c>
      <c r="H14" s="156"/>
      <c r="I14" s="157"/>
      <c r="J14" s="157"/>
      <c r="K14" s="345"/>
      <c r="L14" s="346"/>
      <c r="M14" s="346"/>
      <c r="N14" s="346"/>
      <c r="O14" s="347"/>
      <c r="P14" s="57"/>
      <c r="Q14" s="16"/>
      <c r="R14" s="16"/>
      <c r="S14" s="6"/>
    </row>
    <row r="15" spans="1:19" ht="9" customHeight="1" x14ac:dyDescent="0.35">
      <c r="A15" s="140" t="s">
        <v>47</v>
      </c>
      <c r="B15" s="42"/>
      <c r="C15" s="43">
        <v>0.04</v>
      </c>
      <c r="D15" s="42"/>
      <c r="E15" s="34"/>
      <c r="F15" s="42"/>
      <c r="G15" s="43">
        <v>0.04</v>
      </c>
      <c r="H15" s="34"/>
      <c r="I15" s="17"/>
      <c r="J15" s="17"/>
      <c r="K15" s="12"/>
      <c r="L15" s="17"/>
      <c r="M15" s="141"/>
      <c r="N15" s="34"/>
      <c r="O15" s="34"/>
    </row>
    <row r="16" spans="1:19" ht="9" customHeight="1" x14ac:dyDescent="0.35">
      <c r="A16" s="1" t="s">
        <v>13</v>
      </c>
      <c r="B16" s="23"/>
      <c r="C16" s="44">
        <f>B7-C7</f>
        <v>3.3200000000000118E-2</v>
      </c>
      <c r="G16" s="44">
        <f>F7-G7</f>
        <v>4.149999999999987E-2</v>
      </c>
    </row>
    <row r="17" spans="1:21" ht="9" customHeight="1" x14ac:dyDescent="0.35">
      <c r="A17" s="1" t="s">
        <v>54</v>
      </c>
      <c r="B17" s="23"/>
      <c r="C17" s="45">
        <f>C16+C15</f>
        <v>7.3200000000000126E-2</v>
      </c>
      <c r="G17" s="45">
        <f>G16+G15</f>
        <v>8.1499999999999878E-2</v>
      </c>
    </row>
    <row r="18" spans="1:21" s="92" customFormat="1" ht="9" customHeight="1" x14ac:dyDescent="0.35">
      <c r="A18" s="99" t="s">
        <v>21</v>
      </c>
      <c r="B18" s="58">
        <v>1.04</v>
      </c>
      <c r="C18" s="58">
        <v>1.04</v>
      </c>
      <c r="D18" s="58"/>
      <c r="E18" s="58"/>
      <c r="F18" s="58">
        <v>1.04</v>
      </c>
      <c r="G18" s="58">
        <v>1.04</v>
      </c>
      <c r="H18" s="58"/>
      <c r="I18" s="19"/>
      <c r="J18" s="19"/>
      <c r="K18" s="8"/>
      <c r="L18" s="19"/>
      <c r="M18" s="58"/>
      <c r="O18" s="58"/>
      <c r="P18" s="58"/>
      <c r="Q18" s="19"/>
      <c r="R18" s="19"/>
      <c r="S18" s="8"/>
      <c r="T18" s="58"/>
    </row>
    <row r="19" spans="1:21" ht="9" customHeight="1" x14ac:dyDescent="0.35">
      <c r="A19" s="1"/>
      <c r="B19" s="23"/>
      <c r="C19" s="23"/>
    </row>
    <row r="20" spans="1:21" s="83" customFormat="1" ht="10.5" customHeight="1" x14ac:dyDescent="0.35">
      <c r="A20" s="100"/>
      <c r="D20" s="34"/>
      <c r="E20" s="305" t="s">
        <v>49</v>
      </c>
      <c r="F20" s="306"/>
      <c r="G20" s="307"/>
      <c r="H20" s="34"/>
      <c r="I20" s="17"/>
      <c r="J20" s="17"/>
      <c r="K20" s="12"/>
      <c r="L20" s="17"/>
      <c r="M20" s="305" t="s">
        <v>48</v>
      </c>
      <c r="N20" s="306"/>
      <c r="O20" s="307"/>
      <c r="P20" s="34"/>
      <c r="Q20" s="17"/>
      <c r="R20" s="17"/>
      <c r="S20" s="12"/>
      <c r="T20" s="34"/>
    </row>
    <row r="21" spans="1:21" ht="10.5" customHeight="1" x14ac:dyDescent="0.35">
      <c r="B21" s="308" t="s">
        <v>30</v>
      </c>
      <c r="C21" s="337"/>
      <c r="D21" s="309"/>
      <c r="E21" s="30">
        <f>$B$3</f>
        <v>46082</v>
      </c>
      <c r="F21" s="24" t="s">
        <v>20</v>
      </c>
      <c r="G21" s="30">
        <f>$B$4</f>
        <v>46331</v>
      </c>
      <c r="M21" s="30">
        <f>$B$3</f>
        <v>46082</v>
      </c>
      <c r="N21" s="24" t="s">
        <v>20</v>
      </c>
      <c r="O21" s="30">
        <f>$B$4</f>
        <v>46331</v>
      </c>
    </row>
    <row r="22" spans="1:21" ht="10.5" customHeight="1" x14ac:dyDescent="0.35">
      <c r="A22" s="333" t="s">
        <v>22</v>
      </c>
      <c r="B22" s="24" t="s">
        <v>17</v>
      </c>
      <c r="C22" s="46" t="s">
        <v>43</v>
      </c>
      <c r="D22" s="98" t="s">
        <v>44</v>
      </c>
      <c r="E22" s="24" t="s">
        <v>18</v>
      </c>
      <c r="F22" s="25">
        <v>0.04</v>
      </c>
      <c r="G22" s="24" t="s">
        <v>19</v>
      </c>
      <c r="K22" s="8"/>
      <c r="L22" s="302" t="s">
        <v>35</v>
      </c>
      <c r="M22" s="63" t="s">
        <v>50</v>
      </c>
      <c r="N22" s="25">
        <v>0.04</v>
      </c>
      <c r="O22" s="24" t="s">
        <v>19</v>
      </c>
      <c r="S22" s="8"/>
    </row>
    <row r="23" spans="1:21" ht="9" customHeight="1" x14ac:dyDescent="0.35">
      <c r="A23" s="333"/>
      <c r="B23" s="5" t="s">
        <v>14</v>
      </c>
      <c r="C23" s="85">
        <v>1</v>
      </c>
      <c r="D23" s="82">
        <v>1</v>
      </c>
      <c r="E23" s="47">
        <v>469.7</v>
      </c>
      <c r="F23" s="26">
        <f>E23/$B$8/$B$18</f>
        <v>465.21901049095112</v>
      </c>
      <c r="G23" s="31">
        <f>E23/$B$8*$B$7</f>
        <v>558.1195251339102</v>
      </c>
      <c r="K23" s="9"/>
      <c r="L23" s="303"/>
      <c r="M23" s="27">
        <v>445.3</v>
      </c>
      <c r="N23" s="26">
        <f>M23/$B$8/$B$18</f>
        <v>441.05178916674589</v>
      </c>
      <c r="O23" s="31">
        <f>M23/$B$8*$B$7</f>
        <v>529.12630304903178</v>
      </c>
      <c r="S23" s="9"/>
      <c r="T23" s="58"/>
    </row>
    <row r="24" spans="1:21" ht="9" customHeight="1" x14ac:dyDescent="0.35">
      <c r="A24" s="333"/>
      <c r="B24" s="5" t="s">
        <v>15</v>
      </c>
      <c r="C24" s="85">
        <v>2</v>
      </c>
      <c r="D24" s="82">
        <v>2</v>
      </c>
      <c r="E24" s="48">
        <v>9.5</v>
      </c>
      <c r="F24" s="27">
        <f>E24/$B$8*$B$10/$B$18</f>
        <v>51.751529270070677</v>
      </c>
      <c r="G24" s="32">
        <f>E24/$B$8*$B$10*$B$7</f>
        <v>62.085895653069635</v>
      </c>
      <c r="K24" s="9"/>
      <c r="L24" s="303"/>
      <c r="M24" s="50">
        <v>9</v>
      </c>
      <c r="N24" s="27">
        <f>M24/$B$8*$B$10/$B$18</f>
        <v>49.027764571645911</v>
      </c>
      <c r="O24" s="32">
        <f>M24/$B$8*$B$10*$B$7</f>
        <v>58.818216934487026</v>
      </c>
      <c r="S24" s="65"/>
      <c r="T24" s="68" t="s">
        <v>37</v>
      </c>
      <c r="U24" s="7"/>
    </row>
    <row r="25" spans="1:21" ht="9" customHeight="1" x14ac:dyDescent="0.35">
      <c r="A25" s="333"/>
      <c r="B25" s="4" t="s">
        <v>52</v>
      </c>
      <c r="C25" s="83"/>
      <c r="D25" s="34"/>
      <c r="F25" s="27">
        <f>SUMPRODUCT(F23:F24,D23:D24)</f>
        <v>568.72206903109247</v>
      </c>
      <c r="G25" s="33">
        <f>SUMPRODUCT(G23:G24,D23:D24)</f>
        <v>682.29131644004951</v>
      </c>
      <c r="K25" s="9"/>
      <c r="L25" s="303"/>
      <c r="M25" s="4" t="s">
        <v>52</v>
      </c>
      <c r="N25" s="27">
        <f>SUMPRODUCT(N23:N24,D23:D24)</f>
        <v>539.10731831003773</v>
      </c>
      <c r="O25" s="33">
        <f>SUMPRODUCT(O23:O24,D23:D24)</f>
        <v>646.76273691800588</v>
      </c>
      <c r="S25" s="65"/>
      <c r="T25" s="69" t="s">
        <v>38</v>
      </c>
      <c r="U25" s="7"/>
    </row>
    <row r="26" spans="1:21" ht="9" customHeight="1" x14ac:dyDescent="0.35">
      <c r="A26" s="333"/>
      <c r="B26" s="4" t="s">
        <v>60</v>
      </c>
      <c r="C26" s="4"/>
      <c r="F26" s="28"/>
      <c r="G26" s="86">
        <f>G25/$B$11</f>
        <v>5.054009751407774</v>
      </c>
      <c r="H26" s="57"/>
      <c r="I26" s="16"/>
      <c r="J26" s="16"/>
      <c r="K26" s="10"/>
      <c r="L26" s="304"/>
      <c r="M26" s="4" t="s">
        <v>60</v>
      </c>
      <c r="N26" s="28"/>
      <c r="O26" s="86">
        <f>O25/$B$11</f>
        <v>4.7908350882815247</v>
      </c>
      <c r="P26" s="57"/>
      <c r="Q26" s="16"/>
      <c r="R26" s="16"/>
      <c r="S26" s="66"/>
      <c r="T26" s="70">
        <f>O26/G26-1</f>
        <v>-5.2072448624172707E-2</v>
      </c>
      <c r="U26" s="7"/>
    </row>
    <row r="27" spans="1:21" ht="10.5" customHeight="1" x14ac:dyDescent="0.35">
      <c r="A27" s="21"/>
      <c r="B27" s="92"/>
      <c r="C27" s="92"/>
      <c r="D27" s="58"/>
      <c r="E27" s="58"/>
      <c r="F27" s="58"/>
      <c r="G27" s="34"/>
      <c r="O27" s="34"/>
      <c r="T27" s="67"/>
    </row>
    <row r="28" spans="1:21" ht="10.5" customHeight="1" x14ac:dyDescent="0.35">
      <c r="A28" s="325" t="s">
        <v>12</v>
      </c>
      <c r="B28" s="24" t="s">
        <v>17</v>
      </c>
      <c r="C28" s="24" t="s">
        <v>43</v>
      </c>
      <c r="D28" s="24" t="s">
        <v>16</v>
      </c>
      <c r="E28" s="24" t="s">
        <v>18</v>
      </c>
      <c r="F28" s="24" t="s">
        <v>21</v>
      </c>
      <c r="G28" s="89" t="s">
        <v>19</v>
      </c>
      <c r="K28" s="8"/>
      <c r="L28" s="302" t="s">
        <v>35</v>
      </c>
      <c r="M28" s="63" t="s">
        <v>50</v>
      </c>
      <c r="N28" s="24" t="s">
        <v>21</v>
      </c>
      <c r="O28" s="24" t="s">
        <v>19</v>
      </c>
      <c r="S28" s="8"/>
      <c r="T28" s="22"/>
    </row>
    <row r="29" spans="1:21" ht="9" customHeight="1" x14ac:dyDescent="0.35">
      <c r="A29" s="326"/>
      <c r="B29" s="2" t="s">
        <v>14</v>
      </c>
      <c r="C29" s="84">
        <v>1</v>
      </c>
      <c r="D29" s="84">
        <f>D23</f>
        <v>1</v>
      </c>
      <c r="E29" s="27">
        <v>469.7</v>
      </c>
      <c r="F29" s="27">
        <f>E29/$C$8/$C$18</f>
        <v>465.21901049095112</v>
      </c>
      <c r="G29" s="47">
        <f>E29/$C$8*$C$7</f>
        <v>542.05644313967855</v>
      </c>
      <c r="K29" s="9"/>
      <c r="L29" s="303"/>
      <c r="M29" s="27">
        <v>445.3</v>
      </c>
      <c r="N29" s="27">
        <f>M29/$C$8/$C$18</f>
        <v>441.05178916674589</v>
      </c>
      <c r="O29" s="27">
        <f>M29/$C$8*$C$7</f>
        <v>513.89766687268229</v>
      </c>
      <c r="S29" s="9"/>
      <c r="T29" s="71"/>
    </row>
    <row r="30" spans="1:21" ht="9" customHeight="1" x14ac:dyDescent="0.35">
      <c r="A30" s="326"/>
      <c r="B30" s="2" t="s">
        <v>15</v>
      </c>
      <c r="C30" s="84">
        <v>2</v>
      </c>
      <c r="D30" s="84">
        <f>D24</f>
        <v>2</v>
      </c>
      <c r="E30" s="50">
        <v>9.5</v>
      </c>
      <c r="F30" s="27">
        <f>E30/$C$8*$C$10/$C$18</f>
        <v>51.751529270070677</v>
      </c>
      <c r="G30" s="47">
        <f>E30/$C$8*$C$10*$C$7</f>
        <v>60.299018850432631</v>
      </c>
      <c r="K30" s="9"/>
      <c r="L30" s="303"/>
      <c r="M30" s="50">
        <v>9</v>
      </c>
      <c r="N30" s="27">
        <f>M30/$C$8*$C$10/$C$18</f>
        <v>49.027764571645911</v>
      </c>
      <c r="O30" s="27">
        <f>M30/$C$8*$C$10*$C$7</f>
        <v>57.12538627935723</v>
      </c>
      <c r="S30" s="65"/>
      <c r="T30" s="68" t="s">
        <v>37</v>
      </c>
      <c r="U30" s="7"/>
    </row>
    <row r="31" spans="1:21" ht="9" customHeight="1" x14ac:dyDescent="0.35">
      <c r="A31" s="326"/>
      <c r="B31" s="4" t="s">
        <v>52</v>
      </c>
      <c r="F31" s="27">
        <f>SUMPRODUCT(F29:F30,D29:D30)</f>
        <v>568.72206903109247</v>
      </c>
      <c r="G31" s="38">
        <f>SUMPRODUCT(G29:G30,D29:D30)</f>
        <v>662.65448084054378</v>
      </c>
      <c r="H31" s="58"/>
      <c r="I31" s="19"/>
      <c r="J31" s="19"/>
      <c r="K31" s="9"/>
      <c r="L31" s="303"/>
      <c r="M31" s="4" t="s">
        <v>52</v>
      </c>
      <c r="N31" s="33">
        <f>SUMPRODUCT(N29:N30,D29:D30)</f>
        <v>539.10731831003773</v>
      </c>
      <c r="O31" s="33">
        <f>SUMPRODUCT(O29:O30,D29:D30)</f>
        <v>628.14843943139681</v>
      </c>
      <c r="P31" s="58"/>
      <c r="Q31" s="19"/>
      <c r="R31" s="19"/>
      <c r="S31" s="65"/>
      <c r="T31" s="69" t="s">
        <v>38</v>
      </c>
      <c r="U31" s="7"/>
    </row>
    <row r="32" spans="1:21" ht="9" customHeight="1" x14ac:dyDescent="0.35">
      <c r="A32" s="326"/>
      <c r="B32" s="4" t="s">
        <v>60</v>
      </c>
      <c r="C32" s="4"/>
      <c r="F32" s="28"/>
      <c r="G32" s="86">
        <f>G31/$C$11</f>
        <v>4.908551709929954</v>
      </c>
      <c r="H32" s="126">
        <f>G32/G26-1</f>
        <v>-2.8780720384898983E-2</v>
      </c>
      <c r="I32" s="18"/>
      <c r="J32" s="18"/>
      <c r="K32" s="11"/>
      <c r="L32" s="303"/>
      <c r="M32" s="118" t="s">
        <v>60</v>
      </c>
      <c r="N32" s="119">
        <f>O32/G26-1</f>
        <v>-0.11476392925525225</v>
      </c>
      <c r="O32" s="120">
        <f>O31/($C$11*$C$15+$C$11)</f>
        <v>4.4739917338418573</v>
      </c>
      <c r="P32" s="127">
        <f>O32/O26-1</f>
        <v>-6.6135308062402753E-2</v>
      </c>
      <c r="Q32" s="18"/>
      <c r="R32" s="18"/>
      <c r="S32" s="11"/>
      <c r="T32" s="70">
        <f>O32/G32-1</f>
        <v>-8.853120060016606E-2</v>
      </c>
      <c r="U32" s="7"/>
    </row>
    <row r="33" spans="1:21" ht="9" customHeight="1" x14ac:dyDescent="0.35">
      <c r="A33" s="326"/>
      <c r="B33" s="112" t="s">
        <v>61</v>
      </c>
      <c r="G33" s="124">
        <f>G25-G31</f>
        <v>19.63683559950573</v>
      </c>
      <c r="H33" s="34"/>
      <c r="I33" s="17"/>
      <c r="J33" s="17"/>
      <c r="K33" s="12"/>
      <c r="L33" s="303"/>
      <c r="M33" s="112" t="s">
        <v>61</v>
      </c>
      <c r="N33" s="34"/>
      <c r="O33" s="124">
        <f>O25-O31</f>
        <v>18.614297486609075</v>
      </c>
      <c r="P33" s="34"/>
      <c r="Q33" s="17"/>
      <c r="R33" s="17"/>
      <c r="S33" s="12"/>
      <c r="T33" s="67"/>
    </row>
    <row r="34" spans="1:21" ht="9" customHeight="1" x14ac:dyDescent="0.35">
      <c r="A34" s="327"/>
      <c r="B34" s="112" t="s">
        <v>62</v>
      </c>
      <c r="G34" s="125">
        <f>G26-G32</f>
        <v>0.14545804147781993</v>
      </c>
      <c r="H34" s="34"/>
      <c r="I34" s="17"/>
      <c r="J34" s="17"/>
      <c r="K34" s="9"/>
      <c r="L34" s="303"/>
      <c r="M34" s="112" t="s">
        <v>62</v>
      </c>
      <c r="O34" s="125">
        <f>O26-O32</f>
        <v>0.31684335443966738</v>
      </c>
      <c r="P34" s="34"/>
      <c r="Q34" s="17"/>
      <c r="R34" s="17"/>
      <c r="S34" s="9"/>
      <c r="T34" s="67"/>
    </row>
    <row r="35" spans="1:21" ht="10.5" customHeight="1" x14ac:dyDescent="0.35">
      <c r="A35" s="88"/>
      <c r="G35" s="90"/>
      <c r="H35" s="34"/>
      <c r="I35" s="17"/>
      <c r="J35" s="17"/>
      <c r="K35" s="9"/>
      <c r="L35" s="111"/>
      <c r="O35" s="34"/>
      <c r="P35" s="34"/>
      <c r="Q35" s="17"/>
      <c r="R35" s="17"/>
      <c r="S35" s="9"/>
      <c r="T35" s="67"/>
    </row>
    <row r="36" spans="1:21" ht="10.5" customHeight="1" x14ac:dyDescent="0.35">
      <c r="A36" s="328" t="s">
        <v>24</v>
      </c>
      <c r="B36" s="24" t="s">
        <v>17</v>
      </c>
      <c r="C36" s="24" t="s">
        <v>43</v>
      </c>
      <c r="D36" s="24" t="s">
        <v>16</v>
      </c>
      <c r="E36" s="24" t="s">
        <v>18</v>
      </c>
      <c r="F36" s="24" t="s">
        <v>21</v>
      </c>
      <c r="G36" s="89" t="s">
        <v>19</v>
      </c>
      <c r="K36" s="8"/>
      <c r="L36" s="302" t="s">
        <v>35</v>
      </c>
      <c r="M36" s="63" t="s">
        <v>50</v>
      </c>
      <c r="N36" s="24" t="s">
        <v>21</v>
      </c>
      <c r="O36" s="24" t="s">
        <v>19</v>
      </c>
      <c r="S36" s="8"/>
      <c r="T36" s="22"/>
    </row>
    <row r="37" spans="1:21" ht="9" customHeight="1" x14ac:dyDescent="0.35">
      <c r="A37" s="328"/>
      <c r="B37" s="2" t="s">
        <v>14</v>
      </c>
      <c r="C37" s="84">
        <v>1</v>
      </c>
      <c r="D37" s="84">
        <f>D23</f>
        <v>1</v>
      </c>
      <c r="E37" s="29">
        <f>469.7/6.1</f>
        <v>77</v>
      </c>
      <c r="F37" s="29">
        <f>E37/$F$8/$F$18</f>
        <v>76.265411555893621</v>
      </c>
      <c r="G37" s="49">
        <f>E37/$F$8*$F$7</f>
        <v>87.215904408735057</v>
      </c>
      <c r="K37" s="9"/>
      <c r="L37" s="303"/>
      <c r="M37" s="29">
        <v>73</v>
      </c>
      <c r="N37" s="29">
        <f>M37/$F$8/$F$18</f>
        <v>72.303571994548506</v>
      </c>
      <c r="O37" s="29">
        <f>M37/$F$8*$F$7</f>
        <v>82.685208075813748</v>
      </c>
      <c r="S37" s="9"/>
      <c r="T37" s="71"/>
    </row>
    <row r="38" spans="1:21" ht="9" customHeight="1" x14ac:dyDescent="0.35">
      <c r="A38" s="328"/>
      <c r="B38" s="2" t="s">
        <v>15</v>
      </c>
      <c r="C38" s="84">
        <v>2</v>
      </c>
      <c r="D38" s="84">
        <f>D24</f>
        <v>2</v>
      </c>
      <c r="E38" s="50">
        <v>9.5</v>
      </c>
      <c r="F38" s="29">
        <f>E38/$F$8/$F$18</f>
        <v>9.4093689581946691</v>
      </c>
      <c r="G38" s="49">
        <f>E38/$F$8*$F$7</f>
        <v>10.760403790688091</v>
      </c>
      <c r="K38" s="9"/>
      <c r="L38" s="303"/>
      <c r="M38" s="50">
        <v>9</v>
      </c>
      <c r="N38" s="29">
        <f>M38/$F$8/$F$18</f>
        <v>8.9141390130265279</v>
      </c>
      <c r="O38" s="29">
        <f>M38/$F$8*$F$7</f>
        <v>10.194066749072929</v>
      </c>
      <c r="S38" s="65"/>
      <c r="T38" s="68" t="s">
        <v>37</v>
      </c>
      <c r="U38" s="7"/>
    </row>
    <row r="39" spans="1:21" ht="9" customHeight="1" x14ac:dyDescent="0.35">
      <c r="A39" s="328"/>
      <c r="B39" s="4" t="s">
        <v>53</v>
      </c>
      <c r="F39" s="29">
        <f>SUMPRODUCT(F37:F38,D37:D38)</f>
        <v>95.084149472282959</v>
      </c>
      <c r="G39" s="91">
        <f>SUMPRODUCT(G37:G38,D37:D38)</f>
        <v>108.73671199011125</v>
      </c>
      <c r="H39" s="58"/>
      <c r="I39" s="19"/>
      <c r="J39" s="19"/>
      <c r="K39" s="9"/>
      <c r="L39" s="303"/>
      <c r="M39" s="4" t="s">
        <v>53</v>
      </c>
      <c r="N39" s="29">
        <f>SUMPRODUCT(N37:N38,D37:D38)</f>
        <v>90.131850020601561</v>
      </c>
      <c r="O39" s="35">
        <f>SUMPRODUCT(O37:O38,D37:D38)</f>
        <v>103.07334157395961</v>
      </c>
      <c r="P39" s="58"/>
      <c r="Q39" s="19"/>
      <c r="R39" s="19"/>
      <c r="S39" s="65"/>
      <c r="T39" s="69" t="s">
        <v>38</v>
      </c>
      <c r="U39" s="7"/>
    </row>
    <row r="40" spans="1:21" ht="9" customHeight="1" x14ac:dyDescent="0.35">
      <c r="A40" s="328"/>
      <c r="B40" s="4" t="s">
        <v>60</v>
      </c>
      <c r="C40" s="4"/>
      <c r="F40" s="28"/>
      <c r="G40" s="86">
        <f>G39/$F$12</f>
        <v>4.8355538237389215</v>
      </c>
      <c r="H40" s="40"/>
      <c r="I40" s="127">
        <f>G40/G26-1</f>
        <v>-4.3224279020831369E-2</v>
      </c>
      <c r="J40" s="16"/>
      <c r="K40" s="10"/>
      <c r="L40" s="304"/>
      <c r="M40" s="4" t="s">
        <v>60</v>
      </c>
      <c r="N40" s="28"/>
      <c r="O40" s="86">
        <f>O39/$F$12</f>
        <v>4.5837020620858517</v>
      </c>
      <c r="P40" s="40"/>
      <c r="Q40" s="127">
        <f>O40/O26-1</f>
        <v>-4.3235265330322958E-2</v>
      </c>
      <c r="R40" s="16"/>
      <c r="S40" s="66"/>
      <c r="T40" s="70">
        <f>O40/G40-1</f>
        <v>-5.2083333333333481E-2</v>
      </c>
      <c r="U40" s="7"/>
    </row>
    <row r="41" spans="1:21" ht="10.5" customHeight="1" x14ac:dyDescent="0.35">
      <c r="A41" s="88"/>
      <c r="G41" s="90"/>
      <c r="H41" s="34"/>
      <c r="I41" s="17"/>
      <c r="J41" s="17"/>
      <c r="K41" s="12"/>
      <c r="L41" s="17"/>
      <c r="O41" s="34"/>
      <c r="P41" s="34"/>
      <c r="Q41" s="17"/>
      <c r="R41" s="17"/>
      <c r="S41" s="12"/>
      <c r="T41" s="67"/>
    </row>
    <row r="42" spans="1:21" ht="10.5" customHeight="1" x14ac:dyDescent="0.35">
      <c r="A42" s="325" t="s">
        <v>23</v>
      </c>
      <c r="B42" s="24" t="s">
        <v>17</v>
      </c>
      <c r="C42" s="24" t="s">
        <v>43</v>
      </c>
      <c r="D42" s="24" t="s">
        <v>16</v>
      </c>
      <c r="E42" s="24" t="s">
        <v>18</v>
      </c>
      <c r="F42" s="24" t="s">
        <v>21</v>
      </c>
      <c r="G42" s="89" t="s">
        <v>19</v>
      </c>
      <c r="K42" s="8"/>
      <c r="L42" s="302" t="s">
        <v>35</v>
      </c>
      <c r="M42" s="63" t="s">
        <v>50</v>
      </c>
      <c r="N42" s="24" t="s">
        <v>21</v>
      </c>
      <c r="O42" s="24" t="s">
        <v>19</v>
      </c>
      <c r="S42" s="8"/>
      <c r="T42" s="22"/>
    </row>
    <row r="43" spans="1:21" ht="9" customHeight="1" x14ac:dyDescent="0.35">
      <c r="A43" s="326"/>
      <c r="B43" s="2" t="s">
        <v>14</v>
      </c>
      <c r="C43" s="84">
        <v>1</v>
      </c>
      <c r="D43" s="84">
        <f>D23</f>
        <v>1</v>
      </c>
      <c r="E43" s="29">
        <f>469.7/6.1</f>
        <v>77</v>
      </c>
      <c r="F43" s="29">
        <f>E43/$G$8/$G$18</f>
        <v>76.265411555893621</v>
      </c>
      <c r="G43" s="49">
        <f>E43/$G$8*$G$7</f>
        <v>83.924289245982692</v>
      </c>
      <c r="K43" s="9"/>
      <c r="L43" s="303"/>
      <c r="M43" s="29">
        <v>73</v>
      </c>
      <c r="N43" s="29">
        <f>M43/$G$8/$G$18</f>
        <v>72.303571994548506</v>
      </c>
      <c r="O43" s="29">
        <f>M43/$G$8*$G$7</f>
        <v>79.564585908529054</v>
      </c>
      <c r="S43" s="9"/>
      <c r="T43" s="71"/>
    </row>
    <row r="44" spans="1:21" ht="9" customHeight="1" x14ac:dyDescent="0.35">
      <c r="A44" s="326"/>
      <c r="B44" s="2" t="s">
        <v>15</v>
      </c>
      <c r="C44" s="84">
        <v>2</v>
      </c>
      <c r="D44" s="84">
        <f>D24</f>
        <v>2</v>
      </c>
      <c r="E44" s="50">
        <v>9.5</v>
      </c>
      <c r="F44" s="29">
        <f>E44/$G$8/$G$18</f>
        <v>9.4093689581946691</v>
      </c>
      <c r="G44" s="49">
        <f>E44/$G$8*$G$7</f>
        <v>10.35429542645241</v>
      </c>
      <c r="K44" s="9"/>
      <c r="L44" s="303"/>
      <c r="M44" s="50">
        <v>9</v>
      </c>
      <c r="N44" s="29">
        <f>M44/$G$8/$G$18</f>
        <v>8.9141390130265279</v>
      </c>
      <c r="O44" s="29">
        <f>M44/$G$8*$G$7</f>
        <v>9.8093325092707051</v>
      </c>
      <c r="S44" s="65"/>
      <c r="T44" s="68" t="s">
        <v>37</v>
      </c>
      <c r="U44" s="7"/>
    </row>
    <row r="45" spans="1:21" ht="9" customHeight="1" x14ac:dyDescent="0.35">
      <c r="A45" s="326"/>
      <c r="B45" s="4" t="s">
        <v>53</v>
      </c>
      <c r="F45" s="29">
        <f>SUMPRODUCT(F43:F44,D43:D44)</f>
        <v>95.084149472282959</v>
      </c>
      <c r="G45" s="91">
        <f>SUMPRODUCT(G43:G44,D43:D44)</f>
        <v>104.63288009888751</v>
      </c>
      <c r="H45" s="58"/>
      <c r="I45" s="19"/>
      <c r="J45" s="19"/>
      <c r="K45" s="9"/>
      <c r="L45" s="303"/>
      <c r="M45" s="4" t="s">
        <v>53</v>
      </c>
      <c r="N45" s="35">
        <f>SUMPRODUCT(N43:N44,D43:D44)</f>
        <v>90.131850020601561</v>
      </c>
      <c r="O45" s="35">
        <f>SUMPRODUCT(O43:O44,D43:D44)</f>
        <v>99.183250927070461</v>
      </c>
      <c r="P45" s="58"/>
      <c r="Q45" s="19"/>
      <c r="R45" s="19"/>
      <c r="S45" s="65"/>
      <c r="T45" s="69" t="s">
        <v>38</v>
      </c>
      <c r="U45" s="7"/>
    </row>
    <row r="46" spans="1:21" ht="9" customHeight="1" x14ac:dyDescent="0.35">
      <c r="A46" s="326"/>
      <c r="B46" s="4" t="s">
        <v>60</v>
      </c>
      <c r="C46" s="4"/>
      <c r="F46" s="28"/>
      <c r="G46" s="86">
        <f>G45/$G$12</f>
        <v>4.653055202708396</v>
      </c>
      <c r="H46" s="57"/>
      <c r="I46" s="18"/>
      <c r="J46" s="127">
        <f>G46/G26-1</f>
        <v>-7.9333948373901286E-2</v>
      </c>
      <c r="K46" s="11"/>
      <c r="L46" s="303"/>
      <c r="M46" s="118" t="s">
        <v>60</v>
      </c>
      <c r="N46" s="119">
        <f>O46/G26-1</f>
        <v>-0.16085125502829534</v>
      </c>
      <c r="O46" s="120">
        <f>O45/($G$12*$G$15+$G$12)</f>
        <v>4.2410659399685908</v>
      </c>
      <c r="P46" s="57"/>
      <c r="Q46" s="18"/>
      <c r="R46" s="127">
        <f>O46/O26-1</f>
        <v>-0.11475434620107883</v>
      </c>
      <c r="S46" s="11"/>
      <c r="T46" s="70">
        <f>O46/G46-1</f>
        <v>-8.8541666666666519E-2</v>
      </c>
      <c r="U46" s="7"/>
    </row>
    <row r="47" spans="1:21" ht="9" customHeight="1" x14ac:dyDescent="0.35">
      <c r="A47" s="326"/>
      <c r="B47" s="112" t="s">
        <v>61</v>
      </c>
      <c r="C47" s="83"/>
      <c r="D47" s="34"/>
      <c r="E47" s="34"/>
      <c r="F47" s="2"/>
      <c r="G47" s="129">
        <f>G39-G45</f>
        <v>4.1038318912237344</v>
      </c>
      <c r="H47" s="34"/>
      <c r="I47" s="17"/>
      <c r="J47" s="17"/>
      <c r="K47" s="12"/>
      <c r="L47" s="303"/>
      <c r="M47" s="112" t="s">
        <v>61</v>
      </c>
      <c r="N47" s="34"/>
      <c r="O47" s="129">
        <f>O39-O45</f>
        <v>3.8900906468891492</v>
      </c>
      <c r="P47" s="34"/>
      <c r="Q47" s="17"/>
      <c r="R47" s="17"/>
      <c r="S47" s="12"/>
      <c r="T47" s="34"/>
    </row>
    <row r="48" spans="1:21" ht="9" customHeight="1" x14ac:dyDescent="0.35">
      <c r="A48" s="327"/>
      <c r="B48" s="112" t="s">
        <v>62</v>
      </c>
      <c r="C48" s="83"/>
      <c r="D48" s="34"/>
      <c r="E48" s="34"/>
      <c r="F48" s="2"/>
      <c r="G48" s="125">
        <f>G40-G46</f>
        <v>0.1824986210305255</v>
      </c>
      <c r="H48" s="34"/>
      <c r="I48" s="17"/>
      <c r="J48" s="17"/>
      <c r="K48" s="12"/>
      <c r="L48" s="304"/>
      <c r="M48" s="112" t="s">
        <v>62</v>
      </c>
      <c r="O48" s="125">
        <f>O40-O46</f>
        <v>0.34263612211726091</v>
      </c>
      <c r="P48" s="34"/>
      <c r="Q48" s="17"/>
      <c r="R48" s="17"/>
      <c r="S48" s="12"/>
      <c r="T48" s="34"/>
    </row>
    <row r="49" spans="1:21" ht="10.5" customHeight="1" x14ac:dyDescent="0.35">
      <c r="A49" s="21"/>
      <c r="B49" s="83"/>
      <c r="C49" s="83"/>
      <c r="D49" s="34"/>
      <c r="E49" s="34"/>
      <c r="F49" s="34"/>
      <c r="G49" s="34"/>
      <c r="H49" s="34"/>
      <c r="I49" s="17"/>
      <c r="J49" s="17"/>
      <c r="K49" s="12"/>
      <c r="L49" s="17"/>
      <c r="O49" s="43"/>
      <c r="P49" s="34"/>
      <c r="Q49" s="17"/>
      <c r="R49" s="17"/>
      <c r="S49" s="12"/>
      <c r="T49" s="34"/>
    </row>
    <row r="50" spans="1:21" ht="10.5" customHeight="1" x14ac:dyDescent="0.35">
      <c r="A50" s="21"/>
      <c r="B50" s="334" t="s">
        <v>31</v>
      </c>
      <c r="C50" s="335"/>
      <c r="D50" s="336"/>
      <c r="E50" s="96">
        <f>$B$3</f>
        <v>46082</v>
      </c>
      <c r="F50" s="24" t="s">
        <v>20</v>
      </c>
      <c r="G50" s="30">
        <f>$B$4</f>
        <v>46331</v>
      </c>
      <c r="M50" s="30">
        <f>$B$3</f>
        <v>46082</v>
      </c>
      <c r="N50" s="24" t="s">
        <v>20</v>
      </c>
      <c r="O50" s="30">
        <f>$B$4</f>
        <v>46331</v>
      </c>
    </row>
    <row r="51" spans="1:21" ht="10.5" customHeight="1" x14ac:dyDescent="0.35">
      <c r="A51" s="332" t="s">
        <v>22</v>
      </c>
      <c r="B51" s="24" t="s">
        <v>17</v>
      </c>
      <c r="C51" s="24" t="s">
        <v>43</v>
      </c>
      <c r="D51" s="98" t="s">
        <v>44</v>
      </c>
      <c r="E51" s="24" t="s">
        <v>18</v>
      </c>
      <c r="F51" s="93">
        <v>0.04</v>
      </c>
      <c r="G51" s="24" t="s">
        <v>19</v>
      </c>
      <c r="K51" s="8"/>
      <c r="L51" s="313" t="s">
        <v>36</v>
      </c>
      <c r="M51" s="64" t="s">
        <v>50</v>
      </c>
      <c r="N51" s="25">
        <v>0.04</v>
      </c>
      <c r="O51" s="24" t="s">
        <v>19</v>
      </c>
      <c r="S51" s="8"/>
    </row>
    <row r="52" spans="1:21" ht="9" customHeight="1" x14ac:dyDescent="0.35">
      <c r="A52" s="332"/>
      <c r="B52" s="2" t="s">
        <v>14</v>
      </c>
      <c r="C52" s="39">
        <v>1</v>
      </c>
      <c r="D52" s="82">
        <v>1</v>
      </c>
      <c r="E52" s="47">
        <v>469.7</v>
      </c>
      <c r="F52" s="94">
        <f>E52/$B$8/$B$18</f>
        <v>465.21901049095112</v>
      </c>
      <c r="G52" s="31">
        <f>E52/$B$8*$B$7</f>
        <v>558.1195251339102</v>
      </c>
      <c r="K52" s="9"/>
      <c r="L52" s="314"/>
      <c r="M52" s="27">
        <v>445.3</v>
      </c>
      <c r="N52" s="26">
        <f>M52/$B$8/$B$18</f>
        <v>441.05178916674589</v>
      </c>
      <c r="O52" s="31">
        <f>M52/$B$8*$B$7</f>
        <v>529.12630304903178</v>
      </c>
      <c r="S52" s="9"/>
    </row>
    <row r="53" spans="1:21" ht="9" customHeight="1" x14ac:dyDescent="0.35">
      <c r="A53" s="332"/>
      <c r="B53" s="2" t="s">
        <v>15</v>
      </c>
      <c r="C53" s="97">
        <v>3</v>
      </c>
      <c r="D53" s="82">
        <v>3</v>
      </c>
      <c r="E53" s="48">
        <v>9.5</v>
      </c>
      <c r="F53" s="47">
        <f>E53/$B$8*$B$10/$B$18</f>
        <v>51.751529270070677</v>
      </c>
      <c r="G53" s="32">
        <f>E53/$B$8*$B$10*$B$7</f>
        <v>62.085895653069635</v>
      </c>
      <c r="K53" s="9"/>
      <c r="L53" s="314"/>
      <c r="M53" s="50">
        <v>9</v>
      </c>
      <c r="N53" s="27">
        <f>M53/$B$8*$B$10/$B$18</f>
        <v>49.027764571645911</v>
      </c>
      <c r="O53" s="32">
        <f>M53/$B$8*$B$10*$B$7</f>
        <v>58.818216934487026</v>
      </c>
      <c r="S53" s="9"/>
      <c r="T53" s="58"/>
    </row>
    <row r="54" spans="1:21" ht="9" customHeight="1" x14ac:dyDescent="0.35">
      <c r="A54" s="332"/>
      <c r="B54" s="2" t="s">
        <v>25</v>
      </c>
      <c r="C54" s="97">
        <v>2</v>
      </c>
      <c r="D54" s="82">
        <v>2</v>
      </c>
      <c r="E54" s="48">
        <v>178.4</v>
      </c>
      <c r="F54" s="94">
        <f>E54/$B$8/$B$18</f>
        <v>176.69804443599253</v>
      </c>
      <c r="G54" s="31">
        <f>E54/$B$8*$B$7</f>
        <v>211.98323032550476</v>
      </c>
      <c r="K54" s="9"/>
      <c r="L54" s="314"/>
      <c r="M54" s="27">
        <v>168.5</v>
      </c>
      <c r="N54" s="26">
        <f>M54/$B$8/$B$18</f>
        <v>166.89249152166335</v>
      </c>
      <c r="O54" s="31">
        <f>M54/$B$8*$B$7</f>
        <v>200.21958693860736</v>
      </c>
      <c r="S54" s="65"/>
      <c r="T54" s="68" t="s">
        <v>37</v>
      </c>
      <c r="U54" s="7"/>
    </row>
    <row r="55" spans="1:21" ht="9" customHeight="1" x14ac:dyDescent="0.35">
      <c r="A55" s="332"/>
      <c r="B55" s="4" t="s">
        <v>52</v>
      </c>
      <c r="D55" s="34"/>
      <c r="F55" s="47">
        <f>SUMPRODUCT(F52:F54,D52:D54)</f>
        <v>973.86968717314824</v>
      </c>
      <c r="G55" s="33">
        <f>SUMPRODUCT(G52:G54,D52:D54)</f>
        <v>1168.3436727441288</v>
      </c>
      <c r="K55" s="12"/>
      <c r="L55" s="314"/>
      <c r="M55" s="4" t="s">
        <v>52</v>
      </c>
      <c r="N55" s="27">
        <f>SUMPRODUCT(N52:N54,D52:D54)</f>
        <v>921.92006592501025</v>
      </c>
      <c r="O55" s="33">
        <f>SUMPRODUCT(O52:O54,D52:D54)</f>
        <v>1106.0201277297076</v>
      </c>
      <c r="S55" s="74"/>
      <c r="T55" s="69" t="s">
        <v>38</v>
      </c>
      <c r="U55" s="7"/>
    </row>
    <row r="56" spans="1:21" ht="9" customHeight="1" x14ac:dyDescent="0.35">
      <c r="A56" s="332"/>
      <c r="B56" s="4" t="s">
        <v>60</v>
      </c>
      <c r="F56" s="95"/>
      <c r="G56" s="86">
        <f>G55/$B$11</f>
        <v>8.6543975758824345</v>
      </c>
      <c r="H56" s="57"/>
      <c r="I56" s="16"/>
      <c r="J56" s="16"/>
      <c r="K56" s="6"/>
      <c r="L56" s="315"/>
      <c r="M56" s="4" t="s">
        <v>60</v>
      </c>
      <c r="N56" s="28"/>
      <c r="O56" s="86">
        <f>O55/$B$11</f>
        <v>8.1927416868867233</v>
      </c>
      <c r="P56" s="57"/>
      <c r="Q56" s="16"/>
      <c r="R56" s="16"/>
      <c r="S56" s="13"/>
      <c r="T56" s="70">
        <f>O56/G56-1</f>
        <v>-5.3343503686753002E-2</v>
      </c>
      <c r="U56" s="7"/>
    </row>
    <row r="57" spans="1:21" ht="10.5" customHeight="1" x14ac:dyDescent="0.35">
      <c r="A57" s="88"/>
      <c r="F57" s="57"/>
      <c r="G57" s="34"/>
      <c r="L57" s="19"/>
      <c r="M57" s="58"/>
      <c r="O57" s="34"/>
      <c r="T57" s="34"/>
    </row>
    <row r="58" spans="1:21" ht="10.5" customHeight="1" x14ac:dyDescent="0.35">
      <c r="A58" s="325" t="s">
        <v>12</v>
      </c>
      <c r="B58" s="24" t="s">
        <v>17</v>
      </c>
      <c r="C58" s="24" t="s">
        <v>43</v>
      </c>
      <c r="D58" s="24" t="s">
        <v>16</v>
      </c>
      <c r="E58" s="24" t="s">
        <v>18</v>
      </c>
      <c r="F58" s="89" t="s">
        <v>21</v>
      </c>
      <c r="G58" s="24" t="s">
        <v>19</v>
      </c>
      <c r="K58" s="73"/>
      <c r="L58" s="313" t="s">
        <v>36</v>
      </c>
      <c r="M58" s="64" t="s">
        <v>50</v>
      </c>
      <c r="N58" s="89" t="s">
        <v>21</v>
      </c>
      <c r="O58" s="24" t="s">
        <v>19</v>
      </c>
      <c r="S58" s="8"/>
    </row>
    <row r="59" spans="1:21" ht="9" customHeight="1" x14ac:dyDescent="0.35">
      <c r="A59" s="326"/>
      <c r="B59" s="2" t="s">
        <v>14</v>
      </c>
      <c r="C59" s="39">
        <v>1</v>
      </c>
      <c r="D59" s="84">
        <f>D52</f>
        <v>1</v>
      </c>
      <c r="E59" s="27">
        <v>469.7</v>
      </c>
      <c r="F59" s="47">
        <f>E59/$C$8/$C$18</f>
        <v>465.21901049095112</v>
      </c>
      <c r="G59" s="27">
        <f>E59/$C$8*$C$7</f>
        <v>542.05644313967855</v>
      </c>
      <c r="K59" s="65"/>
      <c r="L59" s="314"/>
      <c r="M59" s="27">
        <v>445.3</v>
      </c>
      <c r="N59" s="47">
        <f>M59/$C$8/$C$18</f>
        <v>441.05178916674589</v>
      </c>
      <c r="O59" s="27">
        <f>M59/$C$8*$C$7</f>
        <v>513.89766687268229</v>
      </c>
      <c r="S59" s="9"/>
    </row>
    <row r="60" spans="1:21" ht="9" customHeight="1" x14ac:dyDescent="0.35">
      <c r="A60" s="326"/>
      <c r="B60" s="2" t="s">
        <v>15</v>
      </c>
      <c r="C60" s="15">
        <v>3</v>
      </c>
      <c r="D60" s="84">
        <f t="shared" ref="D60:D61" si="0">D53</f>
        <v>3</v>
      </c>
      <c r="E60" s="50">
        <v>9.5</v>
      </c>
      <c r="F60" s="47">
        <f>E60/$C$8*$C$10/$C$18</f>
        <v>51.751529270070677</v>
      </c>
      <c r="G60" s="27">
        <f>E60/$C$8*$C$10*$C$7</f>
        <v>60.299018850432631</v>
      </c>
      <c r="H60" s="58"/>
      <c r="K60" s="65"/>
      <c r="L60" s="314"/>
      <c r="M60" s="50">
        <v>9</v>
      </c>
      <c r="N60" s="47">
        <f>M60/$C$8*$C$10/$C$18</f>
        <v>49.027764571645911</v>
      </c>
      <c r="O60" s="27">
        <f>M60/$C$8*$C$10*$C$7</f>
        <v>57.12538627935723</v>
      </c>
      <c r="P60" s="58"/>
      <c r="S60" s="9"/>
      <c r="T60" s="58"/>
    </row>
    <row r="61" spans="1:21" ht="9" customHeight="1" x14ac:dyDescent="0.35">
      <c r="A61" s="326"/>
      <c r="B61" s="2" t="s">
        <v>25</v>
      </c>
      <c r="C61" s="15">
        <v>2</v>
      </c>
      <c r="D61" s="84">
        <f t="shared" si="0"/>
        <v>2</v>
      </c>
      <c r="E61" s="27">
        <v>178.4</v>
      </c>
      <c r="F61" s="47">
        <f>E61/$C$8/$C$18</f>
        <v>176.69804443599253</v>
      </c>
      <c r="G61" s="51">
        <f>E61/$C$8*$C$7</f>
        <v>205.88220024721878</v>
      </c>
      <c r="H61" s="15"/>
      <c r="I61" s="59"/>
      <c r="J61" s="19"/>
      <c r="K61" s="65"/>
      <c r="L61" s="314"/>
      <c r="M61" s="27">
        <v>168.5</v>
      </c>
      <c r="N61" s="47">
        <f>M61/$C$8/$C$18</f>
        <v>166.89249152166335</v>
      </c>
      <c r="O61" s="27">
        <f>M61/$C$8*$C$7</f>
        <v>194.45712299134735</v>
      </c>
      <c r="P61" s="15"/>
      <c r="Q61" s="59"/>
      <c r="R61" s="19"/>
      <c r="S61" s="65"/>
      <c r="T61" s="68" t="s">
        <v>37</v>
      </c>
      <c r="U61" s="7"/>
    </row>
    <row r="62" spans="1:21" ht="9" customHeight="1" x14ac:dyDescent="0.35">
      <c r="A62" s="326"/>
      <c r="B62" s="4" t="s">
        <v>52</v>
      </c>
      <c r="F62" s="47">
        <f>SUMPRODUCT(F59:F61,D59:D61)</f>
        <v>973.86968717314824</v>
      </c>
      <c r="G62" s="52">
        <f>SUMPRODUCT(G59:G61,D59:D61)</f>
        <v>1134.717900185414</v>
      </c>
      <c r="H62" s="19"/>
      <c r="I62" s="59"/>
      <c r="J62" s="19"/>
      <c r="K62" s="65"/>
      <c r="L62" s="314"/>
      <c r="M62" s="4" t="s">
        <v>52</v>
      </c>
      <c r="N62" s="38">
        <f>SUMPRODUCT(N59:N61,D59:D61)</f>
        <v>921.92006592501025</v>
      </c>
      <c r="O62" s="33">
        <f>SUMPRODUCT(O59:O61,D59:D61)</f>
        <v>1074.1880716934486</v>
      </c>
      <c r="P62" s="19"/>
      <c r="Q62" s="59"/>
      <c r="R62" s="19"/>
      <c r="S62" s="65"/>
      <c r="T62" s="69" t="s">
        <v>38</v>
      </c>
      <c r="U62" s="7"/>
    </row>
    <row r="63" spans="1:21" ht="9" customHeight="1" x14ac:dyDescent="0.35">
      <c r="A63" s="326"/>
      <c r="B63" s="4" t="s">
        <v>60</v>
      </c>
      <c r="F63" s="95"/>
      <c r="G63" s="87">
        <f>G62/$C$11</f>
        <v>8.4053177791512148</v>
      </c>
      <c r="H63" s="127">
        <f>G63/G56-1</f>
        <v>-2.8780720384898983E-2</v>
      </c>
      <c r="I63" s="18"/>
      <c r="J63" s="18"/>
      <c r="K63" s="11"/>
      <c r="L63" s="314"/>
      <c r="M63" s="118" t="s">
        <v>60</v>
      </c>
      <c r="N63" s="119">
        <f>O63/G56-1</f>
        <v>-0.11595092269970475</v>
      </c>
      <c r="O63" s="120">
        <f>O62/($C$11*$C$15+$C$11)</f>
        <v>7.6509121915487786</v>
      </c>
      <c r="P63" s="127">
        <f>O63/O56-1</f>
        <v>-6.6135308062402975E-2</v>
      </c>
      <c r="Q63" s="18"/>
      <c r="R63" s="18"/>
      <c r="S63" s="11"/>
      <c r="T63" s="70">
        <f>O63/G63-1</f>
        <v>-8.9753368929570421E-2</v>
      </c>
      <c r="U63" s="7"/>
    </row>
    <row r="64" spans="1:21" ht="9" customHeight="1" x14ac:dyDescent="0.35">
      <c r="A64" s="326"/>
      <c r="B64" s="112" t="s">
        <v>61</v>
      </c>
      <c r="G64" s="124">
        <f>G55-G62</f>
        <v>33.625772558714743</v>
      </c>
      <c r="H64" s="17"/>
      <c r="I64" s="60"/>
      <c r="J64" s="17"/>
      <c r="K64" s="12"/>
      <c r="L64" s="314"/>
      <c r="M64" s="112" t="s">
        <v>61</v>
      </c>
      <c r="N64" s="34"/>
      <c r="O64" s="124">
        <f>O55-O62</f>
        <v>31.832056036259019</v>
      </c>
      <c r="P64" s="17"/>
      <c r="Q64" s="60"/>
      <c r="R64" s="17"/>
      <c r="S64" s="12"/>
      <c r="T64" s="34"/>
    </row>
    <row r="65" spans="1:21" ht="9" customHeight="1" x14ac:dyDescent="0.35">
      <c r="A65" s="327"/>
      <c r="B65" s="112" t="s">
        <v>62</v>
      </c>
      <c r="G65" s="125">
        <f>G56-G63</f>
        <v>0.24907979673121972</v>
      </c>
      <c r="H65" s="17"/>
      <c r="I65" s="60"/>
      <c r="J65" s="17"/>
      <c r="K65" s="12"/>
      <c r="L65" s="314"/>
      <c r="M65" s="112" t="s">
        <v>62</v>
      </c>
      <c r="O65" s="125">
        <f>O56-O63</f>
        <v>0.54182949533794478</v>
      </c>
      <c r="P65" s="17"/>
      <c r="Q65" s="60"/>
      <c r="R65" s="17"/>
      <c r="S65" s="12"/>
      <c r="T65" s="34"/>
    </row>
    <row r="66" spans="1:21" ht="10.5" customHeight="1" x14ac:dyDescent="0.35">
      <c r="A66" s="88"/>
      <c r="F66" s="57"/>
      <c r="G66" s="41"/>
      <c r="H66" s="17"/>
      <c r="I66" s="60"/>
      <c r="J66" s="17"/>
      <c r="K66" s="12"/>
      <c r="L66" s="111"/>
      <c r="M66" s="34"/>
      <c r="O66" s="34"/>
      <c r="P66" s="17"/>
      <c r="Q66" s="60"/>
      <c r="R66" s="17"/>
      <c r="S66" s="12"/>
      <c r="T66" s="34"/>
    </row>
    <row r="67" spans="1:21" ht="10.5" customHeight="1" x14ac:dyDescent="0.35">
      <c r="A67" s="328" t="s">
        <v>24</v>
      </c>
      <c r="B67" s="24" t="s">
        <v>17</v>
      </c>
      <c r="C67" s="24" t="s">
        <v>43</v>
      </c>
      <c r="D67" s="24" t="s">
        <v>16</v>
      </c>
      <c r="E67" s="24" t="s">
        <v>18</v>
      </c>
      <c r="F67" s="89" t="s">
        <v>21</v>
      </c>
      <c r="G67" s="72" t="s">
        <v>19</v>
      </c>
      <c r="H67" s="15"/>
      <c r="I67" s="16"/>
      <c r="L67" s="313" t="s">
        <v>36</v>
      </c>
      <c r="M67" s="64" t="s">
        <v>50</v>
      </c>
      <c r="N67" s="24" t="s">
        <v>21</v>
      </c>
      <c r="O67" s="24" t="s">
        <v>19</v>
      </c>
      <c r="P67" s="15"/>
      <c r="Q67" s="16"/>
    </row>
    <row r="68" spans="1:21" ht="9" customHeight="1" x14ac:dyDescent="0.35">
      <c r="A68" s="328"/>
      <c r="B68" s="2" t="s">
        <v>14</v>
      </c>
      <c r="C68" s="39">
        <v>1</v>
      </c>
      <c r="D68" s="84">
        <f>D52</f>
        <v>1</v>
      </c>
      <c r="E68" s="29">
        <f>469.7/6.1</f>
        <v>77</v>
      </c>
      <c r="F68" s="49">
        <f>E68/$F$8/$F$18</f>
        <v>76.265411555893621</v>
      </c>
      <c r="G68" s="53">
        <f>E68/$F$8*$F$7</f>
        <v>87.215904408735057</v>
      </c>
      <c r="H68" s="15"/>
      <c r="I68" s="16"/>
      <c r="L68" s="314"/>
      <c r="M68" s="29">
        <v>73</v>
      </c>
      <c r="N68" s="29">
        <f>M68/$F$8/$F$18</f>
        <v>72.303571994548506</v>
      </c>
      <c r="O68" s="29">
        <f>M68/$F$8*$F$7</f>
        <v>82.685208075813748</v>
      </c>
      <c r="P68" s="15"/>
      <c r="Q68" s="16"/>
    </row>
    <row r="69" spans="1:21" ht="9" customHeight="1" x14ac:dyDescent="0.35">
      <c r="A69" s="328"/>
      <c r="B69" s="2" t="s">
        <v>15</v>
      </c>
      <c r="C69" s="15">
        <v>3</v>
      </c>
      <c r="D69" s="84">
        <f>D53</f>
        <v>3</v>
      </c>
      <c r="E69" s="50">
        <v>9.5</v>
      </c>
      <c r="F69" s="49">
        <f>E69/$F$8/$F$18</f>
        <v>9.4093689581946691</v>
      </c>
      <c r="G69" s="53">
        <f>E69/$F$8*$F$7</f>
        <v>10.760403790688091</v>
      </c>
      <c r="H69" s="15"/>
      <c r="I69" s="16"/>
      <c r="L69" s="314"/>
      <c r="M69" s="50">
        <v>9</v>
      </c>
      <c r="N69" s="29">
        <f>M69/$F$8/$F$18</f>
        <v>8.9141390130265279</v>
      </c>
      <c r="O69" s="29">
        <f>M69/$F$8*$F$7</f>
        <v>10.194066749072929</v>
      </c>
      <c r="P69" s="15"/>
      <c r="Q69" s="16"/>
      <c r="T69" s="58"/>
    </row>
    <row r="70" spans="1:21" ht="9" customHeight="1" x14ac:dyDescent="0.35">
      <c r="A70" s="328"/>
      <c r="B70" s="2" t="s">
        <v>25</v>
      </c>
      <c r="C70" s="15">
        <v>2</v>
      </c>
      <c r="D70" s="84">
        <f>D54</f>
        <v>2</v>
      </c>
      <c r="E70" s="50">
        <v>29.73</v>
      </c>
      <c r="F70" s="49">
        <f>E70/$F$8/$F$18</f>
        <v>29.446372539697631</v>
      </c>
      <c r="G70" s="53">
        <f>E70/$F$8*$F$7</f>
        <v>33.674400494437577</v>
      </c>
      <c r="H70" s="15"/>
      <c r="I70" s="59"/>
      <c r="J70" s="19"/>
      <c r="K70" s="8"/>
      <c r="L70" s="314"/>
      <c r="M70" s="50">
        <v>27.62</v>
      </c>
      <c r="N70" s="29">
        <f>M70/$F$8/$F$18</f>
        <v>27.356502171088081</v>
      </c>
      <c r="O70" s="29">
        <f>M70/$F$8*$F$7</f>
        <v>31.284458178821591</v>
      </c>
      <c r="P70" s="15"/>
      <c r="Q70" s="59"/>
      <c r="R70" s="19"/>
      <c r="S70" s="73"/>
      <c r="T70" s="68" t="s">
        <v>37</v>
      </c>
      <c r="U70" s="7"/>
    </row>
    <row r="71" spans="1:21" ht="9" customHeight="1" x14ac:dyDescent="0.35">
      <c r="A71" s="328"/>
      <c r="B71" s="4" t="s">
        <v>53</v>
      </c>
      <c r="F71" s="49">
        <f>SUMPRODUCT(F68:F70,D68:D70)</f>
        <v>163.38626350987289</v>
      </c>
      <c r="G71" s="54">
        <f>SUMPRODUCT(G68:G70,D68:D70)</f>
        <v>186.84591676967449</v>
      </c>
      <c r="H71" s="15"/>
      <c r="I71" s="59"/>
      <c r="J71" s="19"/>
      <c r="K71" s="8"/>
      <c r="L71" s="314"/>
      <c r="M71" s="4" t="s">
        <v>53</v>
      </c>
      <c r="N71" s="29">
        <f>SUMPRODUCT(N68:N70,D68:D70)</f>
        <v>153.75899337580427</v>
      </c>
      <c r="O71" s="35">
        <f>SUMPRODUCT(O68:O70,D68:D70)</f>
        <v>175.83632468067572</v>
      </c>
      <c r="P71" s="15"/>
      <c r="Q71" s="59"/>
      <c r="R71" s="19"/>
      <c r="S71" s="73"/>
      <c r="T71" s="69" t="s">
        <v>38</v>
      </c>
      <c r="U71" s="7"/>
    </row>
    <row r="72" spans="1:21" ht="9" customHeight="1" x14ac:dyDescent="0.35">
      <c r="A72" s="328"/>
      <c r="B72" s="4" t="s">
        <v>60</v>
      </c>
      <c r="F72" s="95"/>
      <c r="G72" s="86">
        <f>G71/$F$12</f>
        <v>8.3090933204580466</v>
      </c>
      <c r="H72" s="61"/>
      <c r="I72" s="127">
        <f>G72/G56-1</f>
        <v>-3.9899282693767302E-2</v>
      </c>
      <c r="J72" s="16"/>
      <c r="K72" s="6"/>
      <c r="L72" s="315"/>
      <c r="M72" s="4" t="s">
        <v>60</v>
      </c>
      <c r="N72" s="28"/>
      <c r="O72" s="86">
        <f>O71/$F$12</f>
        <v>7.8194934958044797</v>
      </c>
      <c r="P72" s="61"/>
      <c r="Q72" s="127">
        <f>O72/O56-1</f>
        <v>-4.5558398561456381E-2</v>
      </c>
      <c r="R72" s="16"/>
      <c r="S72" s="13"/>
      <c r="T72" s="70">
        <f>O72/G72-1</f>
        <v>-5.8923375363724717E-2</v>
      </c>
      <c r="U72" s="7"/>
    </row>
    <row r="73" spans="1:21" ht="10.5" customHeight="1" x14ac:dyDescent="0.35">
      <c r="A73" s="88"/>
      <c r="F73" s="57"/>
      <c r="G73" s="41"/>
      <c r="H73" s="15"/>
      <c r="I73" s="60"/>
      <c r="J73" s="17"/>
      <c r="K73" s="12"/>
      <c r="L73" s="17"/>
      <c r="O73" s="34"/>
      <c r="P73" s="15"/>
      <c r="Q73" s="60"/>
      <c r="R73" s="17"/>
      <c r="S73" s="12"/>
      <c r="T73" s="34"/>
    </row>
    <row r="74" spans="1:21" ht="10.5" customHeight="1" x14ac:dyDescent="0.35">
      <c r="A74" s="325" t="s">
        <v>23</v>
      </c>
      <c r="B74" s="24" t="s">
        <v>17</v>
      </c>
      <c r="C74" s="24" t="s">
        <v>43</v>
      </c>
      <c r="D74" s="24" t="s">
        <v>16</v>
      </c>
      <c r="E74" s="24" t="s">
        <v>18</v>
      </c>
      <c r="F74" s="89" t="s">
        <v>21</v>
      </c>
      <c r="G74" s="72" t="s">
        <v>19</v>
      </c>
      <c r="H74" s="15"/>
      <c r="I74" s="16"/>
      <c r="K74" s="76"/>
      <c r="L74" s="313" t="s">
        <v>36</v>
      </c>
      <c r="M74" s="64" t="s">
        <v>50</v>
      </c>
      <c r="N74" s="24" t="s">
        <v>21</v>
      </c>
      <c r="O74" s="24" t="s">
        <v>19</v>
      </c>
      <c r="P74" s="15"/>
      <c r="Q74" s="16"/>
    </row>
    <row r="75" spans="1:21" ht="9" customHeight="1" x14ac:dyDescent="0.35">
      <c r="A75" s="326"/>
      <c r="B75" s="2" t="s">
        <v>14</v>
      </c>
      <c r="C75" s="39">
        <v>1</v>
      </c>
      <c r="D75" s="84">
        <f>D52</f>
        <v>1</v>
      </c>
      <c r="E75" s="29">
        <f>469.7/6.1</f>
        <v>77</v>
      </c>
      <c r="F75" s="49">
        <f>E75/$G$8/$G$18</f>
        <v>76.265411555893621</v>
      </c>
      <c r="G75" s="53">
        <f>E75/$G$8*$G$7</f>
        <v>83.924289245982692</v>
      </c>
      <c r="H75" s="15"/>
      <c r="I75" s="16"/>
      <c r="K75" s="76"/>
      <c r="L75" s="314"/>
      <c r="M75" s="29">
        <v>73</v>
      </c>
      <c r="N75" s="29">
        <f>M75/$G$8/$G$18</f>
        <v>72.303571994548506</v>
      </c>
      <c r="O75" s="29">
        <f>M75/$G$8*$G$7</f>
        <v>79.564585908529054</v>
      </c>
      <c r="P75" s="15"/>
      <c r="Q75" s="16"/>
    </row>
    <row r="76" spans="1:21" ht="9" customHeight="1" x14ac:dyDescent="0.35">
      <c r="A76" s="326"/>
      <c r="B76" s="2" t="s">
        <v>15</v>
      </c>
      <c r="C76" s="15">
        <v>3</v>
      </c>
      <c r="D76" s="84">
        <f>D53</f>
        <v>3</v>
      </c>
      <c r="E76" s="50">
        <v>9.5</v>
      </c>
      <c r="F76" s="49">
        <f>E76/$G$8/$G$18</f>
        <v>9.4093689581946691</v>
      </c>
      <c r="G76" s="53">
        <f>E76/$G$8*$G$7</f>
        <v>10.35429542645241</v>
      </c>
      <c r="H76" s="15"/>
      <c r="I76" s="16"/>
      <c r="K76" s="76"/>
      <c r="L76" s="314"/>
      <c r="M76" s="50">
        <v>9</v>
      </c>
      <c r="N76" s="29">
        <f>M76/$G$8/$G$18</f>
        <v>8.9141390130265279</v>
      </c>
      <c r="O76" s="29">
        <f>M76/$G$8*$G$7</f>
        <v>9.8093325092707051</v>
      </c>
      <c r="P76" s="15"/>
      <c r="Q76" s="16"/>
      <c r="T76" s="58"/>
    </row>
    <row r="77" spans="1:21" ht="9" customHeight="1" x14ac:dyDescent="0.35">
      <c r="A77" s="326"/>
      <c r="B77" s="2" t="s">
        <v>25</v>
      </c>
      <c r="C77" s="15">
        <v>2</v>
      </c>
      <c r="D77" s="84">
        <f>D54</f>
        <v>2</v>
      </c>
      <c r="E77" s="50">
        <v>29.73</v>
      </c>
      <c r="F77" s="49">
        <f>E77/$G$8/$G$18</f>
        <v>29.446372539697631</v>
      </c>
      <c r="G77" s="53">
        <f>E77/$G$8*$G$7</f>
        <v>32.403495055624226</v>
      </c>
      <c r="H77" s="15"/>
      <c r="I77" s="59"/>
      <c r="J77" s="19"/>
      <c r="K77" s="73"/>
      <c r="L77" s="314"/>
      <c r="M77" s="50">
        <v>27.62</v>
      </c>
      <c r="N77" s="29">
        <f>M77/$G$8/$G$18</f>
        <v>27.356502171088081</v>
      </c>
      <c r="O77" s="29">
        <f>M77/$G$8*$G$7</f>
        <v>30.103751545117433</v>
      </c>
      <c r="P77" s="15"/>
      <c r="Q77" s="59"/>
      <c r="R77" s="19"/>
      <c r="S77" s="73"/>
      <c r="T77" s="68" t="s">
        <v>37</v>
      </c>
      <c r="U77" s="7"/>
    </row>
    <row r="78" spans="1:21" ht="9" customHeight="1" x14ac:dyDescent="0.35">
      <c r="A78" s="326"/>
      <c r="B78" s="4" t="s">
        <v>53</v>
      </c>
      <c r="F78" s="49">
        <f>SUMPRODUCT(F75:F77,D75:D77)</f>
        <v>163.38626350987289</v>
      </c>
      <c r="G78" s="54">
        <f>SUMPRODUCT(G75:G77,D75:D77)</f>
        <v>179.79416563658839</v>
      </c>
      <c r="H78" s="15"/>
      <c r="I78" s="59"/>
      <c r="J78" s="19"/>
      <c r="K78" s="73"/>
      <c r="L78" s="314"/>
      <c r="M78" s="4" t="s">
        <v>53</v>
      </c>
      <c r="N78" s="35">
        <f>SUMPRODUCT(N75:N77,D75:D77)</f>
        <v>153.75899337580427</v>
      </c>
      <c r="O78" s="35">
        <f>SUMPRODUCT(O75:O77,D75:D77)</f>
        <v>169.20008652657603</v>
      </c>
      <c r="P78" s="15"/>
      <c r="Q78" s="59"/>
      <c r="R78" s="19"/>
      <c r="S78" s="73"/>
      <c r="T78" s="69" t="s">
        <v>38</v>
      </c>
      <c r="U78" s="7"/>
    </row>
    <row r="79" spans="1:21" ht="9" customHeight="1" x14ac:dyDescent="0.35">
      <c r="A79" s="326"/>
      <c r="B79" s="4" t="s">
        <v>60</v>
      </c>
      <c r="F79" s="95"/>
      <c r="G79" s="86">
        <f>G78/$G$12</f>
        <v>7.9954998566539279</v>
      </c>
      <c r="H79" s="62"/>
      <c r="I79" s="18"/>
      <c r="J79" s="127">
        <f>G79/G56-1</f>
        <v>-7.6134440722330998E-2</v>
      </c>
      <c r="K79" s="11"/>
      <c r="L79" s="314"/>
      <c r="M79" s="118" t="s">
        <v>60</v>
      </c>
      <c r="N79" s="119">
        <f>O79/G56-1</f>
        <v>-0.16401126717044845</v>
      </c>
      <c r="O79" s="120">
        <f>O78/($G$12*$G$15+$G$12)</f>
        <v>7.2349788628650993</v>
      </c>
      <c r="P79" s="62"/>
      <c r="Q79" s="18"/>
      <c r="R79" s="127">
        <f>O79/O56-1</f>
        <v>-0.1169038229967162</v>
      </c>
      <c r="S79" s="11"/>
      <c r="T79" s="70">
        <f>O79/G79-1</f>
        <v>-9.5118630157427386E-2</v>
      </c>
      <c r="U79" s="7"/>
    </row>
    <row r="80" spans="1:21" ht="9" customHeight="1" x14ac:dyDescent="0.35">
      <c r="A80" s="326"/>
      <c r="B80" s="112" t="s">
        <v>61</v>
      </c>
      <c r="C80" s="83"/>
      <c r="D80" s="34"/>
      <c r="E80" s="34"/>
      <c r="F80" s="2"/>
      <c r="G80" s="129">
        <f>G71-G78</f>
        <v>7.0517511330860998</v>
      </c>
      <c r="H80" s="34"/>
      <c r="I80" s="17"/>
      <c r="J80" s="17"/>
      <c r="K80" s="12"/>
      <c r="L80" s="314"/>
      <c r="M80" s="112" t="s">
        <v>61</v>
      </c>
      <c r="N80" s="34"/>
      <c r="O80" s="129">
        <f>O71-O78</f>
        <v>6.6362381540996864</v>
      </c>
      <c r="P80" s="34"/>
      <c r="Q80" s="17"/>
      <c r="R80" s="17"/>
      <c r="S80" s="12"/>
      <c r="T80" s="34"/>
    </row>
    <row r="81" spans="1:21" ht="9" customHeight="1" x14ac:dyDescent="0.35">
      <c r="A81" s="327"/>
      <c r="B81" s="112" t="s">
        <v>62</v>
      </c>
      <c r="C81" s="83"/>
      <c r="D81" s="34"/>
      <c r="E81" s="34"/>
      <c r="F81" s="2"/>
      <c r="G81" s="125">
        <f>G72-G79</f>
        <v>0.31359346380411868</v>
      </c>
      <c r="H81" s="34"/>
      <c r="I81" s="17"/>
      <c r="J81" s="17"/>
      <c r="K81" s="12"/>
      <c r="L81" s="315"/>
      <c r="M81" s="112" t="s">
        <v>62</v>
      </c>
      <c r="O81" s="125">
        <f>O72-O79</f>
        <v>0.58451463293938044</v>
      </c>
      <c r="P81" s="34"/>
      <c r="Q81" s="17"/>
      <c r="R81" s="17"/>
      <c r="S81" s="12"/>
      <c r="T81" s="34"/>
    </row>
    <row r="82" spans="1:21" ht="10.5" customHeight="1" x14ac:dyDescent="0.35">
      <c r="A82" s="88"/>
      <c r="F82" s="57"/>
      <c r="G82" s="34"/>
      <c r="H82" s="34"/>
      <c r="I82" s="17"/>
      <c r="J82" s="17"/>
      <c r="K82" s="12"/>
      <c r="L82" s="17"/>
      <c r="M82" s="34"/>
      <c r="O82" s="34"/>
      <c r="P82" s="34"/>
      <c r="Q82" s="17"/>
      <c r="R82" s="17"/>
      <c r="S82" s="12"/>
      <c r="T82" s="34"/>
    </row>
    <row r="83" spans="1:21" ht="10.5" customHeight="1" x14ac:dyDescent="0.35">
      <c r="A83" s="88"/>
      <c r="B83" s="316" t="s">
        <v>32</v>
      </c>
      <c r="C83" s="316"/>
      <c r="D83" s="316"/>
      <c r="E83" s="30">
        <f>$B$3</f>
        <v>46082</v>
      </c>
      <c r="F83" s="89" t="s">
        <v>20</v>
      </c>
      <c r="G83" s="30">
        <f>$B$4</f>
        <v>46331</v>
      </c>
      <c r="M83" s="30">
        <f>$B$3</f>
        <v>46082</v>
      </c>
      <c r="N83" s="24" t="s">
        <v>20</v>
      </c>
      <c r="O83" s="30">
        <f>$B$4</f>
        <v>46331</v>
      </c>
    </row>
    <row r="84" spans="1:21" ht="10.5" customHeight="1" x14ac:dyDescent="0.35">
      <c r="A84" s="332" t="s">
        <v>22</v>
      </c>
      <c r="B84" s="24" t="s">
        <v>17</v>
      </c>
      <c r="C84" s="24" t="s">
        <v>43</v>
      </c>
      <c r="D84" s="98" t="s">
        <v>44</v>
      </c>
      <c r="E84" s="24" t="s">
        <v>18</v>
      </c>
      <c r="F84" s="93">
        <v>0.04</v>
      </c>
      <c r="G84" s="24" t="s">
        <v>19</v>
      </c>
      <c r="L84" s="310" t="s">
        <v>26</v>
      </c>
      <c r="M84" s="78" t="s">
        <v>50</v>
      </c>
      <c r="N84" s="25">
        <v>0.04</v>
      </c>
      <c r="O84" s="24" t="s">
        <v>19</v>
      </c>
    </row>
    <row r="85" spans="1:21" ht="9" customHeight="1" x14ac:dyDescent="0.35">
      <c r="A85" s="332"/>
      <c r="B85" s="2" t="s">
        <v>14</v>
      </c>
      <c r="C85" s="39">
        <v>1</v>
      </c>
      <c r="D85" s="82">
        <v>1</v>
      </c>
      <c r="E85" s="47">
        <v>469.7</v>
      </c>
      <c r="F85" s="94">
        <f>E85/$B$8/$B$18</f>
        <v>465.21901049095112</v>
      </c>
      <c r="G85" s="31">
        <f>E85/$B$8*$B$7</f>
        <v>558.1195251339102</v>
      </c>
      <c r="L85" s="311"/>
      <c r="M85" s="27">
        <v>445.3</v>
      </c>
      <c r="N85" s="26">
        <f>M85/$B$8/$B$18</f>
        <v>441.05178916674589</v>
      </c>
      <c r="O85" s="31">
        <f>M85/$B$8*$B$7</f>
        <v>529.12630304903178</v>
      </c>
    </row>
    <row r="86" spans="1:21" ht="9" customHeight="1" x14ac:dyDescent="0.35">
      <c r="A86" s="332"/>
      <c r="B86" s="2" t="s">
        <v>27</v>
      </c>
      <c r="C86" s="39">
        <v>1</v>
      </c>
      <c r="D86" s="82">
        <v>1</v>
      </c>
      <c r="E86" s="47">
        <v>113.9</v>
      </c>
      <c r="F86" s="94">
        <f>E86/$B$8/$B$18</f>
        <v>112.8133815093024</v>
      </c>
      <c r="G86" s="31">
        <f>E86/$B$8*$B$7</f>
        <v>135.34131128965802</v>
      </c>
      <c r="L86" s="311"/>
      <c r="M86" s="27">
        <v>103.7</v>
      </c>
      <c r="N86" s="26">
        <f>M86/$B$8/$B$18</f>
        <v>102.71069062787232</v>
      </c>
      <c r="O86" s="31">
        <f>M86/$B$8*$B$7</f>
        <v>123.22119386073342</v>
      </c>
      <c r="T86" s="58"/>
    </row>
    <row r="87" spans="1:21" ht="9" customHeight="1" x14ac:dyDescent="0.35">
      <c r="A87" s="332"/>
      <c r="B87" s="2" t="s">
        <v>25</v>
      </c>
      <c r="C87" s="39">
        <v>2</v>
      </c>
      <c r="D87" s="82">
        <v>2</v>
      </c>
      <c r="E87" s="48">
        <v>178.4</v>
      </c>
      <c r="F87" s="94">
        <f>E87/$B$8/$B$18</f>
        <v>176.69804443599253</v>
      </c>
      <c r="G87" s="31">
        <f>E87/$B$8*$B$7</f>
        <v>211.98323032550476</v>
      </c>
      <c r="L87" s="311"/>
      <c r="M87" s="27">
        <v>168.5</v>
      </c>
      <c r="N87" s="26">
        <f>M87/$B$8/$B$18</f>
        <v>166.89249152166335</v>
      </c>
      <c r="O87" s="31">
        <f>M87/$B$8*$B$7</f>
        <v>200.21958693860736</v>
      </c>
      <c r="S87" s="76"/>
      <c r="T87" s="68" t="s">
        <v>37</v>
      </c>
      <c r="U87" s="7"/>
    </row>
    <row r="88" spans="1:21" ht="9" customHeight="1" x14ac:dyDescent="0.35">
      <c r="A88" s="332"/>
      <c r="B88" s="4" t="s">
        <v>52</v>
      </c>
      <c r="D88" s="34"/>
      <c r="F88" s="47">
        <f>SUMPRODUCT(F85:F87,D85:D87)</f>
        <v>931.42848087223854</v>
      </c>
      <c r="G88" s="33">
        <f>SUMPRODUCT(G85:G87,D85:D87)</f>
        <v>1117.4272970745778</v>
      </c>
      <c r="L88" s="311"/>
      <c r="M88" s="4" t="s">
        <v>52</v>
      </c>
      <c r="N88" s="27">
        <f>SUMPRODUCT(N85:N87,D85:D87)</f>
        <v>877.54746283794498</v>
      </c>
      <c r="O88" s="33">
        <f>SUMPRODUCT(O85:O87,D85:D87)</f>
        <v>1052.7866707869798</v>
      </c>
      <c r="S88" s="76"/>
      <c r="T88" s="69" t="s">
        <v>38</v>
      </c>
      <c r="U88" s="7"/>
    </row>
    <row r="89" spans="1:21" ht="9" customHeight="1" x14ac:dyDescent="0.35">
      <c r="A89" s="332"/>
      <c r="B89" s="4" t="s">
        <v>60</v>
      </c>
      <c r="F89" s="95"/>
      <c r="G89" s="86">
        <f>G88/$B$11</f>
        <v>8.2772392375894661</v>
      </c>
      <c r="H89" s="57"/>
      <c r="I89" s="16"/>
      <c r="J89" s="16"/>
      <c r="K89" s="6"/>
      <c r="L89" s="312"/>
      <c r="M89" s="4" t="s">
        <v>60</v>
      </c>
      <c r="N89" s="28"/>
      <c r="O89" s="86">
        <f>O88/$B$11</f>
        <v>7.7984197836072582</v>
      </c>
      <c r="P89" s="57"/>
      <c r="Q89" s="16"/>
      <c r="R89" s="16"/>
      <c r="S89" s="13"/>
      <c r="T89" s="70">
        <f>O89/G89-1</f>
        <v>-5.7847724372607545E-2</v>
      </c>
      <c r="U89" s="7"/>
    </row>
    <row r="90" spans="1:21" ht="10.5" customHeight="1" x14ac:dyDescent="0.35">
      <c r="A90" s="88"/>
      <c r="F90" s="57"/>
      <c r="G90" s="34"/>
      <c r="O90" s="34"/>
      <c r="T90" s="34"/>
    </row>
    <row r="91" spans="1:21" ht="10.5" customHeight="1" x14ac:dyDescent="0.35">
      <c r="A91" s="325" t="s">
        <v>12</v>
      </c>
      <c r="B91" s="24" t="s">
        <v>17</v>
      </c>
      <c r="C91" s="24" t="s">
        <v>43</v>
      </c>
      <c r="D91" s="24" t="s">
        <v>16</v>
      </c>
      <c r="E91" s="24" t="s">
        <v>18</v>
      </c>
      <c r="F91" s="89" t="s">
        <v>21</v>
      </c>
      <c r="G91" s="24" t="s">
        <v>19</v>
      </c>
      <c r="L91" s="310" t="s">
        <v>26</v>
      </c>
      <c r="M91" s="78" t="s">
        <v>50</v>
      </c>
      <c r="N91" s="24" t="s">
        <v>21</v>
      </c>
      <c r="O91" s="24" t="s">
        <v>19</v>
      </c>
    </row>
    <row r="92" spans="1:21" ht="9" customHeight="1" x14ac:dyDescent="0.35">
      <c r="A92" s="326"/>
      <c r="B92" s="2" t="s">
        <v>14</v>
      </c>
      <c r="C92" s="39">
        <v>1</v>
      </c>
      <c r="D92" s="84">
        <f>D85</f>
        <v>1</v>
      </c>
      <c r="E92" s="27">
        <v>469.7</v>
      </c>
      <c r="F92" s="47">
        <f>E92/$C$8/$C$18</f>
        <v>465.21901049095112</v>
      </c>
      <c r="G92" s="27">
        <f>E92/$C$8*$C$7</f>
        <v>542.05644313967855</v>
      </c>
      <c r="L92" s="311"/>
      <c r="M92" s="27">
        <v>445.3</v>
      </c>
      <c r="N92" s="27">
        <f>M92/$C$8/$C$18</f>
        <v>441.05178916674589</v>
      </c>
      <c r="O92" s="27">
        <f>M92/$C$8*$C$7</f>
        <v>513.89766687268229</v>
      </c>
    </row>
    <row r="93" spans="1:21" ht="9" customHeight="1" x14ac:dyDescent="0.35">
      <c r="A93" s="326"/>
      <c r="B93" s="2" t="s">
        <v>27</v>
      </c>
      <c r="C93" s="23">
        <v>1</v>
      </c>
      <c r="D93" s="84">
        <f>D86</f>
        <v>1</v>
      </c>
      <c r="E93" s="27">
        <v>113.9</v>
      </c>
      <c r="F93" s="47">
        <f>E93/$C$8/$C$18</f>
        <v>112.8133815093024</v>
      </c>
      <c r="G93" s="27">
        <f>E93/$C$8*$C$7</f>
        <v>131.44609085290483</v>
      </c>
      <c r="H93" s="58"/>
      <c r="I93" s="19"/>
      <c r="J93" s="19"/>
      <c r="K93" s="8"/>
      <c r="L93" s="311"/>
      <c r="M93" s="27">
        <v>103.7</v>
      </c>
      <c r="N93" s="27">
        <f>M93/$C$8/$C$18</f>
        <v>102.71069062787232</v>
      </c>
      <c r="O93" s="27">
        <f>M93/$C$8*$C$7</f>
        <v>119.67479913473423</v>
      </c>
      <c r="P93" s="58"/>
      <c r="Q93" s="19"/>
      <c r="R93" s="19"/>
      <c r="S93" s="8"/>
      <c r="T93" s="58"/>
    </row>
    <row r="94" spans="1:21" ht="9" customHeight="1" x14ac:dyDescent="0.35">
      <c r="A94" s="326"/>
      <c r="B94" s="2" t="s">
        <v>25</v>
      </c>
      <c r="C94" s="23">
        <v>2</v>
      </c>
      <c r="D94" s="84">
        <f>D87</f>
        <v>2</v>
      </c>
      <c r="E94" s="27">
        <v>178.4</v>
      </c>
      <c r="F94" s="47">
        <f>E94/$C$8/$C$18</f>
        <v>176.69804443599253</v>
      </c>
      <c r="G94" s="51">
        <f>E94/$C$8*$C$7</f>
        <v>205.88220024721878</v>
      </c>
      <c r="H94" s="15"/>
      <c r="L94" s="311"/>
      <c r="M94" s="27">
        <v>168.5</v>
      </c>
      <c r="N94" s="27">
        <f>M94/$C$8/$C$18</f>
        <v>166.89249152166335</v>
      </c>
      <c r="O94" s="27">
        <f>M94/$C$8*$C$7</f>
        <v>194.45712299134735</v>
      </c>
      <c r="P94" s="15"/>
      <c r="S94" s="76"/>
      <c r="T94" s="68" t="s">
        <v>37</v>
      </c>
      <c r="U94" s="7"/>
    </row>
    <row r="95" spans="1:21" ht="9" customHeight="1" x14ac:dyDescent="0.35">
      <c r="A95" s="326"/>
      <c r="B95" s="4" t="s">
        <v>52</v>
      </c>
      <c r="F95" s="47">
        <f>SUMPRODUCT(F92:F94,D92:D94)</f>
        <v>931.42848087223854</v>
      </c>
      <c r="G95" s="52">
        <f>SUMPRODUCT(G92:G94,D92:D94)</f>
        <v>1085.266934487021</v>
      </c>
      <c r="H95" s="19"/>
      <c r="L95" s="311"/>
      <c r="M95" s="4" t="s">
        <v>52</v>
      </c>
      <c r="N95" s="33">
        <f>SUMPRODUCT(N92:N94,D92:D94)</f>
        <v>877.54746283794498</v>
      </c>
      <c r="O95" s="33">
        <f>SUMPRODUCT(O92:O94,D92:D94)</f>
        <v>1022.4867119901112</v>
      </c>
      <c r="P95" s="19"/>
      <c r="S95" s="76"/>
      <c r="T95" s="69" t="s">
        <v>38</v>
      </c>
      <c r="U95" s="7"/>
    </row>
    <row r="96" spans="1:21" ht="9" customHeight="1" x14ac:dyDescent="0.35">
      <c r="A96" s="326"/>
      <c r="B96" s="4" t="s">
        <v>60</v>
      </c>
      <c r="F96" s="95"/>
      <c r="G96" s="87">
        <f>G95/$C$11</f>
        <v>8.0390143295334884</v>
      </c>
      <c r="H96" s="127">
        <f>G96/G89-1</f>
        <v>-2.8780720384899094E-2</v>
      </c>
      <c r="I96" s="62"/>
      <c r="J96" s="20"/>
      <c r="K96" s="14"/>
      <c r="L96" s="311"/>
      <c r="M96" s="118" t="s">
        <v>60</v>
      </c>
      <c r="N96" s="119">
        <f>O96/G89-1</f>
        <v>-0.12015725536291899</v>
      </c>
      <c r="O96" s="120">
        <f>O95/($C$11*$C$15+$C$11)</f>
        <v>7.2826688888184554</v>
      </c>
      <c r="P96" s="127">
        <f>O96/O89-1</f>
        <v>-6.6135308062402864E-2</v>
      </c>
      <c r="Q96" s="62"/>
      <c r="R96" s="20"/>
      <c r="S96" s="77"/>
      <c r="T96" s="70">
        <f>O96/G96-1</f>
        <v>-9.4084350358276336E-2</v>
      </c>
      <c r="U96" s="7"/>
    </row>
    <row r="97" spans="1:21" ht="9" customHeight="1" x14ac:dyDescent="0.35">
      <c r="A97" s="326"/>
      <c r="B97" s="112" t="s">
        <v>61</v>
      </c>
      <c r="G97" s="124">
        <f>G88-G95</f>
        <v>32.160362587556847</v>
      </c>
      <c r="H97" s="17"/>
      <c r="L97" s="311"/>
      <c r="M97" s="112" t="s">
        <v>61</v>
      </c>
      <c r="N97" s="34"/>
      <c r="O97" s="124">
        <f>O88-O95</f>
        <v>30.299958796868623</v>
      </c>
      <c r="P97" s="17"/>
      <c r="T97" s="34"/>
    </row>
    <row r="98" spans="1:21" ht="9" customHeight="1" x14ac:dyDescent="0.35">
      <c r="A98" s="327"/>
      <c r="B98" s="112" t="s">
        <v>62</v>
      </c>
      <c r="G98" s="125">
        <f>G89-G96</f>
        <v>0.23822490805597774</v>
      </c>
      <c r="H98" s="17"/>
      <c r="L98" s="312"/>
      <c r="M98" s="112" t="s">
        <v>62</v>
      </c>
      <c r="O98" s="125">
        <f>O89-O96</f>
        <v>0.51575089478880276</v>
      </c>
      <c r="P98" s="17"/>
      <c r="T98" s="34"/>
    </row>
    <row r="99" spans="1:21" ht="10.5" customHeight="1" x14ac:dyDescent="0.35">
      <c r="A99" s="88"/>
      <c r="F99" s="57"/>
      <c r="G99" s="41"/>
      <c r="H99" s="17"/>
      <c r="L99" s="19"/>
      <c r="O99" s="34"/>
      <c r="P99" s="17"/>
      <c r="T99" s="34"/>
    </row>
    <row r="100" spans="1:21" ht="10.5" customHeight="1" x14ac:dyDescent="0.35">
      <c r="A100" s="328" t="s">
        <v>24</v>
      </c>
      <c r="B100" s="24" t="s">
        <v>17</v>
      </c>
      <c r="C100" s="24" t="s">
        <v>43</v>
      </c>
      <c r="D100" s="24" t="s">
        <v>16</v>
      </c>
      <c r="E100" s="24" t="s">
        <v>18</v>
      </c>
      <c r="F100" s="89" t="s">
        <v>21</v>
      </c>
      <c r="G100" s="24" t="s">
        <v>19</v>
      </c>
      <c r="H100" s="15"/>
      <c r="L100" s="310" t="s">
        <v>26</v>
      </c>
      <c r="M100" s="78" t="s">
        <v>50</v>
      </c>
      <c r="N100" s="24" t="s">
        <v>21</v>
      </c>
      <c r="O100" s="24" t="s">
        <v>19</v>
      </c>
      <c r="P100" s="15"/>
    </row>
    <row r="101" spans="1:21" ht="9" customHeight="1" x14ac:dyDescent="0.35">
      <c r="A101" s="328"/>
      <c r="B101" s="2" t="s">
        <v>14</v>
      </c>
      <c r="C101" s="39">
        <v>1</v>
      </c>
      <c r="D101" s="84">
        <f>D85</f>
        <v>1</v>
      </c>
      <c r="E101" s="29">
        <f>469.7/6.1</f>
        <v>77</v>
      </c>
      <c r="F101" s="49">
        <f>E101/$F$8/$F$18</f>
        <v>76.265411555893621</v>
      </c>
      <c r="G101" s="53">
        <f>E101/$F$8*$F$7</f>
        <v>87.215904408735057</v>
      </c>
      <c r="H101" s="15"/>
      <c r="L101" s="311"/>
      <c r="M101" s="29">
        <v>73</v>
      </c>
      <c r="N101" s="29">
        <f>M101/$F$8/$F$18</f>
        <v>72.303571994548506</v>
      </c>
      <c r="O101" s="29">
        <f>M101/$F$8*$F$7</f>
        <v>82.685208075813748</v>
      </c>
      <c r="P101" s="15"/>
    </row>
    <row r="102" spans="1:21" ht="9" customHeight="1" x14ac:dyDescent="0.35">
      <c r="A102" s="328"/>
      <c r="B102" s="2" t="s">
        <v>27</v>
      </c>
      <c r="C102" s="23">
        <v>1</v>
      </c>
      <c r="D102" s="84">
        <f>D86</f>
        <v>1</v>
      </c>
      <c r="E102" s="50">
        <v>18.670000000000002</v>
      </c>
      <c r="F102" s="49">
        <f>E102/$F$8/$F$18</f>
        <v>18.491886152578367</v>
      </c>
      <c r="G102" s="53">
        <f>E102/$F$8*$F$7</f>
        <v>21.147025133910176</v>
      </c>
      <c r="H102" s="15"/>
      <c r="L102" s="311"/>
      <c r="M102" s="50">
        <v>17</v>
      </c>
      <c r="N102" s="29">
        <f>M102/$F$8/$F$18</f>
        <v>16.837818135716773</v>
      </c>
      <c r="O102" s="29">
        <f>M102/$F$8*$F$7</f>
        <v>19.255459414915531</v>
      </c>
      <c r="P102" s="15"/>
      <c r="T102" s="58"/>
    </row>
    <row r="103" spans="1:21" ht="9" customHeight="1" x14ac:dyDescent="0.35">
      <c r="A103" s="328"/>
      <c r="B103" s="2" t="s">
        <v>25</v>
      </c>
      <c r="C103" s="23">
        <v>2</v>
      </c>
      <c r="D103" s="84">
        <f>D87</f>
        <v>2</v>
      </c>
      <c r="E103" s="50">
        <v>29.73</v>
      </c>
      <c r="F103" s="49">
        <f>E103/$F$8/$F$18</f>
        <v>29.446372539697631</v>
      </c>
      <c r="G103" s="53">
        <f>E103/$F$8*$F$7</f>
        <v>33.674400494437577</v>
      </c>
      <c r="H103" s="15"/>
      <c r="L103" s="311"/>
      <c r="M103" s="50">
        <v>27.622950819672134</v>
      </c>
      <c r="N103" s="29">
        <f>M103/$F$8/$F$18</f>
        <v>27.359424839616942</v>
      </c>
      <c r="O103" s="29">
        <f>M103/$F$8*$F$7</f>
        <v>31.287800495788499</v>
      </c>
      <c r="P103" s="15"/>
      <c r="S103" s="76"/>
      <c r="T103" s="68" t="s">
        <v>37</v>
      </c>
      <c r="U103" s="7"/>
    </row>
    <row r="104" spans="1:21" ht="9" customHeight="1" x14ac:dyDescent="0.35">
      <c r="A104" s="328"/>
      <c r="B104" s="4" t="s">
        <v>53</v>
      </c>
      <c r="F104" s="49">
        <f>SUMPRODUCT(F101:F103,D101:D103)</f>
        <v>153.65004278786725</v>
      </c>
      <c r="G104" s="54">
        <f>SUMPRODUCT(G101:G103,D101:D103)</f>
        <v>175.7117305315204</v>
      </c>
      <c r="H104" s="15"/>
      <c r="I104" s="19"/>
      <c r="L104" s="311"/>
      <c r="M104" s="4" t="s">
        <v>53</v>
      </c>
      <c r="N104" s="29">
        <f>SUMPRODUCT(N101:N103,D101:D103)</f>
        <v>143.86023980949915</v>
      </c>
      <c r="O104" s="35">
        <f>SUMPRODUCT(O101:O103,D101:D103)</f>
        <v>164.51626848230629</v>
      </c>
      <c r="P104" s="15"/>
      <c r="Q104" s="19"/>
      <c r="S104" s="76"/>
      <c r="T104" s="69" t="s">
        <v>38</v>
      </c>
      <c r="U104" s="7"/>
    </row>
    <row r="105" spans="1:21" ht="9" customHeight="1" x14ac:dyDescent="0.35">
      <c r="A105" s="328"/>
      <c r="B105" s="4" t="s">
        <v>60</v>
      </c>
      <c r="F105" s="95"/>
      <c r="G105" s="86">
        <f>G104/$F$12</f>
        <v>7.8139527570481135</v>
      </c>
      <c r="H105" s="61"/>
      <c r="I105" s="127">
        <f>G105/G89-1</f>
        <v>-5.5971135694305785E-2</v>
      </c>
      <c r="J105" s="16"/>
      <c r="L105" s="312"/>
      <c r="M105" s="4" t="s">
        <v>60</v>
      </c>
      <c r="N105" s="123"/>
      <c r="O105" s="86">
        <f>O104/$F$12</f>
        <v>7.3160872401514414</v>
      </c>
      <c r="P105" s="61"/>
      <c r="Q105" s="127">
        <f>O105/O89-1</f>
        <v>-6.1850035884155496E-2</v>
      </c>
      <c r="R105" s="16"/>
      <c r="S105" s="76"/>
      <c r="T105" s="70">
        <f>O105/G105-1</f>
        <v>-6.371493818510765E-2</v>
      </c>
      <c r="U105" s="7"/>
    </row>
    <row r="106" spans="1:21" ht="10.5" customHeight="1" x14ac:dyDescent="0.35">
      <c r="A106" s="88"/>
      <c r="F106" s="57"/>
      <c r="G106" s="41"/>
      <c r="H106" s="15"/>
      <c r="I106" s="17"/>
      <c r="O106" s="34"/>
      <c r="P106" s="15"/>
      <c r="Q106" s="17"/>
      <c r="T106" s="34"/>
    </row>
    <row r="107" spans="1:21" ht="10.5" customHeight="1" x14ac:dyDescent="0.35">
      <c r="A107" s="325" t="s">
        <v>23</v>
      </c>
      <c r="B107" s="24" t="s">
        <v>17</v>
      </c>
      <c r="C107" s="24" t="s">
        <v>43</v>
      </c>
      <c r="D107" s="24" t="s">
        <v>16</v>
      </c>
      <c r="E107" s="24" t="s">
        <v>18</v>
      </c>
      <c r="F107" s="89" t="s">
        <v>21</v>
      </c>
      <c r="G107" s="24" t="s">
        <v>19</v>
      </c>
      <c r="H107" s="15"/>
      <c r="L107" s="310" t="s">
        <v>26</v>
      </c>
      <c r="M107" s="78" t="s">
        <v>50</v>
      </c>
      <c r="N107" s="24" t="s">
        <v>21</v>
      </c>
      <c r="O107" s="24" t="s">
        <v>19</v>
      </c>
      <c r="P107" s="15"/>
    </row>
    <row r="108" spans="1:21" ht="9" customHeight="1" x14ac:dyDescent="0.35">
      <c r="A108" s="326"/>
      <c r="B108" s="2" t="s">
        <v>14</v>
      </c>
      <c r="C108" s="39">
        <v>1</v>
      </c>
      <c r="D108" s="84">
        <f>D85</f>
        <v>1</v>
      </c>
      <c r="E108" s="29">
        <f>469.7/6.1</f>
        <v>77</v>
      </c>
      <c r="F108" s="49">
        <f>E108/$G$8/$G$18</f>
        <v>76.265411555893621</v>
      </c>
      <c r="G108" s="53">
        <f>E108/$G$8*$G$7</f>
        <v>83.924289245982692</v>
      </c>
      <c r="H108" s="15"/>
      <c r="L108" s="311"/>
      <c r="M108" s="29">
        <v>73</v>
      </c>
      <c r="N108" s="29">
        <f>M108/$G$8/$G$18</f>
        <v>72.303571994548506</v>
      </c>
      <c r="O108" s="29">
        <f>M108/$G$8*$G$7</f>
        <v>79.564585908529054</v>
      </c>
      <c r="P108" s="15"/>
    </row>
    <row r="109" spans="1:21" ht="9" customHeight="1" x14ac:dyDescent="0.35">
      <c r="A109" s="326"/>
      <c r="B109" s="2" t="s">
        <v>27</v>
      </c>
      <c r="C109" s="23">
        <v>1</v>
      </c>
      <c r="D109" s="84">
        <f>D86</f>
        <v>1</v>
      </c>
      <c r="E109" s="50">
        <v>18.670000000000002</v>
      </c>
      <c r="F109" s="49">
        <f>E109/$G$8/$G$18</f>
        <v>18.491886152578367</v>
      </c>
      <c r="G109" s="53">
        <f>E109/$G$8*$G$7</f>
        <v>20.3489153275649</v>
      </c>
      <c r="H109" s="15"/>
      <c r="L109" s="311"/>
      <c r="M109" s="50">
        <v>17</v>
      </c>
      <c r="N109" s="29">
        <f>M109/$G$8/$G$18</f>
        <v>16.837818135716773</v>
      </c>
      <c r="O109" s="29">
        <f>M109/$G$8*$G$7</f>
        <v>18.528739184177997</v>
      </c>
      <c r="P109" s="15"/>
      <c r="T109" s="58"/>
    </row>
    <row r="110" spans="1:21" ht="9" customHeight="1" x14ac:dyDescent="0.35">
      <c r="A110" s="326"/>
      <c r="B110" s="2" t="s">
        <v>25</v>
      </c>
      <c r="C110" s="23">
        <v>2</v>
      </c>
      <c r="D110" s="84">
        <f>D87</f>
        <v>2</v>
      </c>
      <c r="E110" s="50">
        <v>29.73</v>
      </c>
      <c r="F110" s="49">
        <f>E110/$G$8/$G$18</f>
        <v>29.446372539697631</v>
      </c>
      <c r="G110" s="53">
        <f>E110/$G$8*$G$7</f>
        <v>32.403495055624226</v>
      </c>
      <c r="H110" s="15"/>
      <c r="L110" s="311"/>
      <c r="M110" s="50">
        <v>27.622950819672134</v>
      </c>
      <c r="N110" s="29">
        <f>M110/$G$8/$G$18</f>
        <v>27.359424839616942</v>
      </c>
      <c r="O110" s="29">
        <f>M110/$G$8*$G$7</f>
        <v>30.106967719710635</v>
      </c>
      <c r="P110" s="15"/>
      <c r="S110" s="76"/>
      <c r="T110" s="68" t="s">
        <v>37</v>
      </c>
      <c r="U110" s="7"/>
    </row>
    <row r="111" spans="1:21" ht="9" customHeight="1" x14ac:dyDescent="0.35">
      <c r="A111" s="326"/>
      <c r="B111" s="4" t="s">
        <v>53</v>
      </c>
      <c r="F111" s="49">
        <f>SUMPRODUCT(F108:F110,D108:D110)</f>
        <v>153.65004278786725</v>
      </c>
      <c r="G111" s="54">
        <f>SUMPRODUCT(G108:G110,D108:D110)</f>
        <v>169.08019468479603</v>
      </c>
      <c r="H111" s="15"/>
      <c r="J111" s="19"/>
      <c r="L111" s="311"/>
      <c r="M111" s="4" t="s">
        <v>53</v>
      </c>
      <c r="N111" s="35">
        <f>SUMPRODUCT(N108:N110,D108:D110)</f>
        <v>143.86023980949915</v>
      </c>
      <c r="O111" s="35">
        <f>SUMPRODUCT(O108:O110,D108:D110)</f>
        <v>158.30726053212831</v>
      </c>
      <c r="P111" s="15"/>
      <c r="R111" s="19"/>
      <c r="S111" s="76"/>
      <c r="T111" s="69" t="s">
        <v>38</v>
      </c>
      <c r="U111" s="7"/>
    </row>
    <row r="112" spans="1:21" ht="9" customHeight="1" x14ac:dyDescent="0.35">
      <c r="A112" s="326"/>
      <c r="B112" s="4" t="s">
        <v>60</v>
      </c>
      <c r="F112" s="95"/>
      <c r="G112" s="86">
        <f>G111/$G$12</f>
        <v>7.5190463916265982</v>
      </c>
      <c r="H112" s="62"/>
      <c r="I112" s="75"/>
      <c r="J112" s="127">
        <f>G112/G89-1</f>
        <v>-9.1599725971394319E-2</v>
      </c>
      <c r="K112" s="11"/>
      <c r="L112" s="311"/>
      <c r="M112" s="118" t="s">
        <v>60</v>
      </c>
      <c r="N112" s="119">
        <f>O112/G89-1</f>
        <v>-0.18219076276775148</v>
      </c>
      <c r="O112" s="120">
        <f>O111/($G$12*$G$15+$G$12)</f>
        <v>6.7692027072818792</v>
      </c>
      <c r="P112" s="62"/>
      <c r="Q112" s="75"/>
      <c r="R112" s="127">
        <f>O112/O89-1</f>
        <v>-0.13197764481579388</v>
      </c>
      <c r="S112" s="11"/>
      <c r="T112" s="70">
        <f>O112/G112-1</f>
        <v>-9.9725902101064801E-2</v>
      </c>
      <c r="U112" s="7"/>
    </row>
    <row r="113" spans="1:21" ht="9" customHeight="1" x14ac:dyDescent="0.35">
      <c r="A113" s="326"/>
      <c r="B113" s="112" t="s">
        <v>61</v>
      </c>
      <c r="C113" s="83"/>
      <c r="D113" s="34"/>
      <c r="E113" s="34"/>
      <c r="F113" s="2"/>
      <c r="G113" s="129">
        <f>G104-G111</f>
        <v>6.6315358467243755</v>
      </c>
      <c r="H113" s="15"/>
      <c r="J113" s="17"/>
      <c r="L113" s="311"/>
      <c r="M113" s="112" t="s">
        <v>61</v>
      </c>
      <c r="N113" s="34"/>
      <c r="O113" s="129">
        <f>O104-O111</f>
        <v>6.2090079501779769</v>
      </c>
      <c r="P113" s="15"/>
      <c r="R113" s="17"/>
      <c r="T113" s="34"/>
    </row>
    <row r="114" spans="1:21" ht="9" customHeight="1" x14ac:dyDescent="0.35">
      <c r="A114" s="327"/>
      <c r="B114" s="112" t="s">
        <v>62</v>
      </c>
      <c r="C114" s="83"/>
      <c r="D114" s="34"/>
      <c r="E114" s="34"/>
      <c r="F114" s="2"/>
      <c r="G114" s="125">
        <f>G105-G112</f>
        <v>0.29490636542151538</v>
      </c>
      <c r="H114" s="15"/>
      <c r="J114" s="17"/>
      <c r="L114" s="312"/>
      <c r="M114" s="112" t="s">
        <v>62</v>
      </c>
      <c r="O114" s="125">
        <f>O105-O112</f>
        <v>0.54688453286956218</v>
      </c>
      <c r="P114" s="15"/>
      <c r="R114" s="17"/>
      <c r="T114" s="34"/>
    </row>
    <row r="115" spans="1:21" ht="10.5" customHeight="1" x14ac:dyDescent="0.35">
      <c r="A115" s="88"/>
      <c r="F115" s="57"/>
      <c r="G115" s="41"/>
      <c r="H115" s="15"/>
      <c r="J115" s="17"/>
      <c r="O115" s="34"/>
      <c r="P115" s="15"/>
      <c r="R115" s="17"/>
      <c r="T115" s="34"/>
    </row>
    <row r="116" spans="1:21" ht="10.5" customHeight="1" x14ac:dyDescent="0.35">
      <c r="A116" s="88"/>
      <c r="B116" s="320" t="s">
        <v>33</v>
      </c>
      <c r="C116" s="320"/>
      <c r="D116" s="320"/>
      <c r="E116" s="30">
        <f>$B$3</f>
        <v>46082</v>
      </c>
      <c r="F116" s="89" t="s">
        <v>20</v>
      </c>
      <c r="G116" s="30">
        <f>$B$4</f>
        <v>46331</v>
      </c>
      <c r="H116" s="15"/>
      <c r="M116" s="30">
        <f>$B$3</f>
        <v>46082</v>
      </c>
      <c r="N116" s="24" t="s">
        <v>20</v>
      </c>
      <c r="O116" s="30">
        <f>$B$4</f>
        <v>46331</v>
      </c>
      <c r="P116" s="15"/>
    </row>
    <row r="117" spans="1:21" ht="10.5" customHeight="1" x14ac:dyDescent="0.35">
      <c r="A117" s="332" t="s">
        <v>22</v>
      </c>
      <c r="B117" s="24" t="s">
        <v>17</v>
      </c>
      <c r="C117" s="24" t="s">
        <v>43</v>
      </c>
      <c r="D117" s="98" t="s">
        <v>44</v>
      </c>
      <c r="E117" s="24" t="s">
        <v>18</v>
      </c>
      <c r="F117" s="93">
        <v>0.04</v>
      </c>
      <c r="G117" s="24" t="s">
        <v>19</v>
      </c>
      <c r="H117" s="15"/>
      <c r="L117" s="317" t="s">
        <v>28</v>
      </c>
      <c r="M117" s="79" t="s">
        <v>50</v>
      </c>
      <c r="N117" s="25">
        <v>0.04</v>
      </c>
      <c r="O117" s="24" t="s">
        <v>19</v>
      </c>
      <c r="P117" s="15"/>
    </row>
    <row r="118" spans="1:21" ht="9" customHeight="1" x14ac:dyDescent="0.35">
      <c r="A118" s="332"/>
      <c r="B118" s="2" t="s">
        <v>14</v>
      </c>
      <c r="C118" s="39">
        <v>3</v>
      </c>
      <c r="D118" s="82">
        <v>3</v>
      </c>
      <c r="E118" s="47">
        <v>469.7</v>
      </c>
      <c r="F118" s="94">
        <f>E118/$B$8/$B$18</f>
        <v>465.21901049095112</v>
      </c>
      <c r="G118" s="55">
        <f>E118/$B$8*$B$7</f>
        <v>558.1195251339102</v>
      </c>
      <c r="H118" s="15"/>
      <c r="L118" s="318"/>
      <c r="M118" s="27">
        <v>427</v>
      </c>
      <c r="N118" s="26">
        <f>M118/$B$8/$B$18</f>
        <v>422.92637317359191</v>
      </c>
      <c r="O118" s="31">
        <f>M118/$B$8*$B$7</f>
        <v>507.3813864853729</v>
      </c>
      <c r="P118" s="15"/>
    </row>
    <row r="119" spans="1:21" ht="9" customHeight="1" x14ac:dyDescent="0.35">
      <c r="A119" s="332"/>
      <c r="B119" s="2" t="s">
        <v>15</v>
      </c>
      <c r="C119" s="39">
        <v>3</v>
      </c>
      <c r="D119" s="82">
        <v>3</v>
      </c>
      <c r="E119" s="48">
        <v>9.5</v>
      </c>
      <c r="F119" s="47">
        <f>E119/$B$8*$B$10/$B$18</f>
        <v>51.751529270070677</v>
      </c>
      <c r="G119" s="56">
        <f>E119/$B$8*$B$10*$B$7</f>
        <v>62.085895653069635</v>
      </c>
      <c r="H119" s="15"/>
      <c r="L119" s="318"/>
      <c r="M119" s="50">
        <v>9</v>
      </c>
      <c r="N119" s="27">
        <f>M119/$B$8*$B$10/$B$18</f>
        <v>49.027764571645911</v>
      </c>
      <c r="O119" s="32">
        <f>M119/$B$8*$B$10*$B$7</f>
        <v>58.818216934487026</v>
      </c>
      <c r="P119" s="15"/>
      <c r="T119" s="58"/>
    </row>
    <row r="120" spans="1:21" ht="9" customHeight="1" x14ac:dyDescent="0.35">
      <c r="A120" s="332"/>
      <c r="B120" s="2" t="s">
        <v>25</v>
      </c>
      <c r="C120" s="39">
        <v>2</v>
      </c>
      <c r="D120" s="82">
        <v>2</v>
      </c>
      <c r="E120" s="48">
        <v>178.4</v>
      </c>
      <c r="F120" s="94">
        <f>E120/$B$8/$B$18</f>
        <v>176.69804443599253</v>
      </c>
      <c r="G120" s="55">
        <f>E120/$B$8*$B$7</f>
        <v>211.98323032550476</v>
      </c>
      <c r="H120" s="15"/>
      <c r="L120" s="318"/>
      <c r="M120" s="27">
        <v>168.5</v>
      </c>
      <c r="N120" s="26">
        <f>M120/$B$8/$B$18</f>
        <v>166.89249152166335</v>
      </c>
      <c r="O120" s="31">
        <f>M120/$B$8*$B$7</f>
        <v>200.21958693860736</v>
      </c>
      <c r="P120" s="15"/>
      <c r="S120" s="76"/>
      <c r="T120" s="68" t="s">
        <v>37</v>
      </c>
      <c r="U120" s="7"/>
    </row>
    <row r="121" spans="1:21" ht="9" customHeight="1" x14ac:dyDescent="0.35">
      <c r="A121" s="332"/>
      <c r="B121" s="4" t="s">
        <v>52</v>
      </c>
      <c r="D121" s="34"/>
      <c r="F121" s="47">
        <f>SUMPRODUCT(F118:F120,D118:D120)</f>
        <v>1904.3077081550505</v>
      </c>
      <c r="G121" s="52">
        <f>SUMPRODUCT(G118:G120,D118:D120)</f>
        <v>2284.5827230119489</v>
      </c>
      <c r="H121" s="15"/>
      <c r="L121" s="318"/>
      <c r="M121" s="4" t="s">
        <v>52</v>
      </c>
      <c r="N121" s="27">
        <f>SUMPRODUCT(N118:N120,D118:D120)</f>
        <v>1749.6473962790403</v>
      </c>
      <c r="O121" s="33">
        <f>SUMPRODUCT(O118:O120,D118:D120)</f>
        <v>2099.0379841367949</v>
      </c>
      <c r="P121" s="15"/>
      <c r="S121" s="76"/>
      <c r="T121" s="69" t="s">
        <v>38</v>
      </c>
      <c r="U121" s="7"/>
    </row>
    <row r="122" spans="1:21" ht="9" customHeight="1" x14ac:dyDescent="0.35">
      <c r="A122" s="332"/>
      <c r="B122" s="4" t="s">
        <v>60</v>
      </c>
      <c r="F122" s="95"/>
      <c r="G122" s="86">
        <f>G121/$B$11</f>
        <v>16.922834985273695</v>
      </c>
      <c r="H122" s="16"/>
      <c r="L122" s="319"/>
      <c r="M122" s="4" t="s">
        <v>60</v>
      </c>
      <c r="N122" s="28"/>
      <c r="O122" s="86">
        <f>O121/$B$11</f>
        <v>15.548429512124406</v>
      </c>
      <c r="P122" s="16"/>
      <c r="S122" s="76"/>
      <c r="T122" s="70">
        <f>O122/G122-1</f>
        <v>-8.1216029958650626E-2</v>
      </c>
      <c r="U122" s="7"/>
    </row>
    <row r="123" spans="1:21" ht="10.5" customHeight="1" x14ac:dyDescent="0.35">
      <c r="A123" s="88"/>
      <c r="F123" s="57"/>
      <c r="G123" s="41"/>
      <c r="H123" s="15"/>
      <c r="O123" s="34"/>
      <c r="P123" s="15"/>
      <c r="T123" s="34"/>
    </row>
    <row r="124" spans="1:21" ht="10.5" customHeight="1" x14ac:dyDescent="0.35">
      <c r="A124" s="325" t="s">
        <v>12</v>
      </c>
      <c r="B124" s="24" t="s">
        <v>17</v>
      </c>
      <c r="C124" s="24" t="s">
        <v>43</v>
      </c>
      <c r="D124" s="24" t="s">
        <v>16</v>
      </c>
      <c r="E124" s="24" t="s">
        <v>18</v>
      </c>
      <c r="F124" s="89" t="s">
        <v>21</v>
      </c>
      <c r="G124" s="24" t="s">
        <v>19</v>
      </c>
      <c r="H124" s="15"/>
      <c r="L124" s="317" t="s">
        <v>28</v>
      </c>
      <c r="M124" s="79" t="s">
        <v>50</v>
      </c>
      <c r="N124" s="24" t="s">
        <v>21</v>
      </c>
      <c r="O124" s="24" t="s">
        <v>19</v>
      </c>
      <c r="P124" s="15"/>
    </row>
    <row r="125" spans="1:21" ht="9" customHeight="1" x14ac:dyDescent="0.35">
      <c r="A125" s="326"/>
      <c r="B125" s="2" t="s">
        <v>14</v>
      </c>
      <c r="C125" s="39">
        <v>3</v>
      </c>
      <c r="D125" s="84">
        <f>D118</f>
        <v>3</v>
      </c>
      <c r="E125" s="27">
        <v>469.7</v>
      </c>
      <c r="F125" s="47">
        <f>E125/$C$8/$C$18</f>
        <v>465.21901049095112</v>
      </c>
      <c r="G125" s="51">
        <f>E125/$C$8*$C$7</f>
        <v>542.05644313967855</v>
      </c>
      <c r="H125" s="15"/>
      <c r="L125" s="318"/>
      <c r="M125" s="27">
        <v>427</v>
      </c>
      <c r="N125" s="27">
        <f>M125/$C$8/$C$18</f>
        <v>422.92637317359191</v>
      </c>
      <c r="O125" s="27">
        <f>M125/$C$8*$C$7</f>
        <v>492.77858467243504</v>
      </c>
      <c r="P125" s="15"/>
    </row>
    <row r="126" spans="1:21" ht="9" customHeight="1" x14ac:dyDescent="0.35">
      <c r="A126" s="326"/>
      <c r="B126" s="2" t="s">
        <v>15</v>
      </c>
      <c r="C126" s="39">
        <v>3</v>
      </c>
      <c r="D126" s="84">
        <f>D119</f>
        <v>3</v>
      </c>
      <c r="E126" s="50">
        <v>9.5</v>
      </c>
      <c r="F126" s="47">
        <f>E126/$C$8*$C$10/$C$18</f>
        <v>51.751529270070677</v>
      </c>
      <c r="G126" s="51">
        <f>E126/$C$8*$C$10*$C$7</f>
        <v>60.299018850432631</v>
      </c>
      <c r="H126" s="15"/>
      <c r="L126" s="318"/>
      <c r="M126" s="50">
        <v>9</v>
      </c>
      <c r="N126" s="27">
        <f>M126/$C$8*$C$10/$C$18</f>
        <v>49.027764571645911</v>
      </c>
      <c r="O126" s="27">
        <f>M126/$C$8*$C$10*$C$7</f>
        <v>57.12538627935723</v>
      </c>
      <c r="P126" s="15"/>
      <c r="T126" s="58"/>
    </row>
    <row r="127" spans="1:21" ht="9" customHeight="1" x14ac:dyDescent="0.35">
      <c r="A127" s="326"/>
      <c r="B127" s="2" t="s">
        <v>25</v>
      </c>
      <c r="C127" s="39">
        <v>2</v>
      </c>
      <c r="D127" s="84">
        <f>D120</f>
        <v>2</v>
      </c>
      <c r="E127" s="27">
        <v>178.4</v>
      </c>
      <c r="F127" s="47">
        <f>E127/$C$8/$C$18</f>
        <v>176.69804443599253</v>
      </c>
      <c r="G127" s="51">
        <f>E127/$C$8*$C$7</f>
        <v>205.88220024721878</v>
      </c>
      <c r="H127" s="15"/>
      <c r="L127" s="318"/>
      <c r="M127" s="27">
        <v>168.5</v>
      </c>
      <c r="N127" s="27">
        <f>M127/$C$8/$C$18</f>
        <v>166.89249152166335</v>
      </c>
      <c r="O127" s="27">
        <f>M127/$C$8*$C$7</f>
        <v>194.45712299134735</v>
      </c>
      <c r="P127" s="15"/>
      <c r="S127" s="76"/>
      <c r="T127" s="68" t="s">
        <v>37</v>
      </c>
      <c r="U127" s="7"/>
    </row>
    <row r="128" spans="1:21" ht="9" customHeight="1" x14ac:dyDescent="0.35">
      <c r="A128" s="326"/>
      <c r="B128" s="4" t="s">
        <v>52</v>
      </c>
      <c r="F128" s="47">
        <f>SUMPRODUCT(F125:F127,D125:D127)</f>
        <v>1904.3077081550505</v>
      </c>
      <c r="G128" s="52">
        <f>SUMPRODUCT(G125:G127,D125:D127)</f>
        <v>2218.8307864647713</v>
      </c>
      <c r="H128" s="19"/>
      <c r="L128" s="318"/>
      <c r="M128" s="4" t="s">
        <v>52</v>
      </c>
      <c r="N128" s="33">
        <f>SUMPRODUCT(N125:N127,D125:D127)</f>
        <v>1749.6473962790403</v>
      </c>
      <c r="O128" s="33">
        <f>SUMPRODUCT(O125:O127,D125:D127)</f>
        <v>2038.6261588380714</v>
      </c>
      <c r="P128" s="19"/>
      <c r="S128" s="76"/>
      <c r="T128" s="69" t="s">
        <v>38</v>
      </c>
      <c r="U128" s="7"/>
    </row>
    <row r="129" spans="1:21" ht="9" customHeight="1" x14ac:dyDescent="0.35">
      <c r="A129" s="326"/>
      <c r="B129" s="4" t="s">
        <v>60</v>
      </c>
      <c r="F129" s="95"/>
      <c r="G129" s="87">
        <f>G128/$C$11</f>
        <v>16.435783603442751</v>
      </c>
      <c r="H129" s="127">
        <f>G129/G122-1</f>
        <v>-2.8780720384898761E-2</v>
      </c>
      <c r="I129" s="62"/>
      <c r="J129" s="20"/>
      <c r="K129" s="14"/>
      <c r="L129" s="318"/>
      <c r="M129" s="118" t="s">
        <v>60</v>
      </c>
      <c r="N129" s="119">
        <f>O129/G122-1</f>
        <v>-0.14198009086013286</v>
      </c>
      <c r="O129" s="122">
        <f>O128/($C$11*$C$15+$C$11)</f>
        <v>14.5201293364535</v>
      </c>
      <c r="P129" s="127">
        <f>O129/O122-1</f>
        <v>-6.6135308062402975E-2</v>
      </c>
      <c r="Q129" s="62"/>
      <c r="R129" s="20"/>
      <c r="S129" s="77"/>
      <c r="T129" s="70">
        <f>O129/G129-1</f>
        <v>-0.11655387496024128</v>
      </c>
      <c r="U129" s="7"/>
    </row>
    <row r="130" spans="1:21" ht="9" customHeight="1" x14ac:dyDescent="0.35">
      <c r="A130" s="326"/>
      <c r="B130" s="112" t="s">
        <v>61</v>
      </c>
      <c r="G130" s="124">
        <f>G121-G128</f>
        <v>65.751936547177593</v>
      </c>
      <c r="H130" s="17"/>
      <c r="L130" s="318"/>
      <c r="M130" s="112" t="s">
        <v>61</v>
      </c>
      <c r="N130" s="34"/>
      <c r="O130" s="124">
        <f>O121-O128</f>
        <v>60.411825298723443</v>
      </c>
      <c r="P130" s="17"/>
      <c r="T130" s="34"/>
    </row>
    <row r="131" spans="1:21" ht="9" customHeight="1" x14ac:dyDescent="0.35">
      <c r="A131" s="327"/>
      <c r="B131" s="112" t="s">
        <v>62</v>
      </c>
      <c r="G131" s="125">
        <f>G122-G129</f>
        <v>0.48705138183094476</v>
      </c>
      <c r="H131" s="17"/>
      <c r="L131" s="319"/>
      <c r="M131" s="112" t="s">
        <v>62</v>
      </c>
      <c r="O131" s="125">
        <f>O122-O129</f>
        <v>1.0283001756709051</v>
      </c>
      <c r="P131" s="17"/>
      <c r="T131" s="34"/>
    </row>
    <row r="132" spans="1:21" ht="10.5" customHeight="1" x14ac:dyDescent="0.35">
      <c r="A132" s="88"/>
      <c r="F132" s="57"/>
      <c r="G132" s="41"/>
      <c r="H132" s="17"/>
      <c r="L132" s="19"/>
      <c r="O132" s="34"/>
      <c r="P132" s="17"/>
      <c r="T132" s="34"/>
    </row>
    <row r="133" spans="1:21" ht="10.5" customHeight="1" x14ac:dyDescent="0.35">
      <c r="A133" s="328" t="s">
        <v>24</v>
      </c>
      <c r="B133" s="24" t="s">
        <v>17</v>
      </c>
      <c r="C133" s="24" t="s">
        <v>43</v>
      </c>
      <c r="D133" s="24" t="s">
        <v>16</v>
      </c>
      <c r="E133" s="24" t="s">
        <v>18</v>
      </c>
      <c r="F133" s="89" t="s">
        <v>21</v>
      </c>
      <c r="G133" s="24" t="s">
        <v>19</v>
      </c>
      <c r="H133" s="15"/>
      <c r="L133" s="317" t="s">
        <v>28</v>
      </c>
      <c r="M133" s="79" t="s">
        <v>50</v>
      </c>
      <c r="N133" s="24" t="s">
        <v>21</v>
      </c>
      <c r="O133" s="24" t="s">
        <v>19</v>
      </c>
      <c r="P133" s="15"/>
    </row>
    <row r="134" spans="1:21" ht="9" customHeight="1" x14ac:dyDescent="0.35">
      <c r="A134" s="328"/>
      <c r="B134" s="2" t="s">
        <v>14</v>
      </c>
      <c r="C134" s="39">
        <v>3</v>
      </c>
      <c r="D134" s="84">
        <f>D118</f>
        <v>3</v>
      </c>
      <c r="E134" s="29">
        <f>469.7/6.1</f>
        <v>77</v>
      </c>
      <c r="F134" s="49">
        <f>E134/$F$8/$F$18</f>
        <v>76.265411555893621</v>
      </c>
      <c r="G134" s="53">
        <f>E134/$F$8*$F$7</f>
        <v>87.215904408735057</v>
      </c>
      <c r="H134" s="15"/>
      <c r="L134" s="318"/>
      <c r="M134" s="29">
        <v>70</v>
      </c>
      <c r="N134" s="29">
        <f>M134/$F$8/$F$18</f>
        <v>69.332192323539658</v>
      </c>
      <c r="O134" s="29">
        <f>M134/$F$8*$F$7</f>
        <v>79.28718582612278</v>
      </c>
      <c r="P134" s="15"/>
    </row>
    <row r="135" spans="1:21" ht="9" customHeight="1" x14ac:dyDescent="0.35">
      <c r="A135" s="328"/>
      <c r="B135" s="2" t="s">
        <v>15</v>
      </c>
      <c r="C135" s="39">
        <v>3</v>
      </c>
      <c r="D135" s="84">
        <f>D119</f>
        <v>3</v>
      </c>
      <c r="E135" s="50">
        <v>9.5</v>
      </c>
      <c r="F135" s="49">
        <f>E135/$F$8/$F$18</f>
        <v>9.4093689581946691</v>
      </c>
      <c r="G135" s="53">
        <f>E135/$F$8*$F$7</f>
        <v>10.760403790688091</v>
      </c>
      <c r="H135" s="15"/>
      <c r="L135" s="318"/>
      <c r="M135" s="50">
        <v>9</v>
      </c>
      <c r="N135" s="29">
        <f>M135/$F$8/$F$18</f>
        <v>8.9141390130265279</v>
      </c>
      <c r="O135" s="29">
        <f>M135/$F$8*$F$7</f>
        <v>10.194066749072929</v>
      </c>
      <c r="P135" s="15"/>
      <c r="T135" s="58"/>
    </row>
    <row r="136" spans="1:21" ht="9" customHeight="1" x14ac:dyDescent="0.35">
      <c r="A136" s="328"/>
      <c r="B136" s="2" t="s">
        <v>25</v>
      </c>
      <c r="C136" s="39">
        <v>2</v>
      </c>
      <c r="D136" s="84">
        <f>D120</f>
        <v>2</v>
      </c>
      <c r="E136" s="50">
        <v>29.73</v>
      </c>
      <c r="F136" s="49">
        <f>E136/$F$8/$F$18</f>
        <v>29.446372539697631</v>
      </c>
      <c r="G136" s="53">
        <f>E136/$F$8*$F$7</f>
        <v>33.674400494437577</v>
      </c>
      <c r="H136" s="15"/>
      <c r="L136" s="318"/>
      <c r="M136" s="50">
        <v>27.622950819672134</v>
      </c>
      <c r="N136" s="29">
        <f>M136/$F$8/$F$18</f>
        <v>27.359424839616942</v>
      </c>
      <c r="O136" s="29">
        <f>M136/$F$8*$F$7</f>
        <v>31.287800495788499</v>
      </c>
      <c r="P136" s="15"/>
      <c r="S136" s="76"/>
      <c r="T136" s="68" t="s">
        <v>37</v>
      </c>
      <c r="U136" s="7"/>
    </row>
    <row r="137" spans="1:21" ht="9" customHeight="1" x14ac:dyDescent="0.35">
      <c r="A137" s="328"/>
      <c r="B137" s="4" t="s">
        <v>53</v>
      </c>
      <c r="F137" s="49">
        <f>SUMPRODUCT(F134:F136,D134:D136)</f>
        <v>315.91708662166013</v>
      </c>
      <c r="G137" s="54">
        <f>SUMPRODUCT(G134:G136,D134:D136)</f>
        <v>361.27772558714457</v>
      </c>
      <c r="H137" s="15"/>
      <c r="I137" s="19"/>
      <c r="L137" s="318"/>
      <c r="M137" s="4" t="s">
        <v>53</v>
      </c>
      <c r="N137" s="29">
        <f>SUMPRODUCT(N134:N136,D134:D136)</f>
        <v>289.45784368893243</v>
      </c>
      <c r="O137" s="35">
        <f>SUMPRODUCT(O134:O136,D134:D136)</f>
        <v>331.01935871716415</v>
      </c>
      <c r="P137" s="15"/>
      <c r="Q137" s="19"/>
      <c r="S137" s="76"/>
      <c r="T137" s="69" t="s">
        <v>38</v>
      </c>
      <c r="U137" s="7"/>
    </row>
    <row r="138" spans="1:21" ht="9" customHeight="1" x14ac:dyDescent="0.35">
      <c r="A138" s="328"/>
      <c r="B138" s="4" t="s">
        <v>60</v>
      </c>
      <c r="F138" s="95"/>
      <c r="G138" s="86">
        <f>G137/$F$12</f>
        <v>16.066127579372562</v>
      </c>
      <c r="H138" s="61"/>
      <c r="I138" s="127">
        <f>G138/G122-1</f>
        <v>-5.062434318166209E-2</v>
      </c>
      <c r="J138" s="16"/>
      <c r="L138" s="319"/>
      <c r="M138" s="4" t="s">
        <v>60</v>
      </c>
      <c r="N138" s="28"/>
      <c r="O138" s="86">
        <f>O137/$F$12</f>
        <v>14.720529032751665</v>
      </c>
      <c r="P138" s="61"/>
      <c r="Q138" s="127">
        <f>O138/O122-1</f>
        <v>-5.3246566074545143E-2</v>
      </c>
      <c r="R138" s="16"/>
      <c r="S138" s="76"/>
      <c r="T138" s="70">
        <f>O138/G138-1</f>
        <v>-8.3753757087583591E-2</v>
      </c>
      <c r="U138" s="7"/>
    </row>
    <row r="139" spans="1:21" ht="10.5" customHeight="1" x14ac:dyDescent="0.35">
      <c r="A139" s="88"/>
      <c r="F139" s="57"/>
      <c r="G139" s="41"/>
      <c r="H139" s="15"/>
      <c r="I139" s="17"/>
      <c r="O139" s="34"/>
      <c r="P139" s="15"/>
      <c r="Q139" s="17"/>
      <c r="T139" s="34"/>
    </row>
    <row r="140" spans="1:21" ht="10.5" customHeight="1" x14ac:dyDescent="0.35">
      <c r="A140" s="325" t="s">
        <v>23</v>
      </c>
      <c r="B140" s="24" t="s">
        <v>17</v>
      </c>
      <c r="C140" s="24" t="s">
        <v>43</v>
      </c>
      <c r="D140" s="24" t="s">
        <v>16</v>
      </c>
      <c r="E140" s="24" t="s">
        <v>18</v>
      </c>
      <c r="F140" s="89" t="s">
        <v>21</v>
      </c>
      <c r="G140" s="24" t="s">
        <v>19</v>
      </c>
      <c r="H140" s="15"/>
      <c r="L140" s="317" t="s">
        <v>28</v>
      </c>
      <c r="M140" s="79" t="s">
        <v>50</v>
      </c>
      <c r="N140" s="24" t="s">
        <v>21</v>
      </c>
      <c r="O140" s="24" t="s">
        <v>19</v>
      </c>
      <c r="P140" s="15"/>
    </row>
    <row r="141" spans="1:21" ht="9" customHeight="1" x14ac:dyDescent="0.35">
      <c r="A141" s="326"/>
      <c r="B141" s="2" t="s">
        <v>14</v>
      </c>
      <c r="C141" s="39">
        <v>3</v>
      </c>
      <c r="D141" s="84">
        <f>D118</f>
        <v>3</v>
      </c>
      <c r="E141" s="29">
        <f>469.7/6.1</f>
        <v>77</v>
      </c>
      <c r="F141" s="49">
        <f>E141/$G$8/$G$18</f>
        <v>76.265411555893621</v>
      </c>
      <c r="G141" s="53">
        <f>E141/$G$8*$G$7</f>
        <v>83.924289245982692</v>
      </c>
      <c r="H141" s="15"/>
      <c r="L141" s="318"/>
      <c r="M141" s="29">
        <v>70</v>
      </c>
      <c r="N141" s="29">
        <f>M141/$G$8/$G$18</f>
        <v>69.332192323539658</v>
      </c>
      <c r="O141" s="29">
        <f>M141/$G$8*$G$7</f>
        <v>76.294808405438815</v>
      </c>
      <c r="P141" s="15"/>
    </row>
    <row r="142" spans="1:21" ht="9" customHeight="1" x14ac:dyDescent="0.35">
      <c r="A142" s="326"/>
      <c r="B142" s="2" t="s">
        <v>15</v>
      </c>
      <c r="C142" s="39">
        <v>3</v>
      </c>
      <c r="D142" s="84">
        <f>D119</f>
        <v>3</v>
      </c>
      <c r="E142" s="50">
        <v>9.5</v>
      </c>
      <c r="F142" s="49">
        <f>E142/$G$8/$G$18</f>
        <v>9.4093689581946691</v>
      </c>
      <c r="G142" s="53">
        <f>E142/$G$8*$G$7</f>
        <v>10.35429542645241</v>
      </c>
      <c r="H142" s="15"/>
      <c r="L142" s="318"/>
      <c r="M142" s="50">
        <v>9</v>
      </c>
      <c r="N142" s="29">
        <f>M142/$G$8/$G$18</f>
        <v>8.9141390130265279</v>
      </c>
      <c r="O142" s="29">
        <f>M142/$G$8*$G$7</f>
        <v>9.8093325092707051</v>
      </c>
      <c r="P142" s="15"/>
      <c r="T142" s="58"/>
    </row>
    <row r="143" spans="1:21" ht="9" customHeight="1" x14ac:dyDescent="0.35">
      <c r="A143" s="326"/>
      <c r="B143" s="2" t="s">
        <v>25</v>
      </c>
      <c r="C143" s="39">
        <v>2</v>
      </c>
      <c r="D143" s="84">
        <f>D120</f>
        <v>2</v>
      </c>
      <c r="E143" s="50">
        <v>29.73</v>
      </c>
      <c r="F143" s="49">
        <f>E143/$G$8/$G$18</f>
        <v>29.446372539697631</v>
      </c>
      <c r="G143" s="53">
        <f>E143/$G$8*$G$7</f>
        <v>32.403495055624226</v>
      </c>
      <c r="H143" s="15"/>
      <c r="L143" s="318"/>
      <c r="M143" s="50">
        <v>27.622950819672134</v>
      </c>
      <c r="N143" s="29">
        <f>M143/$G$8/$G$18</f>
        <v>27.359424839616942</v>
      </c>
      <c r="O143" s="29">
        <f>M143/$G$8*$G$7</f>
        <v>30.106967719710635</v>
      </c>
      <c r="P143" s="15"/>
      <c r="S143" s="76"/>
      <c r="T143" s="68" t="s">
        <v>37</v>
      </c>
      <c r="U143" s="7"/>
    </row>
    <row r="144" spans="1:21" ht="9" customHeight="1" x14ac:dyDescent="0.35">
      <c r="A144" s="326"/>
      <c r="B144" s="4" t="s">
        <v>53</v>
      </c>
      <c r="F144" s="49">
        <f>SUMPRODUCT(F141:F143,D141:D143)</f>
        <v>315.91708662166013</v>
      </c>
      <c r="G144" s="54">
        <f>SUMPRODUCT(G141:G143,D141:D143)</f>
        <v>347.64274412855377</v>
      </c>
      <c r="H144" s="15"/>
      <c r="J144" s="19"/>
      <c r="L144" s="318"/>
      <c r="M144" s="4" t="s">
        <v>53</v>
      </c>
      <c r="N144" s="35">
        <f>SUMPRODUCT(N141:N143,D141:D143)</f>
        <v>289.45784368893243</v>
      </c>
      <c r="O144" s="35">
        <f>SUMPRODUCT(O141:O143,D141:D143)</f>
        <v>318.52635818354986</v>
      </c>
      <c r="P144" s="15"/>
      <c r="R144" s="19"/>
      <c r="S144" s="76"/>
      <c r="T144" s="69" t="s">
        <v>38</v>
      </c>
      <c r="U144" s="7"/>
    </row>
    <row r="145" spans="1:21" ht="9" customHeight="1" x14ac:dyDescent="0.35">
      <c r="A145" s="326"/>
      <c r="B145" s="4" t="s">
        <v>60</v>
      </c>
      <c r="F145" s="95"/>
      <c r="G145" s="86">
        <f>G144/$G$12</f>
        <v>15.459775910998648</v>
      </c>
      <c r="H145" s="62"/>
      <c r="I145" s="75"/>
      <c r="J145" s="127">
        <f>G145/G122-1</f>
        <v>-8.6454726737464904E-2</v>
      </c>
      <c r="K145" s="11"/>
      <c r="L145" s="318"/>
      <c r="M145" s="118" t="s">
        <v>60</v>
      </c>
      <c r="N145" s="119">
        <f>O145/G122-1</f>
        <v>-0.19516113042577443</v>
      </c>
      <c r="O145" s="120">
        <f>O144/($G$12*$G$15+$G$12)</f>
        <v>13.620155379538836</v>
      </c>
      <c r="P145" s="62"/>
      <c r="Q145" s="75"/>
      <c r="R145" s="127">
        <f>O145/O122-1</f>
        <v>-0.12401729261993522</v>
      </c>
      <c r="S145" s="11"/>
      <c r="T145" s="70">
        <f>O145/G145-1</f>
        <v>-0.11899399719959969</v>
      </c>
      <c r="U145" s="7"/>
    </row>
    <row r="146" spans="1:21" ht="9" customHeight="1" x14ac:dyDescent="0.35">
      <c r="A146" s="326"/>
      <c r="B146" s="112" t="s">
        <v>61</v>
      </c>
      <c r="C146" s="83"/>
      <c r="D146" s="34"/>
      <c r="E146" s="34"/>
      <c r="F146" s="2"/>
      <c r="G146" s="129">
        <f>G137-G144</f>
        <v>13.634981458590801</v>
      </c>
      <c r="H146" s="15"/>
      <c r="J146" s="17"/>
      <c r="L146" s="318"/>
      <c r="M146" s="112" t="s">
        <v>61</v>
      </c>
      <c r="N146" s="34"/>
      <c r="O146" s="129">
        <f>O137-O144</f>
        <v>12.493000533614293</v>
      </c>
      <c r="P146" s="15"/>
      <c r="R146" s="17"/>
      <c r="T146" s="34"/>
    </row>
    <row r="147" spans="1:21" ht="9" customHeight="1" x14ac:dyDescent="0.35">
      <c r="A147" s="327"/>
      <c r="B147" s="112" t="s">
        <v>62</v>
      </c>
      <c r="C147" s="83"/>
      <c r="D147" s="34"/>
      <c r="E147" s="34"/>
      <c r="F147" s="2"/>
      <c r="G147" s="125">
        <f>G138-G145</f>
        <v>0.60635166837391452</v>
      </c>
      <c r="H147" s="15"/>
      <c r="J147" s="17"/>
      <c r="L147" s="319"/>
      <c r="M147" s="112" t="s">
        <v>62</v>
      </c>
      <c r="O147" s="125">
        <f>O138-O145</f>
        <v>1.100373653212829</v>
      </c>
      <c r="P147" s="15"/>
      <c r="R147" s="17"/>
      <c r="T147" s="34"/>
    </row>
    <row r="148" spans="1:21" ht="10.5" customHeight="1" x14ac:dyDescent="0.35">
      <c r="A148" s="88"/>
      <c r="F148" s="57"/>
      <c r="G148" s="41"/>
      <c r="H148" s="15"/>
      <c r="J148" s="17"/>
      <c r="O148" s="34"/>
      <c r="P148" s="15"/>
      <c r="R148" s="17"/>
      <c r="T148" s="34"/>
    </row>
    <row r="149" spans="1:21" ht="10.5" customHeight="1" x14ac:dyDescent="0.35">
      <c r="A149" s="88"/>
      <c r="B149" s="324" t="s">
        <v>34</v>
      </c>
      <c r="C149" s="324"/>
      <c r="D149" s="324"/>
      <c r="E149" s="30">
        <f>$B$3</f>
        <v>46082</v>
      </c>
      <c r="F149" s="89" t="s">
        <v>20</v>
      </c>
      <c r="G149" s="30">
        <f>$B$4</f>
        <v>46331</v>
      </c>
      <c r="H149" s="15"/>
      <c r="M149" s="30">
        <f>$B$3</f>
        <v>46082</v>
      </c>
      <c r="N149" s="24" t="s">
        <v>20</v>
      </c>
      <c r="O149" s="30">
        <f>$B$4</f>
        <v>46331</v>
      </c>
      <c r="P149" s="15"/>
    </row>
    <row r="150" spans="1:21" ht="10.5" customHeight="1" x14ac:dyDescent="0.35">
      <c r="A150" s="332" t="s">
        <v>22</v>
      </c>
      <c r="B150" s="24" t="s">
        <v>17</v>
      </c>
      <c r="C150" s="24" t="s">
        <v>43</v>
      </c>
      <c r="D150" s="98" t="s">
        <v>44</v>
      </c>
      <c r="E150" s="24" t="s">
        <v>18</v>
      </c>
      <c r="F150" s="93">
        <v>0.04</v>
      </c>
      <c r="G150" s="24" t="s">
        <v>19</v>
      </c>
      <c r="H150" s="15"/>
      <c r="L150" s="321" t="s">
        <v>29</v>
      </c>
      <c r="M150" s="80" t="s">
        <v>50</v>
      </c>
      <c r="N150" s="25">
        <v>0.04</v>
      </c>
      <c r="O150" s="24" t="s">
        <v>19</v>
      </c>
      <c r="P150" s="15"/>
    </row>
    <row r="151" spans="1:21" ht="9" customHeight="1" x14ac:dyDescent="0.35">
      <c r="A151" s="332"/>
      <c r="B151" s="2" t="s">
        <v>14</v>
      </c>
      <c r="C151" s="39">
        <v>3</v>
      </c>
      <c r="D151" s="82">
        <v>3</v>
      </c>
      <c r="E151" s="47">
        <v>469.7</v>
      </c>
      <c r="F151" s="94">
        <f>E151/$B$8/$B$18</f>
        <v>465.21901049095112</v>
      </c>
      <c r="G151" s="55">
        <f>E151/$B$8*$B$7</f>
        <v>558.1195251339102</v>
      </c>
      <c r="H151" s="15"/>
      <c r="L151" s="322"/>
      <c r="M151" s="27">
        <v>427</v>
      </c>
      <c r="N151" s="26">
        <f>M151/$B$8/$B$18</f>
        <v>422.92637317359191</v>
      </c>
      <c r="O151" s="31">
        <f>M151/$B$8*$B$7</f>
        <v>507.3813864853729</v>
      </c>
      <c r="P151" s="15"/>
    </row>
    <row r="152" spans="1:21" ht="9" customHeight="1" x14ac:dyDescent="0.35">
      <c r="A152" s="332"/>
      <c r="B152" s="2" t="s">
        <v>27</v>
      </c>
      <c r="C152" s="39">
        <v>1</v>
      </c>
      <c r="D152" s="82">
        <v>1</v>
      </c>
      <c r="E152" s="47">
        <v>113.9</v>
      </c>
      <c r="F152" s="94">
        <f>E152/$B$8/$B$18</f>
        <v>112.8133815093024</v>
      </c>
      <c r="G152" s="55">
        <f>E152/$B$8*$B$7</f>
        <v>135.34131128965802</v>
      </c>
      <c r="H152" s="15"/>
      <c r="L152" s="322"/>
      <c r="M152" s="27">
        <v>103.7</v>
      </c>
      <c r="N152" s="26">
        <f>M152/$B$8/$B$18</f>
        <v>102.71069062787232</v>
      </c>
      <c r="O152" s="31">
        <f>M152/$B$8*$B$7</f>
        <v>123.22119386073342</v>
      </c>
      <c r="P152" s="15"/>
    </row>
    <row r="153" spans="1:21" ht="9" customHeight="1" x14ac:dyDescent="0.35">
      <c r="A153" s="332"/>
      <c r="B153" s="2" t="s">
        <v>15</v>
      </c>
      <c r="C153" s="39">
        <v>3</v>
      </c>
      <c r="D153" s="82">
        <v>3</v>
      </c>
      <c r="E153" s="48">
        <v>9.5</v>
      </c>
      <c r="F153" s="47">
        <f>E153/$B$8*$B$10/$B$18</f>
        <v>51.751529270070677</v>
      </c>
      <c r="G153" s="56">
        <f>E153/$B$8*$B$10*$B$7</f>
        <v>62.085895653069635</v>
      </c>
      <c r="H153" s="15"/>
      <c r="L153" s="322"/>
      <c r="M153" s="50">
        <v>9</v>
      </c>
      <c r="N153" s="27">
        <f>M153/$B$8*$B$10/$B$18</f>
        <v>49.027764571645911</v>
      </c>
      <c r="O153" s="32">
        <f>M153/$B$8*$B$10*$B$7</f>
        <v>58.818216934487026</v>
      </c>
      <c r="P153" s="15"/>
      <c r="T153" s="58"/>
    </row>
    <row r="154" spans="1:21" ht="9" customHeight="1" x14ac:dyDescent="0.35">
      <c r="A154" s="332"/>
      <c r="B154" s="2" t="s">
        <v>25</v>
      </c>
      <c r="C154" s="39">
        <v>2</v>
      </c>
      <c r="D154" s="82">
        <v>2</v>
      </c>
      <c r="E154" s="48">
        <v>178.4</v>
      </c>
      <c r="F154" s="94">
        <f>E154/$B$8/$B$18</f>
        <v>176.69804443599253</v>
      </c>
      <c r="G154" s="55">
        <f>E154/$B$8*$B$7</f>
        <v>211.98323032550476</v>
      </c>
      <c r="H154" s="15"/>
      <c r="L154" s="322"/>
      <c r="M154" s="27">
        <v>168.5</v>
      </c>
      <c r="N154" s="26">
        <f>M154/$B$8/$B$18</f>
        <v>166.89249152166335</v>
      </c>
      <c r="O154" s="31">
        <f>M154/$B$8*$B$7</f>
        <v>200.21958693860736</v>
      </c>
      <c r="P154" s="15"/>
      <c r="S154" s="76"/>
      <c r="T154" s="68" t="s">
        <v>37</v>
      </c>
      <c r="U154" s="7"/>
    </row>
    <row r="155" spans="1:21" ht="9" customHeight="1" x14ac:dyDescent="0.35">
      <c r="A155" s="332"/>
      <c r="B155" s="4" t="s">
        <v>52</v>
      </c>
      <c r="D155" s="34"/>
      <c r="F155" s="47">
        <f>SUMPRODUCT(F151:F154,D151:D154)</f>
        <v>2017.1210896643529</v>
      </c>
      <c r="G155" s="52">
        <f>SUMPRODUCT(G151:G154,D151:D154)</f>
        <v>2419.9240343016072</v>
      </c>
      <c r="H155" s="15"/>
      <c r="L155" s="322"/>
      <c r="M155" s="4" t="s">
        <v>52</v>
      </c>
      <c r="N155" s="27">
        <f>SUMPRODUCT(N151:N154,D151:D154)</f>
        <v>1852.3580869069126</v>
      </c>
      <c r="O155" s="33">
        <f>SUMPRODUCT(O151:O154,D151:D154)</f>
        <v>2222.2591779975282</v>
      </c>
      <c r="P155" s="15"/>
      <c r="S155" s="76"/>
      <c r="T155" s="69" t="s">
        <v>38</v>
      </c>
      <c r="U155" s="7"/>
    </row>
    <row r="156" spans="1:21" ht="9" customHeight="1" x14ac:dyDescent="0.35">
      <c r="A156" s="332"/>
      <c r="B156" s="4" t="s">
        <v>60</v>
      </c>
      <c r="F156" s="95"/>
      <c r="G156" s="86">
        <f>G155/$B$11</f>
        <v>17.925363217048943</v>
      </c>
      <c r="H156" s="16"/>
      <c r="L156" s="323"/>
      <c r="M156" s="4" t="s">
        <v>60</v>
      </c>
      <c r="N156" s="28"/>
      <c r="O156" s="86">
        <f>O155/$B$11</f>
        <v>16.461179096277988</v>
      </c>
      <c r="P156" s="16"/>
      <c r="S156" s="76"/>
      <c r="T156" s="70">
        <f>O156/G156-1</f>
        <v>-8.1682256757751981E-2</v>
      </c>
      <c r="U156" s="7"/>
    </row>
    <row r="157" spans="1:21" ht="10.5" customHeight="1" x14ac:dyDescent="0.35">
      <c r="A157" s="88"/>
      <c r="F157" s="57"/>
      <c r="G157" s="41"/>
      <c r="H157" s="15"/>
      <c r="O157" s="34"/>
      <c r="P157" s="15"/>
      <c r="T157" s="34"/>
    </row>
    <row r="158" spans="1:21" ht="10.5" customHeight="1" x14ac:dyDescent="0.35">
      <c r="A158" s="325" t="s">
        <v>12</v>
      </c>
      <c r="B158" s="24" t="s">
        <v>17</v>
      </c>
      <c r="C158" s="24" t="s">
        <v>43</v>
      </c>
      <c r="D158" s="24" t="s">
        <v>16</v>
      </c>
      <c r="E158" s="24" t="s">
        <v>18</v>
      </c>
      <c r="F158" s="89" t="s">
        <v>21</v>
      </c>
      <c r="G158" s="24" t="s">
        <v>19</v>
      </c>
      <c r="H158" s="15"/>
      <c r="L158" s="321" t="s">
        <v>29</v>
      </c>
      <c r="M158" s="80" t="s">
        <v>50</v>
      </c>
      <c r="N158" s="101" t="s">
        <v>21</v>
      </c>
      <c r="O158" s="101" t="s">
        <v>19</v>
      </c>
      <c r="P158" s="15"/>
    </row>
    <row r="159" spans="1:21" ht="9" customHeight="1" x14ac:dyDescent="0.35">
      <c r="A159" s="326"/>
      <c r="B159" s="2" t="s">
        <v>14</v>
      </c>
      <c r="C159" s="39">
        <v>3</v>
      </c>
      <c r="D159" s="84">
        <f>D151</f>
        <v>3</v>
      </c>
      <c r="E159" s="27">
        <v>469.7</v>
      </c>
      <c r="F159" s="47">
        <f>E159/$C$8/$C$18</f>
        <v>465.21901049095112</v>
      </c>
      <c r="G159" s="51">
        <f>E159/$C$8*$C$7</f>
        <v>542.05644313967855</v>
      </c>
      <c r="H159" s="15"/>
      <c r="L159" s="322"/>
      <c r="M159" s="27">
        <v>427</v>
      </c>
      <c r="N159" s="27">
        <f>M159/$C$8/$C$18</f>
        <v>422.92637317359191</v>
      </c>
      <c r="O159" s="27">
        <f>M159/$C$8*$C$7</f>
        <v>492.77858467243504</v>
      </c>
      <c r="P159" s="15"/>
    </row>
    <row r="160" spans="1:21" ht="9" customHeight="1" x14ac:dyDescent="0.35">
      <c r="A160" s="326"/>
      <c r="B160" s="2" t="s">
        <v>27</v>
      </c>
      <c r="C160" s="39">
        <v>1</v>
      </c>
      <c r="D160" s="84">
        <f t="shared" ref="D160:D162" si="1">D152</f>
        <v>1</v>
      </c>
      <c r="E160" s="27">
        <v>113.9</v>
      </c>
      <c r="F160" s="47">
        <f>E160/$C$8/$C$18</f>
        <v>112.8133815093024</v>
      </c>
      <c r="G160" s="51">
        <f>E160/$C$8*$C$7</f>
        <v>131.44609085290483</v>
      </c>
      <c r="H160" s="15"/>
      <c r="L160" s="322"/>
      <c r="M160" s="27">
        <v>103.7</v>
      </c>
      <c r="N160" s="27">
        <f>M160/$C$8/$C$18</f>
        <v>102.71069062787232</v>
      </c>
      <c r="O160" s="27">
        <f>M160/$C$8*$C$7</f>
        <v>119.67479913473423</v>
      </c>
      <c r="P160" s="15"/>
    </row>
    <row r="161" spans="1:21" ht="9" customHeight="1" x14ac:dyDescent="0.35">
      <c r="A161" s="326"/>
      <c r="B161" s="2" t="s">
        <v>15</v>
      </c>
      <c r="C161" s="39">
        <v>3</v>
      </c>
      <c r="D161" s="84">
        <f t="shared" si="1"/>
        <v>3</v>
      </c>
      <c r="E161" s="50">
        <v>9.5</v>
      </c>
      <c r="F161" s="47">
        <f>E161/$C$8*$C$10/$C$18</f>
        <v>51.751529270070677</v>
      </c>
      <c r="G161" s="51">
        <f>E161/$C$8*$C$10*$C$7</f>
        <v>60.299018850432631</v>
      </c>
      <c r="H161" s="15"/>
      <c r="L161" s="322"/>
      <c r="M161" s="50">
        <v>9</v>
      </c>
      <c r="N161" s="27">
        <f>M161/$C$8*$C$10/$C$18</f>
        <v>49.027764571645911</v>
      </c>
      <c r="O161" s="27">
        <f>M161/$C$8*$C$10*$C$7</f>
        <v>57.12538627935723</v>
      </c>
      <c r="P161" s="15"/>
      <c r="T161" s="58"/>
    </row>
    <row r="162" spans="1:21" ht="9" customHeight="1" x14ac:dyDescent="0.35">
      <c r="A162" s="326"/>
      <c r="B162" s="2" t="s">
        <v>25</v>
      </c>
      <c r="C162" s="39">
        <v>2</v>
      </c>
      <c r="D162" s="84">
        <f t="shared" si="1"/>
        <v>2</v>
      </c>
      <c r="E162" s="27">
        <v>178.4</v>
      </c>
      <c r="F162" s="47">
        <f>E162/$C$8/$C$18</f>
        <v>176.69804443599253</v>
      </c>
      <c r="G162" s="51">
        <f>E162/$C$8*$C$7</f>
        <v>205.88220024721878</v>
      </c>
      <c r="H162" s="15"/>
      <c r="L162" s="322"/>
      <c r="M162" s="27">
        <v>168.5</v>
      </c>
      <c r="N162" s="27">
        <f>M162/$C$8/$C$18</f>
        <v>166.89249152166335</v>
      </c>
      <c r="O162" s="27">
        <f>M162/$C$8*$C$7</f>
        <v>194.45712299134735</v>
      </c>
      <c r="P162" s="15"/>
      <c r="S162" s="76"/>
      <c r="T162" s="68" t="s">
        <v>37</v>
      </c>
      <c r="U162" s="7"/>
    </row>
    <row r="163" spans="1:21" ht="9" customHeight="1" x14ac:dyDescent="0.35">
      <c r="A163" s="326"/>
      <c r="B163" s="4" t="s">
        <v>52</v>
      </c>
      <c r="F163" s="47">
        <f>SUMPRODUCT(F159:F162,D159:D162)</f>
        <v>2017.1210896643529</v>
      </c>
      <c r="G163" s="52">
        <f>SUMPRODUCT(G159:G162,D159:D162)</f>
        <v>2350.2768773176758</v>
      </c>
      <c r="H163" s="19"/>
      <c r="L163" s="322"/>
      <c r="M163" s="4" t="s">
        <v>52</v>
      </c>
      <c r="N163" s="33">
        <f>SUMPRODUCT(N159:N162,D159:D162)</f>
        <v>1852.3580869069126</v>
      </c>
      <c r="O163" s="33">
        <f>SUMPRODUCT(O159:O162,D159:D162)</f>
        <v>2158.3009579728059</v>
      </c>
      <c r="P163" s="19"/>
      <c r="S163" s="76"/>
      <c r="T163" s="69" t="s">
        <v>38</v>
      </c>
      <c r="U163" s="7"/>
    </row>
    <row r="164" spans="1:21" ht="9" customHeight="1" x14ac:dyDescent="0.35">
      <c r="A164" s="326"/>
      <c r="B164" s="4" t="s">
        <v>60</v>
      </c>
      <c r="F164" s="95"/>
      <c r="G164" s="87">
        <f>G163/$C$11</f>
        <v>17.409458350501303</v>
      </c>
      <c r="H164" s="128">
        <f>G164/G156-1</f>
        <v>-2.8780720384898983E-2</v>
      </c>
      <c r="I164" s="62"/>
      <c r="J164" s="20"/>
      <c r="K164" s="14"/>
      <c r="L164" s="322"/>
      <c r="M164" s="118" t="s">
        <v>60</v>
      </c>
      <c r="N164" s="119">
        <f>O164/G156-1</f>
        <v>-0.14241548360624878</v>
      </c>
      <c r="O164" s="122">
        <f>O163/($C$11*$C$15+$C$11)</f>
        <v>15.372513945675255</v>
      </c>
      <c r="P164" s="128">
        <f>O164/O156-1</f>
        <v>-6.6135308062402975E-2</v>
      </c>
      <c r="Q164" s="62"/>
      <c r="R164" s="20"/>
      <c r="S164" s="77"/>
      <c r="T164" s="70">
        <f>O164/G164-1</f>
        <v>-0.11700216995937696</v>
      </c>
      <c r="U164" s="7"/>
    </row>
    <row r="165" spans="1:21" ht="9" customHeight="1" x14ac:dyDescent="0.35">
      <c r="A165" s="326"/>
      <c r="B165" s="112" t="s">
        <v>61</v>
      </c>
      <c r="G165" s="124">
        <f>G155-G163</f>
        <v>69.647156983931382</v>
      </c>
      <c r="H165" s="17"/>
      <c r="L165" s="322"/>
      <c r="M165" s="112" t="s">
        <v>61</v>
      </c>
      <c r="N165" s="34"/>
      <c r="O165" s="124">
        <f>O155-O163</f>
        <v>63.958220024722323</v>
      </c>
      <c r="P165" s="17"/>
      <c r="T165" s="34"/>
    </row>
    <row r="166" spans="1:21" ht="9" customHeight="1" x14ac:dyDescent="0.35">
      <c r="A166" s="327"/>
      <c r="B166" s="112" t="s">
        <v>62</v>
      </c>
      <c r="G166" s="125">
        <f>G156-G164</f>
        <v>0.51590486654763978</v>
      </c>
      <c r="H166" s="17"/>
      <c r="L166" s="323"/>
      <c r="M166" s="112" t="s">
        <v>62</v>
      </c>
      <c r="O166" s="125">
        <f>O156-O164</f>
        <v>1.0886651506027327</v>
      </c>
      <c r="P166" s="17"/>
      <c r="T166" s="34"/>
    </row>
    <row r="167" spans="1:21" ht="10.5" customHeight="1" x14ac:dyDescent="0.35">
      <c r="A167" s="88"/>
      <c r="F167" s="57"/>
      <c r="G167" s="41"/>
      <c r="H167" s="17"/>
      <c r="L167" s="19"/>
      <c r="O167" s="34"/>
      <c r="P167" s="17"/>
      <c r="T167" s="34"/>
    </row>
    <row r="168" spans="1:21" ht="10.5" customHeight="1" x14ac:dyDescent="0.35">
      <c r="A168" s="328" t="s">
        <v>24</v>
      </c>
      <c r="B168" s="24" t="s">
        <v>17</v>
      </c>
      <c r="C168" s="24" t="s">
        <v>43</v>
      </c>
      <c r="D168" s="24" t="s">
        <v>16</v>
      </c>
      <c r="E168" s="24" t="s">
        <v>18</v>
      </c>
      <c r="F168" s="89" t="s">
        <v>21</v>
      </c>
      <c r="G168" s="24" t="s">
        <v>19</v>
      </c>
      <c r="H168" s="15"/>
      <c r="L168" s="321" t="s">
        <v>29</v>
      </c>
      <c r="M168" s="80" t="s">
        <v>50</v>
      </c>
      <c r="N168" s="101" t="s">
        <v>21</v>
      </c>
      <c r="O168" s="101" t="s">
        <v>19</v>
      </c>
      <c r="P168" s="15"/>
    </row>
    <row r="169" spans="1:21" ht="9" customHeight="1" x14ac:dyDescent="0.35">
      <c r="A169" s="328"/>
      <c r="B169" s="2" t="s">
        <v>14</v>
      </c>
      <c r="C169" s="39">
        <v>3</v>
      </c>
      <c r="D169" s="84">
        <f>D151</f>
        <v>3</v>
      </c>
      <c r="E169" s="29">
        <f>469.7/6.1</f>
        <v>77</v>
      </c>
      <c r="F169" s="49">
        <f>E169/$F$8/$F$18</f>
        <v>76.265411555893621</v>
      </c>
      <c r="G169" s="53">
        <f>E169/$F$8*$F$7</f>
        <v>87.215904408735057</v>
      </c>
      <c r="H169" s="15"/>
      <c r="L169" s="322"/>
      <c r="M169" s="29">
        <v>70</v>
      </c>
      <c r="N169" s="29">
        <f>M169/$F$8/$F$18</f>
        <v>69.332192323539658</v>
      </c>
      <c r="O169" s="29">
        <f>M169/$F$8*$F$7</f>
        <v>79.28718582612278</v>
      </c>
      <c r="P169" s="15"/>
    </row>
    <row r="170" spans="1:21" ht="9" customHeight="1" x14ac:dyDescent="0.35">
      <c r="A170" s="328"/>
      <c r="B170" s="2" t="s">
        <v>27</v>
      </c>
      <c r="C170" s="39">
        <v>1</v>
      </c>
      <c r="D170" s="84">
        <f t="shared" ref="D170:D172" si="2">D152</f>
        <v>1</v>
      </c>
      <c r="E170" s="29">
        <v>18.670000000000002</v>
      </c>
      <c r="F170" s="49">
        <f>E170/$F$8/$F$18</f>
        <v>18.491886152578367</v>
      </c>
      <c r="G170" s="53">
        <f>E170/$F$8*$F$7</f>
        <v>21.147025133910176</v>
      </c>
      <c r="H170" s="15"/>
      <c r="L170" s="322"/>
      <c r="M170" s="29">
        <v>17</v>
      </c>
      <c r="N170" s="29">
        <f>M170/$F$8/$F$18</f>
        <v>16.837818135716773</v>
      </c>
      <c r="O170" s="29">
        <f>M170/$F$8*$F$7</f>
        <v>19.255459414915531</v>
      </c>
      <c r="P170" s="15"/>
    </row>
    <row r="171" spans="1:21" ht="9" customHeight="1" x14ac:dyDescent="0.35">
      <c r="A171" s="328"/>
      <c r="B171" s="2" t="s">
        <v>15</v>
      </c>
      <c r="C171" s="39">
        <v>3</v>
      </c>
      <c r="D171" s="84">
        <f t="shared" si="2"/>
        <v>3</v>
      </c>
      <c r="E171" s="50">
        <v>9.5</v>
      </c>
      <c r="F171" s="49">
        <f>E171/$F$8/$F$18</f>
        <v>9.4093689581946691</v>
      </c>
      <c r="G171" s="53">
        <f>E171/$F$8*$F$7</f>
        <v>10.760403790688091</v>
      </c>
      <c r="H171" s="15"/>
      <c r="L171" s="322"/>
      <c r="M171" s="50">
        <v>9</v>
      </c>
      <c r="N171" s="29">
        <f>M171/$F$8/$F$18</f>
        <v>8.9141390130265279</v>
      </c>
      <c r="O171" s="29">
        <f>M171/$F$8*$F$7</f>
        <v>10.194066749072929</v>
      </c>
      <c r="P171" s="15"/>
      <c r="T171" s="58"/>
    </row>
    <row r="172" spans="1:21" ht="9" customHeight="1" x14ac:dyDescent="0.35">
      <c r="A172" s="328"/>
      <c r="B172" s="2" t="s">
        <v>25</v>
      </c>
      <c r="C172" s="39">
        <v>2</v>
      </c>
      <c r="D172" s="84">
        <f t="shared" si="2"/>
        <v>2</v>
      </c>
      <c r="E172" s="50">
        <v>29.73</v>
      </c>
      <c r="F172" s="49">
        <f>E172/$F$8/$F$18</f>
        <v>29.446372539697631</v>
      </c>
      <c r="G172" s="53">
        <f>E172/$F$8*$F$7</f>
        <v>33.674400494437577</v>
      </c>
      <c r="H172" s="15"/>
      <c r="L172" s="322"/>
      <c r="M172" s="50">
        <v>27.622950819672134</v>
      </c>
      <c r="N172" s="29">
        <f>M172/$F$8/$F$18</f>
        <v>27.359424839616942</v>
      </c>
      <c r="O172" s="29">
        <f>M172/$F$8*$F$7</f>
        <v>31.287800495788499</v>
      </c>
      <c r="P172" s="15"/>
      <c r="S172" s="76"/>
      <c r="T172" s="68" t="s">
        <v>37</v>
      </c>
      <c r="U172" s="7"/>
    </row>
    <row r="173" spans="1:21" ht="9" customHeight="1" x14ac:dyDescent="0.35">
      <c r="A173" s="328"/>
      <c r="B173" s="4" t="s">
        <v>53</v>
      </c>
      <c r="F173" s="49">
        <f>SUMPRODUCT(F169:F172,D169:D172)</f>
        <v>334.40897277423846</v>
      </c>
      <c r="G173" s="54">
        <f>SUMPRODUCT(G169:G172,D169:D172)</f>
        <v>382.42475072105475</v>
      </c>
      <c r="H173" s="15"/>
      <c r="I173" s="19"/>
      <c r="L173" s="322"/>
      <c r="M173" s="4" t="s">
        <v>53</v>
      </c>
      <c r="N173" s="29">
        <f>SUMPRODUCT(N169:N172,D169:D172)</f>
        <v>306.29566182464924</v>
      </c>
      <c r="O173" s="35">
        <f>SUMPRODUCT(O169:O172,D169:D172)</f>
        <v>350.2748181320797</v>
      </c>
      <c r="P173" s="15"/>
      <c r="Q173" s="19"/>
      <c r="S173" s="76"/>
      <c r="T173" s="69" t="s">
        <v>38</v>
      </c>
      <c r="U173" s="7"/>
    </row>
    <row r="174" spans="1:21" ht="9" customHeight="1" x14ac:dyDescent="0.35">
      <c r="A174" s="328"/>
      <c r="B174" s="4" t="s">
        <v>60</v>
      </c>
      <c r="F174" s="95"/>
      <c r="G174" s="86">
        <f>G173/$F$12</f>
        <v>17.006542057385122</v>
      </c>
      <c r="H174" s="61"/>
      <c r="I174" s="128">
        <f>G174/G156-1</f>
        <v>-5.1258161329189922E-2</v>
      </c>
      <c r="J174" s="16"/>
      <c r="L174" s="323"/>
      <c r="M174" s="4" t="s">
        <v>60</v>
      </c>
      <c r="N174" s="28"/>
      <c r="O174" s="86">
        <f>O173/$F$12</f>
        <v>15.5768250223721</v>
      </c>
      <c r="P174" s="61"/>
      <c r="Q174" s="128">
        <f>O174/O156-1</f>
        <v>-5.3723616560726661E-2</v>
      </c>
      <c r="R174" s="16"/>
      <c r="S174" s="76"/>
      <c r="T174" s="70">
        <f>O174/G174-1</f>
        <v>-8.4068650181132187E-2</v>
      </c>
      <c r="U174" s="7"/>
    </row>
    <row r="175" spans="1:21" ht="10.5" customHeight="1" x14ac:dyDescent="0.35">
      <c r="A175" s="88"/>
      <c r="F175" s="57"/>
      <c r="G175" s="41"/>
      <c r="H175" s="15"/>
      <c r="I175" s="17"/>
      <c r="O175" s="34"/>
      <c r="P175" s="15"/>
      <c r="Q175" s="17"/>
      <c r="T175" s="34"/>
    </row>
    <row r="176" spans="1:21" ht="10.5" customHeight="1" x14ac:dyDescent="0.35">
      <c r="A176" s="325" t="s">
        <v>23</v>
      </c>
      <c r="B176" s="24" t="s">
        <v>17</v>
      </c>
      <c r="C176" s="24" t="s">
        <v>43</v>
      </c>
      <c r="D176" s="24" t="s">
        <v>16</v>
      </c>
      <c r="E176" s="24" t="s">
        <v>18</v>
      </c>
      <c r="F176" s="89" t="s">
        <v>21</v>
      </c>
      <c r="G176" s="24" t="s">
        <v>19</v>
      </c>
      <c r="H176" s="15"/>
      <c r="L176" s="321" t="s">
        <v>29</v>
      </c>
      <c r="M176" s="80" t="s">
        <v>50</v>
      </c>
      <c r="N176" s="101" t="s">
        <v>21</v>
      </c>
      <c r="O176" s="101" t="s">
        <v>19</v>
      </c>
      <c r="P176" s="15"/>
    </row>
    <row r="177" spans="1:21" ht="9" customHeight="1" x14ac:dyDescent="0.35">
      <c r="A177" s="326"/>
      <c r="B177" s="2" t="s">
        <v>14</v>
      </c>
      <c r="C177" s="39">
        <v>3</v>
      </c>
      <c r="D177" s="84">
        <f>D151</f>
        <v>3</v>
      </c>
      <c r="E177" s="29">
        <f>469.7/6.1</f>
        <v>77</v>
      </c>
      <c r="F177" s="49">
        <f>E177/$G$8/$G$18</f>
        <v>76.265411555893621</v>
      </c>
      <c r="G177" s="53">
        <f>E177/$G$8*$G$7</f>
        <v>83.924289245982692</v>
      </c>
      <c r="H177" s="15"/>
      <c r="L177" s="322"/>
      <c r="M177" s="29">
        <v>70</v>
      </c>
      <c r="N177" s="29">
        <f>M177/$G$8/$G$18</f>
        <v>69.332192323539658</v>
      </c>
      <c r="O177" s="29">
        <f>M177/$G$8*$G$7</f>
        <v>76.294808405438815</v>
      </c>
      <c r="P177" s="15"/>
    </row>
    <row r="178" spans="1:21" ht="9" customHeight="1" x14ac:dyDescent="0.35">
      <c r="A178" s="326"/>
      <c r="B178" s="2" t="s">
        <v>27</v>
      </c>
      <c r="C178" s="39">
        <v>1</v>
      </c>
      <c r="D178" s="84">
        <f t="shared" ref="D178:D180" si="3">D152</f>
        <v>1</v>
      </c>
      <c r="E178" s="29">
        <v>18.670000000000002</v>
      </c>
      <c r="F178" s="49">
        <f>E178/$G$8/$G$18</f>
        <v>18.491886152578367</v>
      </c>
      <c r="G178" s="53">
        <f>E178/$G$8*$G$7</f>
        <v>20.3489153275649</v>
      </c>
      <c r="H178" s="15"/>
      <c r="L178" s="322"/>
      <c r="M178" s="29">
        <v>17</v>
      </c>
      <c r="N178" s="29">
        <f>M178/$G$8/$G$18</f>
        <v>16.837818135716773</v>
      </c>
      <c r="O178" s="29">
        <f>M178/$G$8*$G$7</f>
        <v>18.528739184177997</v>
      </c>
      <c r="P178" s="15"/>
    </row>
    <row r="179" spans="1:21" ht="9" customHeight="1" x14ac:dyDescent="0.35">
      <c r="A179" s="326"/>
      <c r="B179" s="2" t="s">
        <v>15</v>
      </c>
      <c r="C179" s="39">
        <v>3</v>
      </c>
      <c r="D179" s="84">
        <f t="shared" si="3"/>
        <v>3</v>
      </c>
      <c r="E179" s="50">
        <v>9.5</v>
      </c>
      <c r="F179" s="49">
        <f>E179/$G$8/$G$18</f>
        <v>9.4093689581946691</v>
      </c>
      <c r="G179" s="53">
        <f>E179/$G$8*$G$7</f>
        <v>10.35429542645241</v>
      </c>
      <c r="H179" s="15"/>
      <c r="L179" s="322"/>
      <c r="M179" s="50">
        <v>9</v>
      </c>
      <c r="N179" s="29">
        <f>M179/$G$8/$G$18</f>
        <v>8.9141390130265279</v>
      </c>
      <c r="O179" s="29">
        <f>M179/$G$8*$G$7</f>
        <v>9.8093325092707051</v>
      </c>
      <c r="P179" s="15"/>
      <c r="T179" s="58"/>
    </row>
    <row r="180" spans="1:21" ht="9" customHeight="1" x14ac:dyDescent="0.35">
      <c r="A180" s="326"/>
      <c r="B180" s="2" t="s">
        <v>25</v>
      </c>
      <c r="C180" s="39">
        <v>2</v>
      </c>
      <c r="D180" s="84">
        <f t="shared" si="3"/>
        <v>2</v>
      </c>
      <c r="E180" s="50">
        <v>29.73</v>
      </c>
      <c r="F180" s="49">
        <f>E180/$G$8/$G$18</f>
        <v>29.446372539697631</v>
      </c>
      <c r="G180" s="53">
        <f>E180/$G$8*$G$7</f>
        <v>32.403495055624226</v>
      </c>
      <c r="H180" s="15"/>
      <c r="L180" s="322"/>
      <c r="M180" s="50">
        <v>27.622950819672134</v>
      </c>
      <c r="N180" s="29">
        <f>M180/$G$8/$G$18</f>
        <v>27.359424839616942</v>
      </c>
      <c r="O180" s="29">
        <f>M180/$G$8*$G$7</f>
        <v>30.106967719710635</v>
      </c>
      <c r="P180" s="15"/>
      <c r="S180" s="76"/>
      <c r="T180" s="68" t="s">
        <v>37</v>
      </c>
      <c r="U180" s="7"/>
    </row>
    <row r="181" spans="1:21" ht="9" customHeight="1" x14ac:dyDescent="0.35">
      <c r="A181" s="326"/>
      <c r="B181" s="4" t="s">
        <v>53</v>
      </c>
      <c r="F181" s="49">
        <f>SUMPRODUCT(F177:F180,D177:D180)</f>
        <v>334.40897277423846</v>
      </c>
      <c r="G181" s="54">
        <f>SUMPRODUCT(G177:G180,D177:D180)</f>
        <v>367.99165945611873</v>
      </c>
      <c r="H181" s="15"/>
      <c r="J181" s="19"/>
      <c r="L181" s="322"/>
      <c r="M181" s="4" t="s">
        <v>53</v>
      </c>
      <c r="N181" s="35">
        <f>SUMPRODUCT(N177:N180,D177:D180)</f>
        <v>306.29566182464924</v>
      </c>
      <c r="O181" s="35">
        <f>SUMPRODUCT(O177:O180,D177:D180)</f>
        <v>337.05509736772785</v>
      </c>
      <c r="P181" s="15"/>
      <c r="R181" s="19"/>
      <c r="S181" s="76"/>
      <c r="T181" s="69" t="s">
        <v>38</v>
      </c>
      <c r="U181" s="7"/>
    </row>
    <row r="182" spans="1:21" ht="9" customHeight="1" x14ac:dyDescent="0.35">
      <c r="A182" s="326"/>
      <c r="B182" s="4" t="s">
        <v>60</v>
      </c>
      <c r="F182" s="95"/>
      <c r="G182" s="86">
        <f>G181/$G$12</f>
        <v>16.364698209275375</v>
      </c>
      <c r="H182" s="62"/>
      <c r="I182" s="75"/>
      <c r="J182" s="128">
        <f>G182/G156-1</f>
        <v>-8.7064623956361942E-2</v>
      </c>
      <c r="K182" s="11"/>
      <c r="L182" s="322"/>
      <c r="M182" s="118" t="s">
        <v>60</v>
      </c>
      <c r="N182" s="119">
        <f>O182/G156-1</f>
        <v>-0.19597487377207212</v>
      </c>
      <c r="O182" s="120">
        <f>O181/($G$12*$G$15+$G$12)</f>
        <v>14.412442423269232</v>
      </c>
      <c r="P182" s="62"/>
      <c r="Q182" s="75"/>
      <c r="R182" s="128">
        <f>O182/O156-1</f>
        <v>-0.12445868312507413</v>
      </c>
      <c r="S182" s="11"/>
      <c r="T182" s="70">
        <f>O182/G182-1</f>
        <v>-0.11929677902031954</v>
      </c>
      <c r="U182" s="7"/>
    </row>
    <row r="183" spans="1:21" ht="9" customHeight="1" x14ac:dyDescent="0.35">
      <c r="A183" s="326"/>
      <c r="B183" s="112" t="s">
        <v>61</v>
      </c>
      <c r="C183" s="83"/>
      <c r="D183" s="34"/>
      <c r="E183" s="34"/>
      <c r="F183" s="2"/>
      <c r="G183" s="129">
        <f>G173-G181</f>
        <v>14.433091264936024</v>
      </c>
      <c r="H183" s="15"/>
      <c r="J183" s="17"/>
      <c r="L183" s="322"/>
      <c r="M183" s="112" t="s">
        <v>61</v>
      </c>
      <c r="N183" s="34"/>
      <c r="O183" s="129">
        <f>O173-O181</f>
        <v>13.219720764351848</v>
      </c>
      <c r="P183" s="15"/>
      <c r="R183" s="17"/>
      <c r="T183" s="34"/>
    </row>
    <row r="184" spans="1:21" ht="9" customHeight="1" x14ac:dyDescent="0.35">
      <c r="A184" s="327"/>
      <c r="B184" s="112" t="s">
        <v>62</v>
      </c>
      <c r="C184" s="83"/>
      <c r="D184" s="34"/>
      <c r="E184" s="34"/>
      <c r="F184" s="2"/>
      <c r="G184" s="125">
        <f>G174-G182</f>
        <v>0.64184384810974748</v>
      </c>
      <c r="H184" s="34"/>
      <c r="I184" s="17"/>
      <c r="J184" s="17"/>
      <c r="K184" s="12"/>
      <c r="L184" s="323"/>
      <c r="M184" s="112" t="s">
        <v>62</v>
      </c>
      <c r="O184" s="125">
        <f>O174-O182</f>
        <v>1.1643825991028685</v>
      </c>
      <c r="P184" s="34"/>
      <c r="Q184" s="17"/>
      <c r="R184" s="17"/>
      <c r="S184" s="12"/>
    </row>
    <row r="185" spans="1:21" ht="10.5" customHeight="1" x14ac:dyDescent="0.35">
      <c r="A185" s="22"/>
    </row>
    <row r="186" spans="1:21" ht="10.5" customHeight="1" x14ac:dyDescent="0.35"/>
    <row r="187" spans="1:21" ht="10.5" customHeight="1" x14ac:dyDescent="0.35"/>
    <row r="188" spans="1:21" ht="10.5" customHeight="1" x14ac:dyDescent="0.35"/>
    <row r="189" spans="1:21" ht="10.5" customHeight="1" x14ac:dyDescent="0.35"/>
    <row r="190" spans="1:21" ht="10.5" customHeight="1" x14ac:dyDescent="0.35"/>
    <row r="191" spans="1:21" ht="10.5" customHeight="1" x14ac:dyDescent="0.35"/>
  </sheetData>
  <mergeCells count="52">
    <mergeCell ref="K11:O14"/>
    <mergeCell ref="B1:D1"/>
    <mergeCell ref="F1:I1"/>
    <mergeCell ref="H2:I2"/>
    <mergeCell ref="H7:I7"/>
    <mergeCell ref="E20:G20"/>
    <mergeCell ref="A42:A48"/>
    <mergeCell ref="L42:L48"/>
    <mergeCell ref="M20:O20"/>
    <mergeCell ref="A36:A40"/>
    <mergeCell ref="L36:L40"/>
    <mergeCell ref="B21:D21"/>
    <mergeCell ref="A22:A26"/>
    <mergeCell ref="L22:L26"/>
    <mergeCell ref="A28:A34"/>
    <mergeCell ref="L28:L34"/>
    <mergeCell ref="B50:D50"/>
    <mergeCell ref="A51:A56"/>
    <mergeCell ref="L51:L56"/>
    <mergeCell ref="A67:A72"/>
    <mergeCell ref="L67:L72"/>
    <mergeCell ref="A176:A184"/>
    <mergeCell ref="L176:L184"/>
    <mergeCell ref="A133:A138"/>
    <mergeCell ref="L133:L138"/>
    <mergeCell ref="A100:A105"/>
    <mergeCell ref="L100:L105"/>
    <mergeCell ref="B116:D116"/>
    <mergeCell ref="A117:A122"/>
    <mergeCell ref="L117:L122"/>
    <mergeCell ref="A107:A114"/>
    <mergeCell ref="L107:L114"/>
    <mergeCell ref="L124:L131"/>
    <mergeCell ref="A168:A174"/>
    <mergeCell ref="L168:L174"/>
    <mergeCell ref="B149:D149"/>
    <mergeCell ref="A150:A156"/>
    <mergeCell ref="L158:L166"/>
    <mergeCell ref="A158:A166"/>
    <mergeCell ref="L150:L156"/>
    <mergeCell ref="A58:A65"/>
    <mergeCell ref="L58:L65"/>
    <mergeCell ref="A74:A81"/>
    <mergeCell ref="L74:L81"/>
    <mergeCell ref="A91:A98"/>
    <mergeCell ref="L91:L98"/>
    <mergeCell ref="A84:A89"/>
    <mergeCell ref="L84:L89"/>
    <mergeCell ref="B83:D83"/>
    <mergeCell ref="A124:A131"/>
    <mergeCell ref="A140:A147"/>
    <mergeCell ref="L140:L14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51:O72 F117:O131 F150:O174" formula="1"/>
  </ignoredErrors>
  <drawing r:id="rId2"/>
  <legacyDrawing r:id="rId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SIMULADOR NUTRADE</vt:lpstr>
      <vt:lpstr>SIMULADOR ABC OFICIAL</vt:lpstr>
      <vt:lpstr>REGRAS GERAIS</vt:lpstr>
      <vt:lpstr>OFERTAS</vt:lpstr>
      <vt:lpstr>REGRAS BARTER</vt:lpstr>
      <vt:lpstr>REGRAS SYDE</vt:lpstr>
      <vt:lpstr>MILHO SAFRINHA</vt:lpstr>
      <vt:lpstr>ALGODÃO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Bellodi Adriano BRGO</dc:creator>
  <cp:lastModifiedBy>Bellodi Adriano BRGO</cp:lastModifiedBy>
  <dcterms:created xsi:type="dcterms:W3CDTF">2025-08-11T13:30:30Z</dcterms:created>
  <dcterms:modified xsi:type="dcterms:W3CDTF">2026-06-15T13:03:54Z</dcterms:modified>
</cp:coreProperties>
</file>