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CINK_ASESOR4\Downloads\"/>
    </mc:Choice>
  </mc:AlternateContent>
  <workbookProtection workbookPassword="F817" lockStructure="1"/>
  <bookViews>
    <workbookView xWindow="-108" yWindow="-108" windowWidth="19416" windowHeight="10416" tabRatio="849"/>
  </bookViews>
  <sheets>
    <sheet name="1. DATOS PREVIOS" sheetId="1" r:id="rId1"/>
    <sheet name="2. P. MARKETING" sheetId="2" r:id="rId2"/>
    <sheet name="3. P. OPERACIONES" sheetId="4" r:id="rId3"/>
    <sheet name="4. P. REC. HUMANOS" sheetId="5" r:id="rId4"/>
    <sheet name="5. P. JURIDICO MERCANTIL" sheetId="6" r:id="rId5"/>
    <sheet name="6. PEF1. PLAN COMERCIAL" sheetId="7" r:id="rId6"/>
    <sheet name="6. PEF2-3. INVERS. Y FINANC." sheetId="8" r:id="rId7"/>
    <sheet name="6.PEF4. AMORTIZACIÓN" sheetId="15" r:id="rId8"/>
    <sheet name="6. PEF5. VENTAS Y COSTES" sheetId="10" r:id="rId9"/>
    <sheet name="6.PEF6. EXPLOTACION" sheetId="18" r:id="rId10"/>
    <sheet name="6. PEF7. IVA" sheetId="14" r:id="rId11"/>
    <sheet name="6. PEF8-9. TESORERIA" sheetId="11" r:id="rId12"/>
    <sheet name="6. PEF10. BALANCE 3 AÑOS" sheetId="13" r:id="rId13"/>
    <sheet name="6.PEF11. RATIOS" sheetId="16" r:id="rId14"/>
    <sheet name="AMORTIZ. PTMO." sheetId="3" r:id="rId15"/>
  </sheets>
  <definedNames>
    <definedName name="_xlnm.Print_Area" localSheetId="1">'2. P. MARKETING'!$A$1:$BZ$61</definedName>
    <definedName name="_xlnm.Print_Area" localSheetId="2">'3. P. OPERACIONES'!$A$1:$AA$61</definedName>
    <definedName name="_xlnm.Print_Area" localSheetId="3">'4. P. REC. HUMANOS'!$A$1:$AA$61</definedName>
    <definedName name="_xlnm.Print_Area" localSheetId="4">'5. P. JURIDICO MERCANTIL'!$A$1:$R$61</definedName>
    <definedName name="_xlnm.Print_Area" localSheetId="5">'6. PEF1. PLAN COMERCIAL'!$A$1:$I$44</definedName>
    <definedName name="_xlnm.Print_Area" localSheetId="12">'6. PEF10. BALANCE 3 AÑOS'!$A$1:$H$62</definedName>
    <definedName name="_xlnm.Print_Area" localSheetId="6">'6. PEF2-3. INVERS. Y FINANC.'!$A$1:$O$56</definedName>
    <definedName name="_xlnm.Print_Area" localSheetId="8">'6. PEF5. VENTAS Y COSTES'!$A$1:$I$57</definedName>
    <definedName name="_xlnm.Print_Area" localSheetId="10">'6. PEF7. IVA'!$A$1:$BH$59</definedName>
    <definedName name="_xlnm.Print_Area" localSheetId="11">'6. PEF8-9. TESORERIA'!$A$1:$BK$55</definedName>
    <definedName name="_xlnm.Print_Area" localSheetId="13">'6.PEF11. RATIOS'!$A$1:$G$48</definedName>
    <definedName name="_xlnm.Print_Area" localSheetId="7">'6.PEF4. AMORTIZACIÓN'!$A$1:$I$52</definedName>
    <definedName name="_xlnm.Print_Area" localSheetId="9">'6.PEF6. EXPLOTACION'!$A$1:$BJ$58</definedName>
    <definedName name="_xlnm.Print_Area" localSheetId="14">'AMORTIZ. PTMO.'!$A$1:$F$131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3" l="1"/>
  <c r="F4" i="3"/>
  <c r="F3" i="3"/>
  <c r="F11" i="3"/>
  <c r="D10" i="7"/>
  <c r="D10" i="18" s="1"/>
  <c r="V10" i="18" s="1"/>
  <c r="AN10" i="18" s="1"/>
  <c r="D20" i="7"/>
  <c r="D11" i="18" s="1"/>
  <c r="F42" i="10"/>
  <c r="G15" i="10" s="1"/>
  <c r="G16" i="10"/>
  <c r="G28" i="10"/>
  <c r="W14" i="18" s="1"/>
  <c r="W25" i="11" s="1"/>
  <c r="G21" i="10"/>
  <c r="G22" i="10"/>
  <c r="Y16" i="18" s="1"/>
  <c r="G23" i="10"/>
  <c r="AE17" i="18" s="1"/>
  <c r="G24" i="10"/>
  <c r="AG18" i="18" s="1"/>
  <c r="V18" i="18"/>
  <c r="G25" i="10"/>
  <c r="AG19" i="18" s="1"/>
  <c r="G26" i="10"/>
  <c r="AA20" i="18" s="1"/>
  <c r="G27" i="10"/>
  <c r="Z21" i="18" s="1"/>
  <c r="G31" i="10"/>
  <c r="W22" i="18" s="1"/>
  <c r="G29" i="10"/>
  <c r="V24" i="18" s="1"/>
  <c r="E20" i="15"/>
  <c r="G20" i="15"/>
  <c r="H20" i="15"/>
  <c r="E22" i="15"/>
  <c r="G22" i="15"/>
  <c r="E26" i="15"/>
  <c r="G26" i="15" s="1"/>
  <c r="E27" i="15"/>
  <c r="G27" i="15" s="1"/>
  <c r="H27" i="15" s="1"/>
  <c r="I27" i="15" s="1"/>
  <c r="E28" i="15"/>
  <c r="G28" i="15" s="1"/>
  <c r="H28" i="15" s="1"/>
  <c r="I28" i="15" s="1"/>
  <c r="E29" i="15"/>
  <c r="G29" i="15" s="1"/>
  <c r="H29" i="15" s="1"/>
  <c r="I29" i="15" s="1"/>
  <c r="E30" i="15"/>
  <c r="G30" i="15" s="1"/>
  <c r="H30" i="15" s="1"/>
  <c r="I30" i="15" s="1"/>
  <c r="E32" i="15"/>
  <c r="G32" i="15" s="1"/>
  <c r="H32" i="15" s="1"/>
  <c r="I32" i="15" s="1"/>
  <c r="H21" i="15"/>
  <c r="I21" i="15" s="1"/>
  <c r="H23" i="15"/>
  <c r="I23" i="15" s="1"/>
  <c r="H24" i="15"/>
  <c r="H25" i="15"/>
  <c r="I25" i="15" s="1"/>
  <c r="B10" i="15"/>
  <c r="E10" i="7"/>
  <c r="E10" i="18" s="1"/>
  <c r="W10" i="18" s="1"/>
  <c r="AO10" i="18" s="1"/>
  <c r="E20" i="7"/>
  <c r="W19" i="18"/>
  <c r="F10" i="7"/>
  <c r="F11" i="11" s="1"/>
  <c r="F20" i="7"/>
  <c r="F11" i="18" s="1"/>
  <c r="X19" i="18"/>
  <c r="G10" i="7"/>
  <c r="G11" i="11" s="1"/>
  <c r="Y11" i="11" s="1"/>
  <c r="AQ11" i="11" s="1"/>
  <c r="G20" i="7"/>
  <c r="Y19" i="18"/>
  <c r="H10" i="7"/>
  <c r="H10" i="18" s="1"/>
  <c r="H20" i="7"/>
  <c r="H11" i="18" s="1"/>
  <c r="Z11" i="18" s="1"/>
  <c r="Z19" i="18"/>
  <c r="I10" i="7"/>
  <c r="I10" i="18"/>
  <c r="I20" i="7"/>
  <c r="I22" i="11" s="1"/>
  <c r="AA22" i="11" s="1"/>
  <c r="AS22" i="11" s="1"/>
  <c r="AA21" i="18"/>
  <c r="D12" i="7"/>
  <c r="M10" i="18" s="1"/>
  <c r="AE10" i="18" s="1"/>
  <c r="AW10" i="18" s="1"/>
  <c r="D22" i="7"/>
  <c r="M11" i="18" s="1"/>
  <c r="AE11" i="18" s="1"/>
  <c r="E12" i="7"/>
  <c r="N10" i="18" s="1"/>
  <c r="AF10" i="18" s="1"/>
  <c r="AX10" i="18" s="1"/>
  <c r="E22" i="7"/>
  <c r="N11" i="18" s="1"/>
  <c r="AF11" i="18" s="1"/>
  <c r="AX11" i="18" s="1"/>
  <c r="AF16" i="18"/>
  <c r="F12" i="7"/>
  <c r="O10" i="18" s="1"/>
  <c r="AG10" i="18" s="1"/>
  <c r="AY10" i="18" s="1"/>
  <c r="F22" i="7"/>
  <c r="O11" i="18" s="1"/>
  <c r="AG11" i="18" s="1"/>
  <c r="AY11" i="18" s="1"/>
  <c r="G12" i="7"/>
  <c r="P11" i="11" s="1"/>
  <c r="AH11" i="11" s="1"/>
  <c r="AZ11" i="11" s="1"/>
  <c r="P10" i="18"/>
  <c r="G22" i="7"/>
  <c r="P11" i="18"/>
  <c r="AH16" i="18"/>
  <c r="H12" i="7"/>
  <c r="Q11" i="11" s="1"/>
  <c r="AI11" i="11" s="1"/>
  <c r="BA11" i="11" s="1"/>
  <c r="H22" i="7"/>
  <c r="Q11" i="18"/>
  <c r="AI11" i="18" s="1"/>
  <c r="BA11" i="18" s="1"/>
  <c r="AI21" i="18"/>
  <c r="I12" i="7"/>
  <c r="R10" i="18" s="1"/>
  <c r="I22" i="7"/>
  <c r="AJ15" i="18"/>
  <c r="AJ21" i="18"/>
  <c r="D12" i="18"/>
  <c r="D14" i="18"/>
  <c r="D15" i="18"/>
  <c r="D16" i="18"/>
  <c r="D17" i="18"/>
  <c r="D18" i="18"/>
  <c r="D19" i="18"/>
  <c r="D20" i="18"/>
  <c r="D21" i="18"/>
  <c r="D22" i="18"/>
  <c r="D23" i="18" s="1"/>
  <c r="D24" i="11" s="1"/>
  <c r="D24" i="18"/>
  <c r="B14" i="15"/>
  <c r="G15" i="15"/>
  <c r="E12" i="18"/>
  <c r="E14" i="18"/>
  <c r="E15" i="18"/>
  <c r="E16" i="18"/>
  <c r="E17" i="18"/>
  <c r="E18" i="18"/>
  <c r="E19" i="18"/>
  <c r="E20" i="18"/>
  <c r="E21" i="18"/>
  <c r="E22" i="18"/>
  <c r="E24" i="18"/>
  <c r="F12" i="18"/>
  <c r="F14" i="18"/>
  <c r="F25" i="11"/>
  <c r="F15" i="18"/>
  <c r="F16" i="18"/>
  <c r="F17" i="18"/>
  <c r="F18" i="18"/>
  <c r="F19" i="18"/>
  <c r="F20" i="18"/>
  <c r="F21" i="18"/>
  <c r="F22" i="18"/>
  <c r="F24" i="18"/>
  <c r="G12" i="18"/>
  <c r="BF12" i="18" s="1"/>
  <c r="G14" i="18"/>
  <c r="G25" i="11" s="1"/>
  <c r="G15" i="18"/>
  <c r="G16" i="18"/>
  <c r="G17" i="18"/>
  <c r="G18" i="18"/>
  <c r="G19" i="18"/>
  <c r="G20" i="18"/>
  <c r="G21" i="18"/>
  <c r="G22" i="18"/>
  <c r="G24" i="18"/>
  <c r="H12" i="18"/>
  <c r="H14" i="18"/>
  <c r="H25" i="11" s="1"/>
  <c r="H15" i="18"/>
  <c r="H16" i="18"/>
  <c r="H17" i="18"/>
  <c r="H18" i="18"/>
  <c r="H19" i="18"/>
  <c r="H20" i="18"/>
  <c r="H21" i="18"/>
  <c r="H22" i="18"/>
  <c r="H24" i="18"/>
  <c r="I12" i="18"/>
  <c r="I14" i="18"/>
  <c r="I25" i="11" s="1"/>
  <c r="I15" i="18"/>
  <c r="I16" i="18"/>
  <c r="I17" i="18"/>
  <c r="I18" i="18"/>
  <c r="I19" i="18"/>
  <c r="I20" i="18"/>
  <c r="I21" i="18"/>
  <c r="I22" i="18"/>
  <c r="I24" i="18"/>
  <c r="M12" i="18"/>
  <c r="M14" i="18"/>
  <c r="M25" i="11" s="1"/>
  <c r="M15" i="18"/>
  <c r="M16" i="18"/>
  <c r="M17" i="18"/>
  <c r="M18" i="18"/>
  <c r="M19" i="18"/>
  <c r="M20" i="18"/>
  <c r="M21" i="18"/>
  <c r="M22" i="18"/>
  <c r="M24" i="18"/>
  <c r="N12" i="18"/>
  <c r="N14" i="18"/>
  <c r="N25" i="11" s="1"/>
  <c r="N15" i="18"/>
  <c r="N16" i="18"/>
  <c r="N17" i="18"/>
  <c r="N18" i="18"/>
  <c r="N19" i="18"/>
  <c r="N20" i="18"/>
  <c r="N21" i="18"/>
  <c r="N22" i="18"/>
  <c r="N24" i="18"/>
  <c r="O12" i="18"/>
  <c r="O14" i="18"/>
  <c r="O25" i="11" s="1"/>
  <c r="O15" i="18"/>
  <c r="O16" i="18"/>
  <c r="O17" i="18"/>
  <c r="O18" i="18"/>
  <c r="O19" i="18"/>
  <c r="O20" i="18"/>
  <c r="O21" i="18"/>
  <c r="O22" i="18"/>
  <c r="O24" i="18"/>
  <c r="P12" i="18"/>
  <c r="P14" i="18"/>
  <c r="P25" i="11" s="1"/>
  <c r="P15" i="18"/>
  <c r="P16" i="18"/>
  <c r="P17" i="18"/>
  <c r="P18" i="18"/>
  <c r="P19" i="18"/>
  <c r="P20" i="18"/>
  <c r="P21" i="18"/>
  <c r="P22" i="18"/>
  <c r="P24" i="18"/>
  <c r="Q12" i="18"/>
  <c r="Q14" i="18"/>
  <c r="Q25" i="11" s="1"/>
  <c r="Q15" i="18"/>
  <c r="Q16" i="18"/>
  <c r="Q17" i="18"/>
  <c r="Q18" i="18"/>
  <c r="Q19" i="18"/>
  <c r="Q20" i="18"/>
  <c r="Q21" i="18"/>
  <c r="Q22" i="18"/>
  <c r="Q24" i="18"/>
  <c r="R12" i="18"/>
  <c r="R14" i="18"/>
  <c r="R15" i="18"/>
  <c r="R16" i="18"/>
  <c r="R17" i="18"/>
  <c r="R18" i="18"/>
  <c r="R19" i="18"/>
  <c r="R20" i="18"/>
  <c r="R21" i="18"/>
  <c r="R22" i="18"/>
  <c r="R24" i="18"/>
  <c r="F29" i="13"/>
  <c r="H29" i="13" s="1"/>
  <c r="F31" i="13"/>
  <c r="F38" i="8"/>
  <c r="D30" i="11"/>
  <c r="D17" i="14"/>
  <c r="D13" i="11" s="1"/>
  <c r="F17" i="14"/>
  <c r="E13" i="11" s="1"/>
  <c r="H17" i="14"/>
  <c r="F13" i="11" s="1"/>
  <c r="J17" i="14"/>
  <c r="G13" i="11" s="1"/>
  <c r="L17" i="14"/>
  <c r="H13" i="11" s="1"/>
  <c r="N17" i="14"/>
  <c r="I13" i="11" s="1"/>
  <c r="D25" i="14"/>
  <c r="M12" i="11" s="1"/>
  <c r="F25" i="14"/>
  <c r="N12" i="11"/>
  <c r="H25" i="14"/>
  <c r="O12" i="11" s="1"/>
  <c r="J25" i="14"/>
  <c r="P12" i="11" s="1"/>
  <c r="L25" i="14"/>
  <c r="Q12" i="11" s="1"/>
  <c r="L27" i="14"/>
  <c r="Q13" i="11" s="1"/>
  <c r="N25" i="14"/>
  <c r="R12" i="11" s="1"/>
  <c r="N27" i="14"/>
  <c r="R13" i="11" s="1"/>
  <c r="D10" i="11"/>
  <c r="BF10" i="11" s="1"/>
  <c r="H11" i="11"/>
  <c r="I11" i="11"/>
  <c r="AA11" i="11" s="1"/>
  <c r="AS11" i="11" s="1"/>
  <c r="M11" i="11"/>
  <c r="AE11" i="11" s="1"/>
  <c r="AW11" i="11" s="1"/>
  <c r="N11" i="11"/>
  <c r="AF11" i="11" s="1"/>
  <c r="AX11" i="11" s="1"/>
  <c r="M22" i="11"/>
  <c r="AE22" i="11" s="1"/>
  <c r="AW22" i="11" s="1"/>
  <c r="P22" i="11"/>
  <c r="AH22" i="11" s="1"/>
  <c r="AZ22" i="11" s="1"/>
  <c r="Q22" i="11"/>
  <c r="AI22" i="11" s="1"/>
  <c r="BA22" i="11" s="1"/>
  <c r="D23" i="11"/>
  <c r="E23" i="11"/>
  <c r="F23" i="11"/>
  <c r="G23" i="11"/>
  <c r="H23" i="11"/>
  <c r="I23" i="11"/>
  <c r="M23" i="11"/>
  <c r="N23" i="11"/>
  <c r="O23" i="11"/>
  <c r="P23" i="11"/>
  <c r="Q23" i="11"/>
  <c r="R23" i="11"/>
  <c r="R25" i="11"/>
  <c r="F18" i="13"/>
  <c r="G18" i="13" s="1"/>
  <c r="H18" i="13" s="1"/>
  <c r="H22" i="10"/>
  <c r="I24" i="15"/>
  <c r="D42" i="14"/>
  <c r="D33" i="11" s="1"/>
  <c r="AW23" i="14"/>
  <c r="L36" i="14" s="1"/>
  <c r="AA36" i="14" s="1"/>
  <c r="AP36" i="14" s="1"/>
  <c r="D35" i="14"/>
  <c r="E21" i="15"/>
  <c r="E23" i="15"/>
  <c r="E25" i="15"/>
  <c r="E31" i="15"/>
  <c r="D13" i="14"/>
  <c r="S13" i="14" s="1"/>
  <c r="F35" i="14"/>
  <c r="U35" i="14" s="1"/>
  <c r="F13" i="14"/>
  <c r="U13" i="14" s="1"/>
  <c r="AJ13" i="14" s="1"/>
  <c r="H35" i="14"/>
  <c r="W35" i="14" s="1"/>
  <c r="H13" i="14"/>
  <c r="W13" i="14" s="1"/>
  <c r="J35" i="14"/>
  <c r="Y35" i="14" s="1"/>
  <c r="J13" i="14"/>
  <c r="Y13" i="14" s="1"/>
  <c r="L35" i="14"/>
  <c r="AA35" i="14" s="1"/>
  <c r="L13" i="14"/>
  <c r="AA13" i="14"/>
  <c r="AP13" i="14" s="1"/>
  <c r="N35" i="14"/>
  <c r="AC35" i="14" s="1"/>
  <c r="AR35" i="14" s="1"/>
  <c r="N13" i="14"/>
  <c r="AC13" i="14"/>
  <c r="AC14" i="14" s="1"/>
  <c r="AC15" i="14" s="1"/>
  <c r="AA12" i="11" s="1"/>
  <c r="D46" i="14"/>
  <c r="S46" i="14" s="1"/>
  <c r="AH46" i="14" s="1"/>
  <c r="D23" i="14"/>
  <c r="S23" i="14"/>
  <c r="S28" i="14" s="1"/>
  <c r="S29" i="14" s="1"/>
  <c r="AE14" i="11" s="1"/>
  <c r="F46" i="14"/>
  <c r="U46" i="14"/>
  <c r="AJ46" i="14" s="1"/>
  <c r="F23" i="14"/>
  <c r="U23" i="14"/>
  <c r="H46" i="14"/>
  <c r="W46" i="14"/>
  <c r="H23" i="14"/>
  <c r="W23" i="14" s="1"/>
  <c r="J46" i="14"/>
  <c r="Y46" i="14" s="1"/>
  <c r="J23" i="14"/>
  <c r="L46" i="14"/>
  <c r="AA46" i="14" s="1"/>
  <c r="AP46" i="14" s="1"/>
  <c r="L23" i="14"/>
  <c r="N46" i="14"/>
  <c r="N23" i="14"/>
  <c r="AC23" i="14" s="1"/>
  <c r="F41" i="13"/>
  <c r="G41" i="13" s="1"/>
  <c r="F11" i="13"/>
  <c r="G11" i="13" s="1"/>
  <c r="H11" i="13" s="1"/>
  <c r="H10" i="13" s="1"/>
  <c r="F12" i="13"/>
  <c r="G12" i="13" s="1"/>
  <c r="H12" i="13" s="1"/>
  <c r="F13" i="13"/>
  <c r="G13" i="13" s="1"/>
  <c r="H13" i="13" s="1"/>
  <c r="F14" i="13"/>
  <c r="G14" i="13" s="1"/>
  <c r="H14" i="13" s="1"/>
  <c r="F15" i="13"/>
  <c r="G15" i="13" s="1"/>
  <c r="H15" i="13" s="1"/>
  <c r="F16" i="13"/>
  <c r="G16" i="13" s="1"/>
  <c r="H16" i="13" s="1"/>
  <c r="F17" i="13"/>
  <c r="G17" i="13" s="1"/>
  <c r="H17" i="13" s="1"/>
  <c r="F20" i="13"/>
  <c r="G20" i="13" s="1"/>
  <c r="F21" i="13"/>
  <c r="G21" i="13" s="1"/>
  <c r="H21" i="13" s="1"/>
  <c r="F22" i="13"/>
  <c r="G22" i="13" s="1"/>
  <c r="H22" i="13" s="1"/>
  <c r="F23" i="13"/>
  <c r="G23" i="13" s="1"/>
  <c r="H23" i="13" s="1"/>
  <c r="F25" i="13"/>
  <c r="G25" i="13" s="1"/>
  <c r="G24" i="13" s="1"/>
  <c r="D38" i="14"/>
  <c r="D31" i="11" s="1"/>
  <c r="F38" i="14"/>
  <c r="E31" i="11"/>
  <c r="F42" i="14"/>
  <c r="E33" i="11" s="1"/>
  <c r="H42" i="14"/>
  <c r="F33" i="11" s="1"/>
  <c r="J42" i="14"/>
  <c r="L42" i="14"/>
  <c r="N42" i="14"/>
  <c r="I33" i="11" s="1"/>
  <c r="D53" i="14"/>
  <c r="M33" i="11" s="1"/>
  <c r="F53" i="14"/>
  <c r="N33" i="11"/>
  <c r="H53" i="14"/>
  <c r="O33" i="11" s="1"/>
  <c r="J53" i="14"/>
  <c r="P33" i="11" s="1"/>
  <c r="L53" i="14"/>
  <c r="Q33" i="11"/>
  <c r="G31" i="13"/>
  <c r="H31" i="13" s="1"/>
  <c r="Z11" i="11"/>
  <c r="AR11" i="11" s="1"/>
  <c r="H17" i="15"/>
  <c r="H14" i="15" s="1"/>
  <c r="V27" i="11" s="1"/>
  <c r="W27" i="11" s="1"/>
  <c r="X27" i="11" s="1"/>
  <c r="Y27" i="11" s="1"/>
  <c r="Z27" i="11" s="1"/>
  <c r="AA27" i="11" s="1"/>
  <c r="AE27" i="11" s="1"/>
  <c r="AF27" i="11" s="1"/>
  <c r="AG27" i="11" s="1"/>
  <c r="AH27" i="11" s="1"/>
  <c r="AI27" i="11" s="1"/>
  <c r="AJ27" i="11" s="1"/>
  <c r="G29" i="13"/>
  <c r="I17" i="15"/>
  <c r="I14" i="15" s="1"/>
  <c r="AN27" i="11"/>
  <c r="AO27" i="11" s="1"/>
  <c r="AP27" i="11" s="1"/>
  <c r="AQ27" i="11" s="1"/>
  <c r="AR27" i="11" s="1"/>
  <c r="AS27" i="11" s="1"/>
  <c r="AW27" i="11" s="1"/>
  <c r="AX27" i="11" s="1"/>
  <c r="AY27" i="11" s="1"/>
  <c r="AZ27" i="11" s="1"/>
  <c r="BA27" i="11" s="1"/>
  <c r="BB27" i="11" s="1"/>
  <c r="AP10" i="14"/>
  <c r="AR10" i="14"/>
  <c r="AN10" i="14"/>
  <c r="AC10" i="14"/>
  <c r="AA10" i="14"/>
  <c r="Y10" i="14"/>
  <c r="AG53" i="14"/>
  <c r="AG51" i="14"/>
  <c r="AG49" i="14"/>
  <c r="AG42" i="14"/>
  <c r="AG40" i="14"/>
  <c r="AG38" i="14"/>
  <c r="AG29" i="14"/>
  <c r="AG27" i="14"/>
  <c r="AG25" i="14"/>
  <c r="AG19" i="14"/>
  <c r="AG17" i="14"/>
  <c r="AG15" i="14"/>
  <c r="R53" i="14"/>
  <c r="R51" i="14"/>
  <c r="R49" i="14"/>
  <c r="R42" i="14"/>
  <c r="R40" i="14"/>
  <c r="R38" i="14"/>
  <c r="R29" i="14"/>
  <c r="R27" i="14"/>
  <c r="R25" i="14"/>
  <c r="R19" i="14"/>
  <c r="R17" i="14"/>
  <c r="R15" i="14"/>
  <c r="AW14" i="14"/>
  <c r="AV15" i="14"/>
  <c r="D15" i="14"/>
  <c r="D12" i="11"/>
  <c r="F15" i="14"/>
  <c r="E12" i="11" s="1"/>
  <c r="H15" i="14"/>
  <c r="F12" i="11" s="1"/>
  <c r="J15" i="14"/>
  <c r="G12" i="11" s="1"/>
  <c r="L15" i="14"/>
  <c r="H12" i="11" s="1"/>
  <c r="N15" i="14"/>
  <c r="AW16" i="14"/>
  <c r="AV17" i="14"/>
  <c r="D27" i="14"/>
  <c r="M13" i="11" s="1"/>
  <c r="F27" i="14"/>
  <c r="N13" i="11" s="1"/>
  <c r="H27" i="14"/>
  <c r="O13" i="11" s="1"/>
  <c r="J27" i="14"/>
  <c r="P13" i="11" s="1"/>
  <c r="AW18" i="14"/>
  <c r="AV19" i="14"/>
  <c r="D19" i="14"/>
  <c r="D14" i="11" s="1"/>
  <c r="F19" i="14"/>
  <c r="E14" i="11" s="1"/>
  <c r="H19" i="14"/>
  <c r="F14" i="11" s="1"/>
  <c r="J19" i="14"/>
  <c r="G14" i="11"/>
  <c r="L19" i="14"/>
  <c r="H14" i="11" s="1"/>
  <c r="N19" i="14"/>
  <c r="N20" i="14" s="1"/>
  <c r="I14" i="11"/>
  <c r="D29" i="14"/>
  <c r="M14" i="11" s="1"/>
  <c r="F29" i="14"/>
  <c r="H29" i="14"/>
  <c r="O14" i="11" s="1"/>
  <c r="J29" i="14"/>
  <c r="P14" i="11" s="1"/>
  <c r="L29" i="14"/>
  <c r="Q14" i="11" s="1"/>
  <c r="N29" i="14"/>
  <c r="R14" i="11" s="1"/>
  <c r="AW24" i="14"/>
  <c r="AV25" i="14"/>
  <c r="H38" i="14"/>
  <c r="J38" i="14"/>
  <c r="G31" i="11" s="1"/>
  <c r="L38" i="14"/>
  <c r="H31" i="11" s="1"/>
  <c r="N38" i="14"/>
  <c r="I31" i="11" s="1"/>
  <c r="D49" i="14"/>
  <c r="M31" i="11" s="1"/>
  <c r="F49" i="14"/>
  <c r="N31" i="11" s="1"/>
  <c r="H49" i="14"/>
  <c r="O31" i="11" s="1"/>
  <c r="J49" i="14"/>
  <c r="P31" i="11" s="1"/>
  <c r="L49" i="14"/>
  <c r="Q31" i="11" s="1"/>
  <c r="N49" i="14"/>
  <c r="R31" i="11" s="1"/>
  <c r="AW26" i="14"/>
  <c r="AV27" i="14"/>
  <c r="D40" i="14"/>
  <c r="D32" i="11" s="1"/>
  <c r="F40" i="14"/>
  <c r="E32" i="11" s="1"/>
  <c r="H40" i="14"/>
  <c r="F32" i="11" s="1"/>
  <c r="J40" i="14"/>
  <c r="G32" i="11" s="1"/>
  <c r="L40" i="14"/>
  <c r="H32" i="11" s="1"/>
  <c r="N40" i="14"/>
  <c r="I32" i="11" s="1"/>
  <c r="D51" i="14"/>
  <c r="M32" i="11"/>
  <c r="F51" i="14"/>
  <c r="N32" i="11"/>
  <c r="H51" i="14"/>
  <c r="O32" i="11" s="1"/>
  <c r="J51" i="14"/>
  <c r="P32" i="11" s="1"/>
  <c r="L51" i="14"/>
  <c r="Q32" i="11" s="1"/>
  <c r="N51" i="14"/>
  <c r="R32" i="11" s="1"/>
  <c r="AV29" i="14"/>
  <c r="BF22" i="18"/>
  <c r="N26" i="8"/>
  <c r="E9" i="16"/>
  <c r="BO48" i="2"/>
  <c r="BO46" i="2"/>
  <c r="P11" i="6"/>
  <c r="C53" i="14"/>
  <c r="C51" i="14"/>
  <c r="C49" i="14"/>
  <c r="C42" i="14"/>
  <c r="C40" i="14"/>
  <c r="C38" i="14"/>
  <c r="C29" i="14"/>
  <c r="C25" i="14"/>
  <c r="C27" i="14"/>
  <c r="C19" i="14"/>
  <c r="C17" i="14"/>
  <c r="C15" i="14"/>
  <c r="F29" i="8"/>
  <c r="G53" i="13"/>
  <c r="H53" i="13" s="1"/>
  <c r="G50" i="13"/>
  <c r="H50" i="13" s="1"/>
  <c r="G47" i="13"/>
  <c r="H47" i="13" s="1"/>
  <c r="G46" i="13"/>
  <c r="H46" i="13" s="1"/>
  <c r="G45" i="13"/>
  <c r="H45" i="13" s="1"/>
  <c r="N18" i="8"/>
  <c r="N28" i="8" s="1"/>
  <c r="U26" i="14"/>
  <c r="AA18" i="14"/>
  <c r="AA19" i="14" s="1"/>
  <c r="Z14" i="11" s="1"/>
  <c r="AC16" i="14"/>
  <c r="AC17" i="14" s="1"/>
  <c r="AA13" i="11" s="1"/>
  <c r="G33" i="11"/>
  <c r="U24" i="14"/>
  <c r="U28" i="14"/>
  <c r="AJ23" i="14"/>
  <c r="BF19" i="18"/>
  <c r="AH23" i="14"/>
  <c r="G11" i="18"/>
  <c r="G22" i="11"/>
  <c r="Y22" i="11" s="1"/>
  <c r="AQ22" i="11" s="1"/>
  <c r="I12" i="11"/>
  <c r="H41" i="13"/>
  <c r="G16" i="15"/>
  <c r="AH11" i="18"/>
  <c r="AZ11" i="18" s="1"/>
  <c r="N22" i="11"/>
  <c r="AF22" i="11" s="1"/>
  <c r="AX22" i="11" s="1"/>
  <c r="H22" i="15"/>
  <c r="Y11" i="18"/>
  <c r="AQ11" i="18" s="1"/>
  <c r="AA16" i="14"/>
  <c r="AA17" i="14" s="1"/>
  <c r="Z13" i="11" s="1"/>
  <c r="I22" i="15"/>
  <c r="U29" i="14"/>
  <c r="AF14" i="11" s="1"/>
  <c r="Y23" i="14"/>
  <c r="Y28" i="14" s="1"/>
  <c r="Y29" i="14" s="1"/>
  <c r="AH14" i="11" s="1"/>
  <c r="BF15" i="18"/>
  <c r="D25" i="11"/>
  <c r="O11" i="11"/>
  <c r="AG11" i="11" s="1"/>
  <c r="AY11" i="11" s="1"/>
  <c r="Q10" i="18"/>
  <c r="I11" i="18"/>
  <c r="AA11" i="18" s="1"/>
  <c r="AI16" i="18"/>
  <c r="AA18" i="18"/>
  <c r="Y18" i="18"/>
  <c r="W18" i="18"/>
  <c r="AE18" i="18"/>
  <c r="AF18" i="18"/>
  <c r="AA16" i="18"/>
  <c r="AI18" i="18"/>
  <c r="Z14" i="18"/>
  <c r="Z25" i="11" s="1"/>
  <c r="Y24" i="14"/>
  <c r="Y25" i="14" s="1"/>
  <c r="AH12" i="11" s="1"/>
  <c r="AH21" i="18"/>
  <c r="J36" i="14"/>
  <c r="AG21" i="18"/>
  <c r="Y21" i="18"/>
  <c r="H47" i="14"/>
  <c r="H54" i="14" s="1"/>
  <c r="W21" i="18"/>
  <c r="F36" i="14"/>
  <c r="J47" i="14"/>
  <c r="AE21" i="18"/>
  <c r="F47" i="14"/>
  <c r="F54" i="14" s="1"/>
  <c r="L47" i="14"/>
  <c r="F40" i="8"/>
  <c r="F42" i="8" s="1"/>
  <c r="M30" i="8" s="1"/>
  <c r="AW31" i="14"/>
  <c r="Y36" i="14"/>
  <c r="U36" i="14"/>
  <c r="AA47" i="14"/>
  <c r="AP47" i="14" s="1"/>
  <c r="AJ36" i="14"/>
  <c r="Q13" i="18" l="1"/>
  <c r="O22" i="11"/>
  <c r="AG22" i="11" s="1"/>
  <c r="AY22" i="11" s="1"/>
  <c r="H22" i="11"/>
  <c r="Z22" i="11" s="1"/>
  <c r="AR22" i="11" s="1"/>
  <c r="J43" i="14"/>
  <c r="Y26" i="14"/>
  <c r="Y27" i="14" s="1"/>
  <c r="AH13" i="11" s="1"/>
  <c r="AN23" i="14"/>
  <c r="AN28" i="14" s="1"/>
  <c r="AN29" i="14" s="1"/>
  <c r="AZ14" i="11" s="1"/>
  <c r="AA14" i="14"/>
  <c r="AA15" i="14" s="1"/>
  <c r="Z12" i="11" s="1"/>
  <c r="G10" i="18"/>
  <c r="E11" i="11"/>
  <c r="W11" i="11" s="1"/>
  <c r="AO11" i="11" s="1"/>
  <c r="BF14" i="18"/>
  <c r="E25" i="11"/>
  <c r="W47" i="14"/>
  <c r="AL47" i="14" s="1"/>
  <c r="D47" i="14"/>
  <c r="N47" i="14"/>
  <c r="N36" i="14"/>
  <c r="D36" i="14"/>
  <c r="S36" i="14" s="1"/>
  <c r="H36" i="14"/>
  <c r="W36" i="14" s="1"/>
  <c r="AL36" i="14" s="1"/>
  <c r="J54" i="14"/>
  <c r="Y47" i="14"/>
  <c r="Y52" i="14" s="1"/>
  <c r="Y53" i="14" s="1"/>
  <c r="AH33" i="11" s="1"/>
  <c r="U47" i="14"/>
  <c r="AJ47" i="14" s="1"/>
  <c r="BF21" i="18"/>
  <c r="M23" i="18"/>
  <c r="M24" i="11" s="1"/>
  <c r="D20" i="14"/>
  <c r="AP18" i="14"/>
  <c r="AP19" i="14" s="1"/>
  <c r="AR14" i="11" s="1"/>
  <c r="F23" i="18"/>
  <c r="F24" i="11" s="1"/>
  <c r="Y39" i="14"/>
  <c r="Y40" i="14" s="1"/>
  <c r="Y32" i="11" s="1"/>
  <c r="Q23" i="18"/>
  <c r="Q24" i="11" s="1"/>
  <c r="N23" i="18"/>
  <c r="N24" i="11" s="1"/>
  <c r="AJ24" i="14"/>
  <c r="AJ25" i="14" s="1"/>
  <c r="AX12" i="11" s="1"/>
  <c r="AN13" i="14"/>
  <c r="Y14" i="14"/>
  <c r="Y15" i="14" s="1"/>
  <c r="Y12" i="11" s="1"/>
  <c r="Y16" i="14"/>
  <c r="Y17" i="14" s="1"/>
  <c r="Y13" i="11" s="1"/>
  <c r="Y18" i="14"/>
  <c r="Y19" i="14" s="1"/>
  <c r="Y14" i="11" s="1"/>
  <c r="AR13" i="14"/>
  <c r="AC18" i="14"/>
  <c r="AC19" i="14" s="1"/>
  <c r="AA14" i="11" s="1"/>
  <c r="D11" i="11"/>
  <c r="V11" i="11" s="1"/>
  <c r="AN11" i="11" s="1"/>
  <c r="L54" i="14"/>
  <c r="AN24" i="14"/>
  <c r="AN25" i="14" s="1"/>
  <c r="AZ12" i="11" s="1"/>
  <c r="F30" i="14"/>
  <c r="U25" i="14"/>
  <c r="AF12" i="11" s="1"/>
  <c r="D30" i="14"/>
  <c r="AR14" i="14"/>
  <c r="AR15" i="14" s="1"/>
  <c r="AS12" i="11" s="1"/>
  <c r="N13" i="18"/>
  <c r="S14" i="14"/>
  <c r="S15" i="14" s="1"/>
  <c r="V12" i="11" s="1"/>
  <c r="S16" i="14"/>
  <c r="S17" i="14" s="1"/>
  <c r="V13" i="11" s="1"/>
  <c r="AH13" i="14"/>
  <c r="AA23" i="14"/>
  <c r="L30" i="14"/>
  <c r="AL23" i="14"/>
  <c r="W28" i="14"/>
  <c r="W29" i="14" s="1"/>
  <c r="W24" i="14"/>
  <c r="W25" i="14" s="1"/>
  <c r="AG12" i="11" s="1"/>
  <c r="AI10" i="18"/>
  <c r="BA10" i="18" s="1"/>
  <c r="J30" i="14"/>
  <c r="W26" i="14"/>
  <c r="W27" i="14" s="1"/>
  <c r="AG13" i="11" s="1"/>
  <c r="E33" i="15"/>
  <c r="U27" i="14"/>
  <c r="AF13" i="11" s="1"/>
  <c r="AF15" i="11" s="1"/>
  <c r="AF16" i="11" s="1"/>
  <c r="AJ26" i="14"/>
  <c r="AJ27" i="14" s="1"/>
  <c r="AX13" i="11" s="1"/>
  <c r="F31" i="11"/>
  <c r="F34" i="11" s="1"/>
  <c r="AW25" i="14"/>
  <c r="L43" i="14"/>
  <c r="AL46" i="14"/>
  <c r="W48" i="14"/>
  <c r="W49" i="14" s="1"/>
  <c r="AG31" i="11" s="1"/>
  <c r="R23" i="18"/>
  <c r="R24" i="11" s="1"/>
  <c r="P23" i="18"/>
  <c r="P24" i="11" s="1"/>
  <c r="BF17" i="18"/>
  <c r="O23" i="18"/>
  <c r="O24" i="11" s="1"/>
  <c r="BF20" i="18"/>
  <c r="BF16" i="18"/>
  <c r="E23" i="18"/>
  <c r="E24" i="11" s="1"/>
  <c r="G17" i="15"/>
  <c r="G14" i="15" s="1"/>
  <c r="D27" i="11" s="1"/>
  <c r="E27" i="11" s="1"/>
  <c r="F27" i="11" s="1"/>
  <c r="G27" i="11" s="1"/>
  <c r="H27" i="11" s="1"/>
  <c r="I27" i="11" s="1"/>
  <c r="M27" i="11" s="1"/>
  <c r="N27" i="11" s="1"/>
  <c r="O27" i="11" s="1"/>
  <c r="P27" i="11" s="1"/>
  <c r="Q27" i="11" s="1"/>
  <c r="R27" i="11" s="1"/>
  <c r="BF18" i="18"/>
  <c r="E11" i="18"/>
  <c r="E13" i="18" s="1"/>
  <c r="E22" i="11"/>
  <c r="W22" i="11" s="1"/>
  <c r="AO22" i="11" s="1"/>
  <c r="I20" i="15"/>
  <c r="V15" i="18"/>
  <c r="W15" i="18"/>
  <c r="Z15" i="18"/>
  <c r="AA15" i="18"/>
  <c r="Y15" i="18"/>
  <c r="AE15" i="18"/>
  <c r="L20" i="14"/>
  <c r="AG23" i="11"/>
  <c r="V12" i="18"/>
  <c r="X23" i="11"/>
  <c r="AJ23" i="11"/>
  <c r="AA12" i="18"/>
  <c r="AH23" i="11"/>
  <c r="AA23" i="11"/>
  <c r="H15" i="10"/>
  <c r="W23" i="11"/>
  <c r="AG12" i="18"/>
  <c r="AI23" i="11"/>
  <c r="Y23" i="11"/>
  <c r="H23" i="18"/>
  <c r="H24" i="11" s="1"/>
  <c r="BF24" i="18"/>
  <c r="G23" i="18"/>
  <c r="G24" i="11" s="1"/>
  <c r="R11" i="18"/>
  <c r="AJ11" i="18" s="1"/>
  <c r="BB11" i="18" s="1"/>
  <c r="R22" i="11"/>
  <c r="AJ22" i="11" s="1"/>
  <c r="BB22" i="11" s="1"/>
  <c r="AA10" i="18"/>
  <c r="AS10" i="18" s="1"/>
  <c r="I13" i="18"/>
  <c r="Y10" i="18"/>
  <c r="AQ10" i="18" s="1"/>
  <c r="G13" i="18"/>
  <c r="G33" i="15"/>
  <c r="H26" i="15"/>
  <c r="I26" i="15" s="1"/>
  <c r="AN35" i="14"/>
  <c r="Y37" i="14"/>
  <c r="Y38" i="14" s="1"/>
  <c r="Y31" i="11" s="1"/>
  <c r="AP16" i="18"/>
  <c r="AQ16" i="18"/>
  <c r="AH36" i="14"/>
  <c r="AJ12" i="18"/>
  <c r="Y41" i="14"/>
  <c r="Y42" i="14" s="1"/>
  <c r="Y33" i="11" s="1"/>
  <c r="X12" i="18"/>
  <c r="AP14" i="14"/>
  <c r="AP15" i="14" s="1"/>
  <c r="AR12" i="11" s="1"/>
  <c r="AE23" i="11"/>
  <c r="AC46" i="14"/>
  <c r="Y48" i="14"/>
  <c r="Y49" i="14" s="1"/>
  <c r="AH31" i="11" s="1"/>
  <c r="AN46" i="14"/>
  <c r="S35" i="14"/>
  <c r="AH35" i="14" s="1"/>
  <c r="D43" i="14"/>
  <c r="I23" i="18"/>
  <c r="I24" i="11" s="1"/>
  <c r="BF25" i="11"/>
  <c r="AH10" i="18"/>
  <c r="AZ10" i="18" s="1"/>
  <c r="P13" i="18"/>
  <c r="Z10" i="18"/>
  <c r="AR10" i="18" s="1"/>
  <c r="H13" i="18"/>
  <c r="H30" i="14"/>
  <c r="AW22" i="14"/>
  <c r="AA50" i="14"/>
  <c r="AA51" i="14" s="1"/>
  <c r="AI32" i="11" s="1"/>
  <c r="O13" i="18"/>
  <c r="Y50" i="14"/>
  <c r="Y51" i="14" s="1"/>
  <c r="AH32" i="11" s="1"/>
  <c r="S24" i="14"/>
  <c r="Q34" i="11"/>
  <c r="BH27" i="11"/>
  <c r="BF23" i="11"/>
  <c r="BF27" i="11"/>
  <c r="BG27" i="11"/>
  <c r="G34" i="11"/>
  <c r="I15" i="11"/>
  <c r="I16" i="11" s="1"/>
  <c r="P34" i="11"/>
  <c r="AH28" i="14"/>
  <c r="AH29" i="14" s="1"/>
  <c r="AW14" i="11" s="1"/>
  <c r="S26" i="14"/>
  <c r="S27" i="14" s="1"/>
  <c r="AE13" i="11" s="1"/>
  <c r="AW13" i="14"/>
  <c r="AH14" i="14"/>
  <c r="S18" i="14"/>
  <c r="S19" i="14" s="1"/>
  <c r="V14" i="11" s="1"/>
  <c r="F10" i="13"/>
  <c r="G10" i="13"/>
  <c r="R15" i="11"/>
  <c r="AA20" i="14"/>
  <c r="Z15" i="11"/>
  <c r="Z16" i="11" s="1"/>
  <c r="AP16" i="14"/>
  <c r="AP17" i="14" s="1"/>
  <c r="AR13" i="11" s="1"/>
  <c r="O34" i="11"/>
  <c r="N34" i="11"/>
  <c r="M34" i="11"/>
  <c r="I34" i="11"/>
  <c r="H33" i="11"/>
  <c r="H34" i="11" s="1"/>
  <c r="BF32" i="11"/>
  <c r="E34" i="11"/>
  <c r="AW27" i="14"/>
  <c r="N30" i="14"/>
  <c r="Q15" i="11"/>
  <c r="Q16" i="11" s="1"/>
  <c r="P15" i="11"/>
  <c r="Y30" i="14"/>
  <c r="AH15" i="11"/>
  <c r="AH16" i="11" s="1"/>
  <c r="P16" i="11"/>
  <c r="AN26" i="14"/>
  <c r="AJ28" i="14"/>
  <c r="AJ29" i="14" s="1"/>
  <c r="AX14" i="11" s="1"/>
  <c r="N14" i="11"/>
  <c r="N15" i="11" s="1"/>
  <c r="M15" i="11"/>
  <c r="M16" i="11" s="1"/>
  <c r="AA15" i="11"/>
  <c r="AA16" i="11" s="1"/>
  <c r="AR16" i="14"/>
  <c r="H20" i="14"/>
  <c r="H15" i="11"/>
  <c r="H16" i="11" s="1"/>
  <c r="AN16" i="14"/>
  <c r="AN17" i="14" s="1"/>
  <c r="AQ13" i="11" s="1"/>
  <c r="F15" i="11"/>
  <c r="F16" i="11" s="1"/>
  <c r="D15" i="11"/>
  <c r="D17" i="11" s="1"/>
  <c r="F20" i="14"/>
  <c r="AW17" i="14"/>
  <c r="AW19" i="14"/>
  <c r="G15" i="11"/>
  <c r="G16" i="11" s="1"/>
  <c r="AN14" i="14"/>
  <c r="AN15" i="14" s="1"/>
  <c r="AQ12" i="11" s="1"/>
  <c r="Y20" i="14"/>
  <c r="AW15" i="14"/>
  <c r="J20" i="14"/>
  <c r="AJ24" i="18"/>
  <c r="AA52" i="14"/>
  <c r="AA53" i="14" s="1"/>
  <c r="AI33" i="11" s="1"/>
  <c r="W52" i="14"/>
  <c r="W53" i="14" s="1"/>
  <c r="AG33" i="11" s="1"/>
  <c r="U52" i="14"/>
  <c r="U53" i="14" s="1"/>
  <c r="AF33" i="11" s="1"/>
  <c r="X14" i="18"/>
  <c r="X25" i="11" s="1"/>
  <c r="AJ14" i="18"/>
  <c r="AJ25" i="11" s="1"/>
  <c r="AG16" i="18"/>
  <c r="X16" i="18"/>
  <c r="V16" i="18"/>
  <c r="AN47" i="14"/>
  <c r="AN48" i="14" s="1"/>
  <c r="AN36" i="14"/>
  <c r="Y22" i="18"/>
  <c r="AA22" i="18"/>
  <c r="AJ18" i="18"/>
  <c r="AE16" i="18"/>
  <c r="AI14" i="18"/>
  <c r="AI25" i="11" s="1"/>
  <c r="AH14" i="18"/>
  <c r="AH25" i="11" s="1"/>
  <c r="X18" i="18"/>
  <c r="Z18" i="18"/>
  <c r="AG22" i="18"/>
  <c r="AI22" i="18"/>
  <c r="AN16" i="18"/>
  <c r="H24" i="10"/>
  <c r="AQ18" i="18" s="1"/>
  <c r="H21" i="10"/>
  <c r="AX15" i="18" s="1"/>
  <c r="AJ16" i="18"/>
  <c r="AI15" i="18"/>
  <c r="AH18" i="18"/>
  <c r="AH15" i="18"/>
  <c r="AG15" i="18"/>
  <c r="AF15" i="18"/>
  <c r="AE22" i="18"/>
  <c r="AE14" i="18"/>
  <c r="AE25" i="11" s="1"/>
  <c r="AA14" i="18"/>
  <c r="AA25" i="11" s="1"/>
  <c r="Z16" i="18"/>
  <c r="Y14" i="18"/>
  <c r="Y25" i="11" s="1"/>
  <c r="X15" i="18"/>
  <c r="W16" i="18"/>
  <c r="V22" i="18"/>
  <c r="V14" i="18"/>
  <c r="V25" i="11" s="1"/>
  <c r="AF24" i="18"/>
  <c r="AE24" i="18"/>
  <c r="AA24" i="18"/>
  <c r="X24" i="18"/>
  <c r="W24" i="18"/>
  <c r="H29" i="10"/>
  <c r="AI24" i="18"/>
  <c r="AH24" i="18"/>
  <c r="AG24" i="18"/>
  <c r="Z24" i="18"/>
  <c r="Y24" i="18"/>
  <c r="AA48" i="14"/>
  <c r="AA49" i="14" s="1"/>
  <c r="AI31" i="11" s="1"/>
  <c r="W50" i="14"/>
  <c r="W51" i="14" s="1"/>
  <c r="AG32" i="11" s="1"/>
  <c r="V21" i="18"/>
  <c r="AF21" i="18"/>
  <c r="X22" i="18"/>
  <c r="Z22" i="18"/>
  <c r="H28" i="10"/>
  <c r="AQ14" i="18" s="1"/>
  <c r="AQ25" i="11" s="1"/>
  <c r="AO16" i="18"/>
  <c r="AH22" i="18"/>
  <c r="AG14" i="18"/>
  <c r="AG25" i="11" s="1"/>
  <c r="AJ22" i="18"/>
  <c r="AY16" i="18"/>
  <c r="H31" i="10"/>
  <c r="H27" i="10"/>
  <c r="H23" i="10"/>
  <c r="AP17" i="18" s="1"/>
  <c r="AJ19" i="18"/>
  <c r="AI19" i="18"/>
  <c r="AF22" i="18"/>
  <c r="AF14" i="18"/>
  <c r="AF25" i="11" s="1"/>
  <c r="X21" i="18"/>
  <c r="BB14" i="18"/>
  <c r="BB25" i="11" s="1"/>
  <c r="AN14" i="18"/>
  <c r="AR14" i="18"/>
  <c r="AR25" i="11" s="1"/>
  <c r="AZ14" i="18"/>
  <c r="AZ25" i="11" s="1"/>
  <c r="AX17" i="18"/>
  <c r="AO17" i="18"/>
  <c r="AS17" i="18"/>
  <c r="AN15" i="18"/>
  <c r="AP15" i="18"/>
  <c r="AW15" i="18"/>
  <c r="AH20" i="18"/>
  <c r="W20" i="18"/>
  <c r="X20" i="18"/>
  <c r="Y20" i="18"/>
  <c r="Z20" i="18"/>
  <c r="AG20" i="18"/>
  <c r="AI20" i="18"/>
  <c r="AJ20" i="18"/>
  <c r="H26" i="10"/>
  <c r="V20" i="18"/>
  <c r="AE20" i="18"/>
  <c r="AF20" i="18"/>
  <c r="S37" i="14"/>
  <c r="S38" i="14" s="1"/>
  <c r="V31" i="11" s="1"/>
  <c r="AO14" i="18"/>
  <c r="AO25" i="11" s="1"/>
  <c r="U39" i="14"/>
  <c r="U40" i="14" s="1"/>
  <c r="W32" i="11" s="1"/>
  <c r="BA17" i="18"/>
  <c r="AF17" i="18"/>
  <c r="W17" i="18"/>
  <c r="X17" i="18"/>
  <c r="Y17" i="18"/>
  <c r="Y23" i="18" s="1"/>
  <c r="Y24" i="11" s="1"/>
  <c r="Z17" i="18"/>
  <c r="AG17" i="18"/>
  <c r="AH17" i="18"/>
  <c r="AI17" i="18"/>
  <c r="AJ17" i="18"/>
  <c r="V17" i="18"/>
  <c r="AA17" i="18"/>
  <c r="AG13" i="18"/>
  <c r="AZ16" i="18"/>
  <c r="BB16" i="18"/>
  <c r="BA16" i="18"/>
  <c r="AX16" i="18"/>
  <c r="AW16" i="18"/>
  <c r="AS16" i="18"/>
  <c r="AR16" i="18"/>
  <c r="V19" i="18"/>
  <c r="AA19" i="18"/>
  <c r="AE19" i="18"/>
  <c r="AF19" i="18"/>
  <c r="AH19" i="18"/>
  <c r="H25" i="10"/>
  <c r="H16" i="10"/>
  <c r="V23" i="11"/>
  <c r="Z23" i="11"/>
  <c r="AF23" i="11"/>
  <c r="W12" i="18"/>
  <c r="AE12" i="18"/>
  <c r="AE13" i="18" s="1"/>
  <c r="Y12" i="18"/>
  <c r="Z12" i="18"/>
  <c r="AF12" i="18"/>
  <c r="AF13" i="18" s="1"/>
  <c r="AH12" i="18"/>
  <c r="AI12" i="18"/>
  <c r="C5" i="3"/>
  <c r="A12" i="3"/>
  <c r="F43" i="14"/>
  <c r="F22" i="11"/>
  <c r="X22" i="11" s="1"/>
  <c r="AP22" i="11" s="1"/>
  <c r="U41" i="14"/>
  <c r="U42" i="14" s="1"/>
  <c r="W33" i="11" s="1"/>
  <c r="AJ35" i="14"/>
  <c r="D34" i="11"/>
  <c r="O15" i="11"/>
  <c r="BF13" i="11"/>
  <c r="E15" i="11"/>
  <c r="BF12" i="11"/>
  <c r="AL13" i="14"/>
  <c r="W18" i="14"/>
  <c r="W19" i="14" s="1"/>
  <c r="X14" i="11" s="1"/>
  <c r="W16" i="14"/>
  <c r="W17" i="14" s="1"/>
  <c r="X13" i="11" s="1"/>
  <c r="W14" i="14"/>
  <c r="X11" i="11"/>
  <c r="F10" i="18"/>
  <c r="X10" i="18" s="1"/>
  <c r="AP10" i="18" s="1"/>
  <c r="U14" i="14"/>
  <c r="AJ14" i="14" s="1"/>
  <c r="U16" i="14"/>
  <c r="U17" i="14" s="1"/>
  <c r="W13" i="11" s="1"/>
  <c r="U18" i="14"/>
  <c r="U19" i="14" s="1"/>
  <c r="W14" i="11" s="1"/>
  <c r="AR23" i="14"/>
  <c r="AC28" i="14"/>
  <c r="AC29" i="14" s="1"/>
  <c r="AJ14" i="11" s="1"/>
  <c r="AC24" i="14"/>
  <c r="AC25" i="14" s="1"/>
  <c r="AJ12" i="11" s="1"/>
  <c r="BA13" i="14"/>
  <c r="AJ10" i="18"/>
  <c r="R13" i="18"/>
  <c r="AR24" i="14"/>
  <c r="D15" i="7"/>
  <c r="E15" i="7" s="1"/>
  <c r="G11" i="10" s="1"/>
  <c r="AC26" i="14"/>
  <c r="R11" i="11"/>
  <c r="AW11" i="18"/>
  <c r="M13" i="18"/>
  <c r="AS11" i="18"/>
  <c r="AP35" i="14"/>
  <c r="AA37" i="14"/>
  <c r="AA41" i="14"/>
  <c r="AA42" i="14" s="1"/>
  <c r="Z33" i="11" s="1"/>
  <c r="AA39" i="14"/>
  <c r="AA40" i="14" s="1"/>
  <c r="Z32" i="11" s="1"/>
  <c r="AR11" i="18"/>
  <c r="X11" i="18"/>
  <c r="W41" i="14"/>
  <c r="W42" i="14" s="1"/>
  <c r="W37" i="14"/>
  <c r="AL35" i="14"/>
  <c r="U37" i="14"/>
  <c r="V11" i="18"/>
  <c r="D13" i="18"/>
  <c r="D25" i="7"/>
  <c r="D22" i="11"/>
  <c r="F19" i="13"/>
  <c r="F24" i="13"/>
  <c r="G19" i="13"/>
  <c r="H20" i="13"/>
  <c r="H19" i="13" s="1"/>
  <c r="F27" i="16"/>
  <c r="H25" i="13"/>
  <c r="H24" i="13" s="1"/>
  <c r="BF11" i="18" l="1"/>
  <c r="AI13" i="18"/>
  <c r="AC36" i="14"/>
  <c r="N43" i="14"/>
  <c r="D54" i="14"/>
  <c r="S47" i="14"/>
  <c r="W39" i="14"/>
  <c r="W40" i="14" s="1"/>
  <c r="X32" i="11" s="1"/>
  <c r="AL52" i="14"/>
  <c r="AL53" i="14" s="1"/>
  <c r="AY33" i="11" s="1"/>
  <c r="H43" i="14"/>
  <c r="AC47" i="14"/>
  <c r="N52" i="14"/>
  <c r="AL48" i="14"/>
  <c r="AL49" i="14" s="1"/>
  <c r="AY31" i="11" s="1"/>
  <c r="BA23" i="14"/>
  <c r="U48" i="14"/>
  <c r="U49" i="14" s="1"/>
  <c r="AF31" i="11" s="1"/>
  <c r="U50" i="14"/>
  <c r="U51" i="14" s="1"/>
  <c r="AF32" i="11" s="1"/>
  <c r="BF23" i="18"/>
  <c r="AR15" i="11"/>
  <c r="AR16" i="11" s="1"/>
  <c r="Y15" i="11"/>
  <c r="Y16" i="11" s="1"/>
  <c r="Y34" i="11"/>
  <c r="Y35" i="11" s="1"/>
  <c r="AJ48" i="14"/>
  <c r="AJ49" i="14" s="1"/>
  <c r="AX31" i="11" s="1"/>
  <c r="AP50" i="14"/>
  <c r="AP51" i="14" s="1"/>
  <c r="BA32" i="11" s="1"/>
  <c r="BF24" i="11"/>
  <c r="AG34" i="11"/>
  <c r="BA22" i="14"/>
  <c r="S41" i="14"/>
  <c r="S42" i="14" s="1"/>
  <c r="V33" i="11" s="1"/>
  <c r="AN39" i="14"/>
  <c r="AN40" i="14" s="1"/>
  <c r="AQ32" i="11" s="1"/>
  <c r="AR28" i="14"/>
  <c r="AR29" i="14" s="1"/>
  <c r="BB14" i="11" s="1"/>
  <c r="AH13" i="18"/>
  <c r="Z13" i="18"/>
  <c r="AC20" i="14"/>
  <c r="AA13" i="18"/>
  <c r="AH16" i="14"/>
  <c r="AH17" i="14" s="1"/>
  <c r="AN13" i="11" s="1"/>
  <c r="AR18" i="14"/>
  <c r="AR19" i="14" s="1"/>
  <c r="AS14" i="11" s="1"/>
  <c r="AN18" i="14"/>
  <c r="BF31" i="11"/>
  <c r="Y43" i="14"/>
  <c r="AA54" i="14"/>
  <c r="AP52" i="14"/>
  <c r="AP53" i="14" s="1"/>
  <c r="BA33" i="11" s="1"/>
  <c r="W30" i="14"/>
  <c r="AX15" i="11"/>
  <c r="AX16" i="11" s="1"/>
  <c r="AJ30" i="14"/>
  <c r="V15" i="11"/>
  <c r="V16" i="11" s="1"/>
  <c r="AL24" i="14"/>
  <c r="AL25" i="14" s="1"/>
  <c r="AJ39" i="14"/>
  <c r="AJ40" i="14" s="1"/>
  <c r="AO32" i="11" s="1"/>
  <c r="AZ15" i="18"/>
  <c r="BA15" i="18"/>
  <c r="BG18" i="18"/>
  <c r="AL28" i="14"/>
  <c r="AL29" i="14" s="1"/>
  <c r="AY14" i="11" s="1"/>
  <c r="U30" i="14"/>
  <c r="AR46" i="14"/>
  <c r="BE22" i="14" s="1"/>
  <c r="AC48" i="14"/>
  <c r="H33" i="15"/>
  <c r="AO15" i="18"/>
  <c r="BB15" i="18"/>
  <c r="AS15" i="18"/>
  <c r="AP14" i="18"/>
  <c r="AP25" i="11" s="1"/>
  <c r="AH34" i="11"/>
  <c r="AH35" i="11" s="1"/>
  <c r="AN50" i="14"/>
  <c r="AN51" i="14" s="1"/>
  <c r="AZ32" i="11" s="1"/>
  <c r="I35" i="11"/>
  <c r="O26" i="18"/>
  <c r="O25" i="18"/>
  <c r="M25" i="18"/>
  <c r="M26" i="18" s="1"/>
  <c r="P25" i="18"/>
  <c r="P26" i="18" s="1"/>
  <c r="Q25" i="18"/>
  <c r="Q26" i="18" s="1"/>
  <c r="F25" i="18"/>
  <c r="H25" i="18"/>
  <c r="H26" i="18" s="1"/>
  <c r="F30" i="10"/>
  <c r="F20" i="10" s="1"/>
  <c r="I25" i="18"/>
  <c r="I26" i="18" s="1"/>
  <c r="G30" i="10"/>
  <c r="G20" i="10" s="1"/>
  <c r="G25" i="18"/>
  <c r="D25" i="18"/>
  <c r="BF25" i="18" s="1"/>
  <c r="E25" i="18"/>
  <c r="E26" i="18" s="1"/>
  <c r="N25" i="18"/>
  <c r="N26" i="18" s="1"/>
  <c r="H30" i="10"/>
  <c r="R25" i="18"/>
  <c r="R26" i="18" s="1"/>
  <c r="S39" i="14"/>
  <c r="I33" i="15"/>
  <c r="AA24" i="14"/>
  <c r="AA26" i="14"/>
  <c r="AA27" i="14" s="1"/>
  <c r="AI13" i="11" s="1"/>
  <c r="AA28" i="14"/>
  <c r="AA29" i="14" s="1"/>
  <c r="AI14" i="11" s="1"/>
  <c r="AP23" i="14"/>
  <c r="AL26" i="14"/>
  <c r="AL27" i="14" s="1"/>
  <c r="W11" i="18"/>
  <c r="AO11" i="18" s="1"/>
  <c r="Y13" i="18"/>
  <c r="AR15" i="18"/>
  <c r="BH15" i="18" s="1"/>
  <c r="AY15" i="18"/>
  <c r="AQ15" i="18"/>
  <c r="BG16" i="18"/>
  <c r="BG15" i="18"/>
  <c r="G26" i="18"/>
  <c r="S25" i="14"/>
  <c r="AE12" i="11" s="1"/>
  <c r="AE15" i="11" s="1"/>
  <c r="AE16" i="11" s="1"/>
  <c r="AH24" i="14"/>
  <c r="AH25" i="14" s="1"/>
  <c r="AW12" i="11" s="1"/>
  <c r="S20" i="14"/>
  <c r="O35" i="11"/>
  <c r="Q35" i="11"/>
  <c r="D16" i="11"/>
  <c r="BF14" i="11"/>
  <c r="BF15" i="11" s="1"/>
  <c r="P35" i="11"/>
  <c r="F35" i="11"/>
  <c r="D35" i="11"/>
  <c r="AH26" i="14"/>
  <c r="S30" i="14"/>
  <c r="AH15" i="14"/>
  <c r="AN12" i="11" s="1"/>
  <c r="AH18" i="14"/>
  <c r="AH19" i="14" s="1"/>
  <c r="AN14" i="11" s="1"/>
  <c r="AP20" i="14"/>
  <c r="H35" i="11"/>
  <c r="AW20" i="14"/>
  <c r="AN27" i="14"/>
  <c r="AZ13" i="11" s="1"/>
  <c r="AZ15" i="11" s="1"/>
  <c r="AZ16" i="11" s="1"/>
  <c r="N35" i="11"/>
  <c r="N16" i="11"/>
  <c r="M35" i="11"/>
  <c r="AR17" i="14"/>
  <c r="AS13" i="11" s="1"/>
  <c r="G35" i="11"/>
  <c r="BG24" i="18"/>
  <c r="BG25" i="11"/>
  <c r="AE23" i="18"/>
  <c r="AE24" i="11" s="1"/>
  <c r="AG23" i="18"/>
  <c r="AG24" i="11" s="1"/>
  <c r="W23" i="18"/>
  <c r="W24" i="11" s="1"/>
  <c r="AJ52" i="14"/>
  <c r="AJ53" i="14" s="1"/>
  <c r="AX33" i="11" s="1"/>
  <c r="AI34" i="11"/>
  <c r="BG21" i="18"/>
  <c r="AL50" i="14"/>
  <c r="AL51" i="14" s="1"/>
  <c r="AY32" i="11" s="1"/>
  <c r="AO18" i="18"/>
  <c r="AZ18" i="18"/>
  <c r="AW18" i="18"/>
  <c r="AR18" i="18"/>
  <c r="AN18" i="18"/>
  <c r="BA18" i="18"/>
  <c r="AX18" i="18"/>
  <c r="AS18" i="18"/>
  <c r="AY18" i="18"/>
  <c r="AN37" i="14"/>
  <c r="AN38" i="14" s="1"/>
  <c r="AQ31" i="11" s="1"/>
  <c r="AN41" i="14"/>
  <c r="AN42" i="14" s="1"/>
  <c r="AQ33" i="11" s="1"/>
  <c r="AP18" i="18"/>
  <c r="X23" i="18"/>
  <c r="X24" i="11" s="1"/>
  <c r="AH37" i="14"/>
  <c r="AH38" i="14" s="1"/>
  <c r="AN31" i="11" s="1"/>
  <c r="BA14" i="18"/>
  <c r="BA25" i="11" s="1"/>
  <c r="AW14" i="18"/>
  <c r="AW25" i="11" s="1"/>
  <c r="AS14" i="18"/>
  <c r="AS25" i="11" s="1"/>
  <c r="AX14" i="18"/>
  <c r="AX25" i="11" s="1"/>
  <c r="AY14" i="18"/>
  <c r="AY25" i="11" s="1"/>
  <c r="Y54" i="14"/>
  <c r="W54" i="14"/>
  <c r="BB18" i="18"/>
  <c r="AN52" i="14"/>
  <c r="AN53" i="14" s="1"/>
  <c r="AZ33" i="11" s="1"/>
  <c r="AR24" i="18"/>
  <c r="AW24" i="18"/>
  <c r="AX24" i="18"/>
  <c r="AZ24" i="18"/>
  <c r="AO24" i="18"/>
  <c r="BB24" i="18"/>
  <c r="AY24" i="18"/>
  <c r="AP24" i="18"/>
  <c r="AN24" i="18"/>
  <c r="AQ24" i="18"/>
  <c r="AS24" i="18"/>
  <c r="BA24" i="18"/>
  <c r="AR17" i="18"/>
  <c r="AW17" i="18"/>
  <c r="BA22" i="18"/>
  <c r="AZ22" i="18"/>
  <c r="AX22" i="18"/>
  <c r="AW22" i="18"/>
  <c r="AS22" i="18"/>
  <c r="AR22" i="18"/>
  <c r="AQ22" i="18"/>
  <c r="AP22" i="18"/>
  <c r="AY22" i="18"/>
  <c r="BB22" i="18"/>
  <c r="AN22" i="18"/>
  <c r="AO22" i="18"/>
  <c r="AP48" i="14"/>
  <c r="AP49" i="14" s="1"/>
  <c r="BA31" i="11" s="1"/>
  <c r="BH16" i="18"/>
  <c r="BG14" i="18"/>
  <c r="AJ23" i="18"/>
  <c r="AJ24" i="11" s="1"/>
  <c r="AH23" i="18"/>
  <c r="AH24" i="11" s="1"/>
  <c r="Z23" i="18"/>
  <c r="Z24" i="11" s="1"/>
  <c r="AQ17" i="18"/>
  <c r="AZ17" i="18"/>
  <c r="BB17" i="18"/>
  <c r="AY17" i="18"/>
  <c r="AN17" i="18"/>
  <c r="AO21" i="18"/>
  <c r="AX21" i="18"/>
  <c r="AZ21" i="18"/>
  <c r="AS21" i="18"/>
  <c r="AS23" i="18" s="1"/>
  <c r="AS24" i="11" s="1"/>
  <c r="AN21" i="18"/>
  <c r="BB21" i="18"/>
  <c r="AY21" i="18"/>
  <c r="AP21" i="18"/>
  <c r="AR21" i="18"/>
  <c r="AW21" i="18"/>
  <c r="AQ21" i="18"/>
  <c r="BA21" i="18"/>
  <c r="BG22" i="18"/>
  <c r="BG23" i="11"/>
  <c r="AR19" i="18"/>
  <c r="BA19" i="18"/>
  <c r="BB19" i="18"/>
  <c r="AP19" i="18"/>
  <c r="AO19" i="18"/>
  <c r="AX19" i="18"/>
  <c r="AY19" i="18"/>
  <c r="AZ19" i="18"/>
  <c r="AN19" i="18"/>
  <c r="AQ19" i="18"/>
  <c r="AS19" i="18"/>
  <c r="AW19" i="18"/>
  <c r="BG17" i="18"/>
  <c r="V23" i="18"/>
  <c r="V24" i="11" s="1"/>
  <c r="AF23" i="18"/>
  <c r="AF24" i="11" s="1"/>
  <c r="AO20" i="18"/>
  <c r="AY20" i="18"/>
  <c r="BA20" i="18"/>
  <c r="AZ20" i="18"/>
  <c r="AX20" i="18"/>
  <c r="AW20" i="18"/>
  <c r="AS20" i="18"/>
  <c r="AR20" i="18"/>
  <c r="AQ20" i="18"/>
  <c r="AN20" i="18"/>
  <c r="AP20" i="18"/>
  <c r="BB20" i="18"/>
  <c r="AN25" i="11"/>
  <c r="BG12" i="18"/>
  <c r="AQ12" i="18"/>
  <c r="AQ13" i="18" s="1"/>
  <c r="AX12" i="18"/>
  <c r="AX13" i="18" s="1"/>
  <c r="BB12" i="18"/>
  <c r="AN12" i="18"/>
  <c r="AS23" i="11"/>
  <c r="AZ23" i="11"/>
  <c r="AR12" i="18"/>
  <c r="AR13" i="18" s="1"/>
  <c r="AY23" i="11"/>
  <c r="AW12" i="18"/>
  <c r="AW13" i="18" s="1"/>
  <c r="AS12" i="18"/>
  <c r="AS13" i="18" s="1"/>
  <c r="AZ12" i="18"/>
  <c r="AZ13" i="18" s="1"/>
  <c r="BB23" i="11"/>
  <c r="AN23" i="11"/>
  <c r="AR23" i="11"/>
  <c r="AP23" i="11"/>
  <c r="AW23" i="11"/>
  <c r="AO23" i="11"/>
  <c r="AX23" i="11"/>
  <c r="AO12" i="18"/>
  <c r="BA23" i="11"/>
  <c r="AP12" i="18"/>
  <c r="AY12" i="18"/>
  <c r="AY13" i="18" s="1"/>
  <c r="BA12" i="18"/>
  <c r="BA13" i="18" s="1"/>
  <c r="AQ23" i="11"/>
  <c r="BG19" i="18"/>
  <c r="AA23" i="18"/>
  <c r="AA24" i="11" s="1"/>
  <c r="AI23" i="18"/>
  <c r="AI24" i="11" s="1"/>
  <c r="AN49" i="14"/>
  <c r="AZ31" i="11" s="1"/>
  <c r="BG20" i="18"/>
  <c r="H20" i="10"/>
  <c r="AN23" i="18"/>
  <c r="AN24" i="11" s="1"/>
  <c r="C12" i="3"/>
  <c r="B12" i="3"/>
  <c r="D12" i="3" s="1"/>
  <c r="A13" i="3"/>
  <c r="AJ41" i="14"/>
  <c r="AJ42" i="14" s="1"/>
  <c r="O16" i="11"/>
  <c r="E16" i="11"/>
  <c r="E35" i="11"/>
  <c r="W15" i="14"/>
  <c r="X12" i="11" s="1"/>
  <c r="X15" i="11" s="1"/>
  <c r="X16" i="11" s="1"/>
  <c r="BA14" i="14"/>
  <c r="BF10" i="18"/>
  <c r="BF13" i="18" s="1"/>
  <c r="F13" i="18"/>
  <c r="F26" i="18" s="1"/>
  <c r="AP11" i="11"/>
  <c r="AL16" i="14"/>
  <c r="AL17" i="14" s="1"/>
  <c r="AP13" i="11" s="1"/>
  <c r="AL18" i="14"/>
  <c r="AL19" i="14" s="1"/>
  <c r="AP14" i="11" s="1"/>
  <c r="AL14" i="14"/>
  <c r="AJ15" i="14"/>
  <c r="AO12" i="11" s="1"/>
  <c r="AJ18" i="14"/>
  <c r="AJ19" i="14" s="1"/>
  <c r="AO14" i="11" s="1"/>
  <c r="F11" i="10"/>
  <c r="E30" i="16" s="1"/>
  <c r="BA18" i="14"/>
  <c r="U15" i="14"/>
  <c r="W12" i="11" s="1"/>
  <c r="AJ16" i="14"/>
  <c r="AJ17" i="14" s="1"/>
  <c r="AO13" i="11" s="1"/>
  <c r="F15" i="7"/>
  <c r="H11" i="10" s="1"/>
  <c r="AC27" i="14"/>
  <c r="AC30" i="14" s="1"/>
  <c r="AR26" i="14"/>
  <c r="AR27" i="14" s="1"/>
  <c r="BB13" i="11" s="1"/>
  <c r="AJ13" i="18"/>
  <c r="BB10" i="18"/>
  <c r="BG10" i="18"/>
  <c r="R16" i="11"/>
  <c r="BF11" i="11"/>
  <c r="AJ11" i="11"/>
  <c r="AR25" i="14"/>
  <c r="BB12" i="11" s="1"/>
  <c r="AA38" i="14"/>
  <c r="Z31" i="11" s="1"/>
  <c r="Z34" i="11" s="1"/>
  <c r="AP41" i="14"/>
  <c r="AP42" i="14" s="1"/>
  <c r="AR33" i="11" s="1"/>
  <c r="AP37" i="14"/>
  <c r="AP39" i="14"/>
  <c r="AP40" i="14" s="1"/>
  <c r="AR32" i="11" s="1"/>
  <c r="W38" i="14"/>
  <c r="X31" i="11" s="1"/>
  <c r="AL41" i="14"/>
  <c r="AL42" i="14" s="1"/>
  <c r="AP33" i="11" s="1"/>
  <c r="AL39" i="14"/>
  <c r="AL40" i="14" s="1"/>
  <c r="AP32" i="11" s="1"/>
  <c r="AL37" i="14"/>
  <c r="X33" i="11"/>
  <c r="X13" i="18"/>
  <c r="AP11" i="18"/>
  <c r="U38" i="14"/>
  <c r="U43" i="14" s="1"/>
  <c r="AJ37" i="14"/>
  <c r="V13" i="18"/>
  <c r="AN11" i="18"/>
  <c r="V22" i="11"/>
  <c r="BF22" i="11"/>
  <c r="F14" i="10"/>
  <c r="F13" i="10" s="1"/>
  <c r="E25" i="7"/>
  <c r="AG14" i="11"/>
  <c r="AF34" i="11" l="1"/>
  <c r="AC52" i="14"/>
  <c r="AC53" i="14" s="1"/>
  <c r="AJ33" i="11" s="1"/>
  <c r="AR47" i="14"/>
  <c r="AH47" i="14"/>
  <c r="S52" i="14"/>
  <c r="S53" i="14" s="1"/>
  <c r="AE33" i="11" s="1"/>
  <c r="S50" i="14"/>
  <c r="S51" i="14" s="1"/>
  <c r="AE32" i="11" s="1"/>
  <c r="S48" i="14"/>
  <c r="S49" i="14" s="1"/>
  <c r="AE31" i="11" s="1"/>
  <c r="AE34" i="11" s="1"/>
  <c r="AE35" i="11" s="1"/>
  <c r="AY34" i="11"/>
  <c r="AC50" i="14"/>
  <c r="AC51" i="14" s="1"/>
  <c r="AJ32" i="11" s="1"/>
  <c r="AJ50" i="14"/>
  <c r="AJ51" i="14" s="1"/>
  <c r="AX32" i="11" s="1"/>
  <c r="N53" i="14"/>
  <c r="AW28" i="14"/>
  <c r="N54" i="14"/>
  <c r="AW30" i="14" s="1"/>
  <c r="AW32" i="14" s="1"/>
  <c r="AW36" i="14" s="1"/>
  <c r="AR36" i="14"/>
  <c r="AC37" i="14"/>
  <c r="AC41" i="14"/>
  <c r="AC42" i="14" s="1"/>
  <c r="AA33" i="11" s="1"/>
  <c r="AC39" i="14"/>
  <c r="AC40" i="14" s="1"/>
  <c r="AA32" i="11" s="1"/>
  <c r="U54" i="14"/>
  <c r="AS15" i="11"/>
  <c r="AS16" i="11" s="1"/>
  <c r="AH41" i="14"/>
  <c r="AH42" i="14" s="1"/>
  <c r="AN33" i="11" s="1"/>
  <c r="BA34" i="11"/>
  <c r="AL54" i="14"/>
  <c r="BG11" i="18"/>
  <c r="BG13" i="18" s="1"/>
  <c r="AO13" i="18"/>
  <c r="AN30" i="14"/>
  <c r="AL30" i="14"/>
  <c r="AN19" i="14"/>
  <c r="AQ14" i="11" s="1"/>
  <c r="AQ15" i="11" s="1"/>
  <c r="AQ16" i="11" s="1"/>
  <c r="AN20" i="14"/>
  <c r="AN43" i="14"/>
  <c r="AR48" i="14"/>
  <c r="AR49" i="14" s="1"/>
  <c r="BB31" i="11" s="1"/>
  <c r="AP54" i="14"/>
  <c r="BA19" i="14"/>
  <c r="F36" i="16"/>
  <c r="F26" i="13"/>
  <c r="AR50" i="14"/>
  <c r="AR51" i="14" s="1"/>
  <c r="BB32" i="11" s="1"/>
  <c r="AA25" i="14"/>
  <c r="AI12" i="11" s="1"/>
  <c r="AI15" i="11" s="1"/>
  <c r="AI16" i="11" s="1"/>
  <c r="AJ25" i="18"/>
  <c r="AA25" i="18"/>
  <c r="W25" i="18"/>
  <c r="V25" i="18"/>
  <c r="Y25" i="18"/>
  <c r="Y26" i="18" s="1"/>
  <c r="Z25" i="18"/>
  <c r="X25" i="18"/>
  <c r="AI25" i="18"/>
  <c r="AI26" i="18" s="1"/>
  <c r="AE25" i="18"/>
  <c r="AE26" i="18" s="1"/>
  <c r="AG25" i="18"/>
  <c r="AH25" i="18"/>
  <c r="AF25" i="18"/>
  <c r="AF35" i="11"/>
  <c r="F30" i="16"/>
  <c r="G30" i="16" s="1"/>
  <c r="BA16" i="14"/>
  <c r="BF26" i="18"/>
  <c r="AG26" i="18"/>
  <c r="AP26" i="14"/>
  <c r="AP27" i="14" s="1"/>
  <c r="BA13" i="11" s="1"/>
  <c r="AP28" i="14"/>
  <c r="AP29" i="14" s="1"/>
  <c r="BA14" i="11" s="1"/>
  <c r="BH14" i="11" s="1"/>
  <c r="AP24" i="14"/>
  <c r="AP25" i="18"/>
  <c r="AX25" i="18"/>
  <c r="BB25" i="18"/>
  <c r="BA25" i="18"/>
  <c r="AZ25" i="18"/>
  <c r="AS25" i="18"/>
  <c r="AO25" i="18"/>
  <c r="AQ25" i="18"/>
  <c r="AR25" i="18"/>
  <c r="AW25" i="18"/>
  <c r="AY25" i="18"/>
  <c r="AN25" i="18"/>
  <c r="AC49" i="14"/>
  <c r="AJ31" i="11" s="1"/>
  <c r="W13" i="18"/>
  <c r="V26" i="18"/>
  <c r="AR20" i="14"/>
  <c r="S40" i="14"/>
  <c r="V32" i="11" s="1"/>
  <c r="V34" i="11" s="1"/>
  <c r="V35" i="11" s="1"/>
  <c r="AH39" i="14"/>
  <c r="AH40" i="14" s="1"/>
  <c r="AN32" i="11" s="1"/>
  <c r="D26" i="18"/>
  <c r="BE13" i="14"/>
  <c r="AH27" i="14"/>
  <c r="AW13" i="11" s="1"/>
  <c r="AW15" i="11" s="1"/>
  <c r="AW16" i="11" s="1"/>
  <c r="AH20" i="14"/>
  <c r="AN15" i="11"/>
  <c r="AN16" i="11" s="1"/>
  <c r="AX34" i="11"/>
  <c r="BH18" i="18"/>
  <c r="AO23" i="18"/>
  <c r="AO24" i="11" s="1"/>
  <c r="X26" i="18"/>
  <c r="AJ26" i="18"/>
  <c r="AZ34" i="11"/>
  <c r="AZ35" i="11" s="1"/>
  <c r="BH14" i="18"/>
  <c r="AY23" i="18"/>
  <c r="AY24" i="11" s="1"/>
  <c r="W26" i="18"/>
  <c r="AQ34" i="11"/>
  <c r="AP13" i="18"/>
  <c r="W43" i="14"/>
  <c r="AN54" i="14"/>
  <c r="AY26" i="18"/>
  <c r="AF26" i="18"/>
  <c r="BH25" i="11"/>
  <c r="AQ23" i="18"/>
  <c r="AQ24" i="11" s="1"/>
  <c r="AX23" i="18"/>
  <c r="AX24" i="11" s="1"/>
  <c r="AP23" i="18"/>
  <c r="AP24" i="11" s="1"/>
  <c r="BA23" i="18"/>
  <c r="BA24" i="11" s="1"/>
  <c r="BH17" i="18"/>
  <c r="BB23" i="18"/>
  <c r="BB24" i="11" s="1"/>
  <c r="BH22" i="18"/>
  <c r="AR23" i="18"/>
  <c r="AR24" i="11" s="1"/>
  <c r="BH24" i="18"/>
  <c r="AS26" i="18"/>
  <c r="AW23" i="18"/>
  <c r="AW24" i="11" s="1"/>
  <c r="AZ23" i="18"/>
  <c r="AZ24" i="11" s="1"/>
  <c r="BH21" i="18"/>
  <c r="Z26" i="18"/>
  <c r="AH26" i="18"/>
  <c r="BH12" i="18"/>
  <c r="AW26" i="18"/>
  <c r="S43" i="14"/>
  <c r="BG24" i="11"/>
  <c r="AA43" i="14"/>
  <c r="BH23" i="11"/>
  <c r="AA26" i="18"/>
  <c r="BH20" i="18"/>
  <c r="BG23" i="18"/>
  <c r="BH19" i="18"/>
  <c r="E12" i="3"/>
  <c r="F12" i="3" s="1"/>
  <c r="C13" i="3" s="1"/>
  <c r="E27" i="18" s="1"/>
  <c r="E28" i="18" s="1"/>
  <c r="D27" i="18"/>
  <c r="B13" i="3"/>
  <c r="A14" i="3"/>
  <c r="X34" i="11"/>
  <c r="W20" i="14"/>
  <c r="U20" i="14"/>
  <c r="G36" i="11"/>
  <c r="G30" i="11"/>
  <c r="AL15" i="14"/>
  <c r="AP12" i="11" s="1"/>
  <c r="AP15" i="11" s="1"/>
  <c r="AP16" i="11" s="1"/>
  <c r="BE14" i="14"/>
  <c r="AJ20" i="14"/>
  <c r="AO15" i="11"/>
  <c r="AO16" i="11" s="1"/>
  <c r="W15" i="11"/>
  <c r="W16" i="11" s="1"/>
  <c r="BG12" i="11"/>
  <c r="BF17" i="11"/>
  <c r="BF16" i="11"/>
  <c r="AR30" i="14"/>
  <c r="BB13" i="18"/>
  <c r="BH10" i="18"/>
  <c r="BB15" i="11"/>
  <c r="AJ13" i="11"/>
  <c r="BA17" i="14"/>
  <c r="BB11" i="11"/>
  <c r="BG11" i="11"/>
  <c r="AP38" i="14"/>
  <c r="AR31" i="11" s="1"/>
  <c r="AR34" i="11" s="1"/>
  <c r="Z35" i="11"/>
  <c r="AL38" i="14"/>
  <c r="AP31" i="11" s="1"/>
  <c r="AP34" i="11" s="1"/>
  <c r="AJ38" i="14"/>
  <c r="AJ43" i="14" s="1"/>
  <c r="W31" i="11"/>
  <c r="AO33" i="11"/>
  <c r="F25" i="7"/>
  <c r="H14" i="10" s="1"/>
  <c r="H13" i="10" s="1"/>
  <c r="H18" i="10" s="1"/>
  <c r="G14" i="10"/>
  <c r="G13" i="10" s="1"/>
  <c r="G18" i="10" s="1"/>
  <c r="F18" i="10"/>
  <c r="BG22" i="11"/>
  <c r="AN22" i="11"/>
  <c r="BH22" i="11" s="1"/>
  <c r="AN13" i="18"/>
  <c r="AN26" i="18" s="1"/>
  <c r="BH11" i="18"/>
  <c r="AY12" i="11"/>
  <c r="AY13" i="11"/>
  <c r="BG14" i="11"/>
  <c r="AG15" i="11"/>
  <c r="AJ34" i="11" l="1"/>
  <c r="BG33" i="11"/>
  <c r="AR52" i="14"/>
  <c r="AR53" i="14" s="1"/>
  <c r="BB33" i="11" s="1"/>
  <c r="AJ54" i="14"/>
  <c r="S54" i="14"/>
  <c r="BA29" i="14"/>
  <c r="BE18" i="14"/>
  <c r="BE19" i="14" s="1"/>
  <c r="AR37" i="14"/>
  <c r="AC38" i="14"/>
  <c r="AA31" i="11" s="1"/>
  <c r="AA34" i="11" s="1"/>
  <c r="AA35" i="11" s="1"/>
  <c r="R33" i="11"/>
  <c r="AW29" i="14"/>
  <c r="AC43" i="14"/>
  <c r="BA26" i="14"/>
  <c r="BA28" i="14"/>
  <c r="BA24" i="14"/>
  <c r="AR39" i="14"/>
  <c r="AR40" i="14" s="1"/>
  <c r="AS32" i="11" s="1"/>
  <c r="BE23" i="14"/>
  <c r="AR41" i="14"/>
  <c r="AR42" i="14" s="1"/>
  <c r="AS33" i="11" s="1"/>
  <c r="AH48" i="14"/>
  <c r="AH49" i="14" s="1"/>
  <c r="AW31" i="11" s="1"/>
  <c r="AH50" i="14"/>
  <c r="AH51" i="14" s="1"/>
  <c r="AW32" i="11" s="1"/>
  <c r="AH52" i="14"/>
  <c r="AH53" i="14" s="1"/>
  <c r="AW33" i="11" s="1"/>
  <c r="BE29" i="14"/>
  <c r="AQ26" i="18"/>
  <c r="BA15" i="14"/>
  <c r="BA20" i="14" s="1"/>
  <c r="AA30" i="14"/>
  <c r="AQ35" i="11"/>
  <c r="BH33" i="11"/>
  <c r="AO26" i="18"/>
  <c r="AX26" i="18"/>
  <c r="AP26" i="18"/>
  <c r="BA25" i="14"/>
  <c r="BB34" i="11"/>
  <c r="BB35" i="11" s="1"/>
  <c r="AH43" i="14"/>
  <c r="BE16" i="14"/>
  <c r="AR54" i="14"/>
  <c r="BH13" i="11"/>
  <c r="AN34" i="11"/>
  <c r="AN35" i="11" s="1"/>
  <c r="BG32" i="11"/>
  <c r="BA27" i="14"/>
  <c r="BH13" i="18"/>
  <c r="BG25" i="18"/>
  <c r="F38" i="16" s="1"/>
  <c r="AR26" i="18"/>
  <c r="BH25" i="18"/>
  <c r="AP25" i="14"/>
  <c r="BA12" i="11" s="1"/>
  <c r="BA15" i="11" s="1"/>
  <c r="AP30" i="14"/>
  <c r="AX35" i="11"/>
  <c r="AH30" i="14"/>
  <c r="AI35" i="11"/>
  <c r="X35" i="11"/>
  <c r="AC54" i="14"/>
  <c r="BA30" i="14" s="1"/>
  <c r="BA32" i="14" s="1"/>
  <c r="F9" i="13"/>
  <c r="BE17" i="14"/>
  <c r="BH24" i="11"/>
  <c r="BB26" i="18"/>
  <c r="AZ26" i="18"/>
  <c r="BA26" i="18"/>
  <c r="BH23" i="18"/>
  <c r="BG26" i="18"/>
  <c r="AL43" i="14"/>
  <c r="AP43" i="14"/>
  <c r="B14" i="3"/>
  <c r="A15" i="3"/>
  <c r="D28" i="18"/>
  <c r="D13" i="3"/>
  <c r="AL20" i="14"/>
  <c r="M30" i="11"/>
  <c r="M36" i="11"/>
  <c r="BB16" i="11"/>
  <c r="BH11" i="11"/>
  <c r="AJ15" i="11"/>
  <c r="BG13" i="11"/>
  <c r="BG15" i="11" s="1"/>
  <c r="BG16" i="11" s="1"/>
  <c r="AR35" i="11"/>
  <c r="AP35" i="11"/>
  <c r="AO31" i="11"/>
  <c r="W34" i="11"/>
  <c r="BG31" i="11"/>
  <c r="AG35" i="11"/>
  <c r="AG16" i="11"/>
  <c r="AY15" i="11"/>
  <c r="BH12" i="11"/>
  <c r="BH32" i="11" l="1"/>
  <c r="BE26" i="14"/>
  <c r="R34" i="11"/>
  <c r="R35" i="11" s="1"/>
  <c r="BF35" i="11" s="1"/>
  <c r="BF33" i="11"/>
  <c r="BF34" i="11" s="1"/>
  <c r="AR38" i="14"/>
  <c r="AR43" i="14"/>
  <c r="AH54" i="14"/>
  <c r="BE24" i="14"/>
  <c r="BE28" i="14"/>
  <c r="BE27" i="14"/>
  <c r="AW34" i="11"/>
  <c r="AW35" i="11" s="1"/>
  <c r="BG34" i="11"/>
  <c r="BG35" i="11" s="1"/>
  <c r="BE15" i="14"/>
  <c r="BE20" i="14" s="1"/>
  <c r="BH15" i="11"/>
  <c r="BH16" i="11" s="1"/>
  <c r="BH26" i="18"/>
  <c r="BA16" i="11"/>
  <c r="BA35" i="11"/>
  <c r="BA36" i="14"/>
  <c r="G26" i="13"/>
  <c r="G9" i="13" s="1"/>
  <c r="BE30" i="14"/>
  <c r="BE32" i="14" s="1"/>
  <c r="E13" i="3"/>
  <c r="F13" i="3" s="1"/>
  <c r="C14" i="3" s="1"/>
  <c r="A16" i="3"/>
  <c r="B15" i="3"/>
  <c r="P30" i="11"/>
  <c r="P36" i="11"/>
  <c r="AJ35" i="11"/>
  <c r="AJ16" i="11"/>
  <c r="AO34" i="11"/>
  <c r="W35" i="11"/>
  <c r="AY35" i="11"/>
  <c r="AY16" i="11"/>
  <c r="AS31" i="11" l="1"/>
  <c r="BE25" i="14"/>
  <c r="BE36" i="14"/>
  <c r="H26" i="13"/>
  <c r="H9" i="13" s="1"/>
  <c r="F27" i="18"/>
  <c r="D14" i="3"/>
  <c r="A17" i="3"/>
  <c r="B16" i="3"/>
  <c r="V30" i="11"/>
  <c r="BF30" i="11" s="1"/>
  <c r="V36" i="11"/>
  <c r="AO35" i="11"/>
  <c r="AS34" i="11" l="1"/>
  <c r="AS35" i="11" s="1"/>
  <c r="BH31" i="11"/>
  <c r="BH34" i="11" s="1"/>
  <c r="BH35" i="11" s="1"/>
  <c r="BF36" i="11"/>
  <c r="F32" i="13" s="1"/>
  <c r="F30" i="13" s="1"/>
  <c r="B17" i="3"/>
  <c r="A18" i="3"/>
  <c r="E14" i="3"/>
  <c r="F14" i="3" s="1"/>
  <c r="C15" i="3" s="1"/>
  <c r="F28" i="18"/>
  <c r="Y36" i="11"/>
  <c r="Y30" i="11"/>
  <c r="AE30" i="11" s="1"/>
  <c r="AE36" i="11" l="1"/>
  <c r="G27" i="18"/>
  <c r="D15" i="3"/>
  <c r="B18" i="3"/>
  <c r="A19" i="3"/>
  <c r="AH30" i="11"/>
  <c r="AH36" i="11"/>
  <c r="E15" i="3" l="1"/>
  <c r="F15" i="3" s="1"/>
  <c r="C16" i="3" s="1"/>
  <c r="B19" i="3"/>
  <c r="A20" i="3"/>
  <c r="G28" i="18"/>
  <c r="AN36" i="11"/>
  <c r="AN30" i="11"/>
  <c r="BG30" i="11" s="1"/>
  <c r="BG36" i="11" l="1"/>
  <c r="G32" i="13" s="1"/>
  <c r="G30" i="13" s="1"/>
  <c r="A21" i="3"/>
  <c r="B20" i="3"/>
  <c r="H27" i="18"/>
  <c r="D16" i="3"/>
  <c r="AQ36" i="11"/>
  <c r="AQ30" i="11"/>
  <c r="E16" i="3" l="1"/>
  <c r="F16" i="3" s="1"/>
  <c r="C17" i="3" s="1"/>
  <c r="H28" i="18"/>
  <c r="A22" i="3"/>
  <c r="B21" i="3"/>
  <c r="AW30" i="11"/>
  <c r="AW36" i="11"/>
  <c r="A23" i="3" l="1"/>
  <c r="B22" i="3"/>
  <c r="I27" i="18"/>
  <c r="D17" i="3"/>
  <c r="E17" i="3" s="1"/>
  <c r="F17" i="3" s="1"/>
  <c r="C18" i="3" s="1"/>
  <c r="AZ30" i="11"/>
  <c r="AZ36" i="11"/>
  <c r="BH30" i="11" l="1"/>
  <c r="BH36" i="11"/>
  <c r="M27" i="18"/>
  <c r="M28" i="18" s="1"/>
  <c r="D18" i="3"/>
  <c r="E18" i="3" s="1"/>
  <c r="F18" i="3" s="1"/>
  <c r="C19" i="3" s="1"/>
  <c r="B23" i="3"/>
  <c r="A24" i="3"/>
  <c r="I28" i="18"/>
  <c r="H32" i="13" l="1"/>
  <c r="B24" i="3"/>
  <c r="A25" i="3"/>
  <c r="N27" i="18"/>
  <c r="N28" i="18" s="1"/>
  <c r="D19" i="3"/>
  <c r="E19" i="3" s="1"/>
  <c r="F19" i="3" s="1"/>
  <c r="C20" i="3" s="1"/>
  <c r="H30" i="13" l="1"/>
  <c r="O27" i="18"/>
  <c r="O28" i="18" s="1"/>
  <c r="D20" i="3"/>
  <c r="E20" i="3" s="1"/>
  <c r="F20" i="3" s="1"/>
  <c r="C21" i="3" s="1"/>
  <c r="A26" i="3"/>
  <c r="B25" i="3"/>
  <c r="B26" i="3" l="1"/>
  <c r="A27" i="3"/>
  <c r="P27" i="18"/>
  <c r="P28" i="18" s="1"/>
  <c r="D21" i="3"/>
  <c r="E21" i="3" s="1"/>
  <c r="F21" i="3" s="1"/>
  <c r="C22" i="3" s="1"/>
  <c r="Q27" i="18" l="1"/>
  <c r="Q28" i="18" s="1"/>
  <c r="D22" i="3"/>
  <c r="E22" i="3" s="1"/>
  <c r="F22" i="3" s="1"/>
  <c r="C23" i="3" s="1"/>
  <c r="B27" i="3"/>
  <c r="A28" i="3"/>
  <c r="B28" i="3" l="1"/>
  <c r="A29" i="3"/>
  <c r="R27" i="18"/>
  <c r="G12" i="15"/>
  <c r="D23" i="3"/>
  <c r="A30" i="3" l="1"/>
  <c r="B29" i="3"/>
  <c r="G11" i="15"/>
  <c r="G13" i="15" s="1"/>
  <c r="G10" i="15" s="1"/>
  <c r="E23" i="3"/>
  <c r="F23" i="3" s="1"/>
  <c r="C24" i="3" s="1"/>
  <c r="R28" i="18"/>
  <c r="BF28" i="18" s="1"/>
  <c r="BF27" i="18"/>
  <c r="V27" i="18" l="1"/>
  <c r="D24" i="3"/>
  <c r="E24" i="16"/>
  <c r="BF29" i="18"/>
  <c r="H10" i="15"/>
  <c r="D28" i="11"/>
  <c r="D37" i="11" s="1"/>
  <c r="B30" i="3"/>
  <c r="A31" i="3"/>
  <c r="I10" i="15" l="1"/>
  <c r="AN28" i="11" s="1"/>
  <c r="V28" i="11"/>
  <c r="B31" i="3"/>
  <c r="A32" i="3"/>
  <c r="E28" i="11"/>
  <c r="E37" i="11" s="1"/>
  <c r="N29" i="18"/>
  <c r="N30" i="18" s="1"/>
  <c r="F52" i="13"/>
  <c r="P29" i="18"/>
  <c r="P30" i="18" s="1"/>
  <c r="Q29" i="18"/>
  <c r="Q30" i="18" s="1"/>
  <c r="G29" i="18"/>
  <c r="G30" i="18" s="1"/>
  <c r="R29" i="18"/>
  <c r="R30" i="18" s="1"/>
  <c r="I29" i="18"/>
  <c r="I30" i="18" s="1"/>
  <c r="H29" i="18"/>
  <c r="H30" i="18" s="1"/>
  <c r="D29" i="18"/>
  <c r="D30" i="18" s="1"/>
  <c r="M29" i="18"/>
  <c r="M30" i="18" s="1"/>
  <c r="V29" i="11"/>
  <c r="BG29" i="11" s="1"/>
  <c r="O29" i="18"/>
  <c r="O30" i="18" s="1"/>
  <c r="E29" i="18"/>
  <c r="E30" i="18" s="1"/>
  <c r="F29" i="18"/>
  <c r="F30" i="18" s="1"/>
  <c r="E24" i="3"/>
  <c r="F24" i="3" s="1"/>
  <c r="C25" i="3" s="1"/>
  <c r="V28" i="18"/>
  <c r="V37" i="11" l="1"/>
  <c r="W27" i="18"/>
  <c r="D25" i="3"/>
  <c r="BF30" i="18"/>
  <c r="F28" i="11"/>
  <c r="F37" i="11" s="1"/>
  <c r="W28" i="11"/>
  <c r="W37" i="11" s="1"/>
  <c r="D38" i="11"/>
  <c r="E10" i="11" s="1"/>
  <c r="E17" i="11" s="1"/>
  <c r="E38" i="11" s="1"/>
  <c r="F10" i="11" s="1"/>
  <c r="A33" i="3"/>
  <c r="B32" i="3"/>
  <c r="AO28" i="11"/>
  <c r="AO37" i="11" s="1"/>
  <c r="A34" i="3" l="1"/>
  <c r="B33" i="3"/>
  <c r="X28" i="11"/>
  <c r="X37" i="11" s="1"/>
  <c r="G28" i="11"/>
  <c r="G37" i="11" s="1"/>
  <c r="W28" i="18"/>
  <c r="AP28" i="11"/>
  <c r="AP37" i="11" s="1"/>
  <c r="F17" i="11"/>
  <c r="F38" i="11" s="1"/>
  <c r="G10" i="11" s="1"/>
  <c r="E33" i="16"/>
  <c r="F42" i="13"/>
  <c r="F40" i="13" s="1"/>
  <c r="E36" i="16"/>
  <c r="G36" i="16" s="1"/>
  <c r="E27" i="16"/>
  <c r="G27" i="16" s="1"/>
  <c r="E25" i="3"/>
  <c r="F25" i="3" s="1"/>
  <c r="C26" i="3" s="1"/>
  <c r="X27" i="18" l="1"/>
  <c r="D26" i="3"/>
  <c r="G17" i="11"/>
  <c r="G38" i="11" s="1"/>
  <c r="H10" i="11" s="1"/>
  <c r="AQ28" i="11"/>
  <c r="AQ37" i="11" s="1"/>
  <c r="H28" i="11"/>
  <c r="H37" i="11" s="1"/>
  <c r="Y28" i="11"/>
  <c r="Y37" i="11" s="1"/>
  <c r="A35" i="3"/>
  <c r="B34" i="3"/>
  <c r="E26" i="3" l="1"/>
  <c r="F26" i="3" s="1"/>
  <c r="C27" i="3" s="1"/>
  <c r="A36" i="3"/>
  <c r="B35" i="3"/>
  <c r="Z28" i="11"/>
  <c r="Z37" i="11" s="1"/>
  <c r="I28" i="11"/>
  <c r="I37" i="11" s="1"/>
  <c r="AR28" i="11"/>
  <c r="AR37" i="11" s="1"/>
  <c r="H17" i="11"/>
  <c r="H38" i="11" s="1"/>
  <c r="I10" i="11" s="1"/>
  <c r="X28" i="18"/>
  <c r="M28" i="11" l="1"/>
  <c r="M37" i="11" s="1"/>
  <c r="Y27" i="18"/>
  <c r="D27" i="3"/>
  <c r="I17" i="11"/>
  <c r="I38" i="11" s="1"/>
  <c r="M10" i="11" s="1"/>
  <c r="AS28" i="11"/>
  <c r="AS37" i="11" s="1"/>
  <c r="AA28" i="11"/>
  <c r="AA37" i="11" s="1"/>
  <c r="D36" i="3"/>
  <c r="C36" i="3"/>
  <c r="B36" i="3"/>
  <c r="A37" i="3"/>
  <c r="D37" i="3" l="1"/>
  <c r="A38" i="3"/>
  <c r="B37" i="3"/>
  <c r="C37" i="3"/>
  <c r="AO27" i="18" s="1"/>
  <c r="AO28" i="18" s="1"/>
  <c r="AE28" i="11"/>
  <c r="AE37" i="11" s="1"/>
  <c r="E27" i="3"/>
  <c r="F27" i="3" s="1"/>
  <c r="C28" i="3" s="1"/>
  <c r="AN27" i="18"/>
  <c r="AW28" i="11"/>
  <c r="AW37" i="11" s="1"/>
  <c r="M17" i="11"/>
  <c r="Y28" i="18"/>
  <c r="N28" i="11"/>
  <c r="N37" i="11" s="1"/>
  <c r="O28" i="11" l="1"/>
  <c r="O37" i="11" s="1"/>
  <c r="M38" i="11"/>
  <c r="N10" i="11" s="1"/>
  <c r="N17" i="11" s="1"/>
  <c r="AX28" i="11"/>
  <c r="AX37" i="11" s="1"/>
  <c r="AN28" i="18"/>
  <c r="Z27" i="18"/>
  <c r="D28" i="3"/>
  <c r="D38" i="3"/>
  <c r="C38" i="3"/>
  <c r="B38" i="3"/>
  <c r="A39" i="3"/>
  <c r="AF28" i="11"/>
  <c r="AF37" i="11" s="1"/>
  <c r="B39" i="3" l="1"/>
  <c r="C39" i="3"/>
  <c r="AQ27" i="18" s="1"/>
  <c r="AQ28" i="18" s="1"/>
  <c r="A40" i="3"/>
  <c r="D39" i="3"/>
  <c r="AP27" i="18"/>
  <c r="Z28" i="18"/>
  <c r="P28" i="11"/>
  <c r="P37" i="11" s="1"/>
  <c r="AG28" i="11"/>
  <c r="AG37" i="11" s="1"/>
  <c r="E28" i="3"/>
  <c r="F28" i="3" s="1"/>
  <c r="C29" i="3" s="1"/>
  <c r="AY28" i="11"/>
  <c r="AY37" i="11" s="1"/>
  <c r="N38" i="11"/>
  <c r="O10" i="11" s="1"/>
  <c r="O17" i="11" s="1"/>
  <c r="O38" i="11" l="1"/>
  <c r="P10" i="11" s="1"/>
  <c r="P17" i="11" s="1"/>
  <c r="AZ28" i="11"/>
  <c r="AZ37" i="11" s="1"/>
  <c r="AA27" i="18"/>
  <c r="D29" i="3"/>
  <c r="Q28" i="11"/>
  <c r="Q37" i="11" s="1"/>
  <c r="AH28" i="11"/>
  <c r="AH37" i="11" s="1"/>
  <c r="AP28" i="18"/>
  <c r="C40" i="3"/>
  <c r="A41" i="3"/>
  <c r="B40" i="3"/>
  <c r="D40" i="3"/>
  <c r="A42" i="3" l="1"/>
  <c r="D41" i="3"/>
  <c r="B41" i="3"/>
  <c r="C41" i="3"/>
  <c r="AS27" i="18" s="1"/>
  <c r="AS28" i="18" s="1"/>
  <c r="R28" i="11"/>
  <c r="R37" i="11" s="1"/>
  <c r="AA28" i="18"/>
  <c r="AR27" i="18"/>
  <c r="AI28" i="11"/>
  <c r="AI37" i="11" s="1"/>
  <c r="E29" i="3"/>
  <c r="F29" i="3" s="1"/>
  <c r="C30" i="3" s="1"/>
  <c r="BA28" i="11"/>
  <c r="BA37" i="11" s="1"/>
  <c r="P38" i="11"/>
  <c r="Q10" i="11" s="1"/>
  <c r="Q17" i="11" s="1"/>
  <c r="AE27" i="18" l="1"/>
  <c r="D30" i="3"/>
  <c r="AJ28" i="11"/>
  <c r="AJ37" i="11" s="1"/>
  <c r="Q38" i="11"/>
  <c r="R10" i="11" s="1"/>
  <c r="R17" i="11" s="1"/>
  <c r="BB28" i="11"/>
  <c r="BB37" i="11" s="1"/>
  <c r="AR28" i="18"/>
  <c r="BF28" i="11"/>
  <c r="BF37" i="11" s="1"/>
  <c r="B42" i="3"/>
  <c r="C42" i="3"/>
  <c r="A43" i="3"/>
  <c r="D42" i="3"/>
  <c r="AW27" i="18" l="1"/>
  <c r="BG10" i="11"/>
  <c r="BG17" i="11" s="1"/>
  <c r="BG28" i="11"/>
  <c r="BG37" i="11" s="1"/>
  <c r="AE28" i="18"/>
  <c r="D43" i="3"/>
  <c r="A44" i="3"/>
  <c r="B43" i="3"/>
  <c r="C43" i="3"/>
  <c r="AX27" i="18" s="1"/>
  <c r="AX28" i="18" s="1"/>
  <c r="BH28" i="11"/>
  <c r="R38" i="11"/>
  <c r="BF38" i="11" s="1"/>
  <c r="F33" i="13" s="1"/>
  <c r="E30" i="3"/>
  <c r="F30" i="3" s="1"/>
  <c r="C31" i="3" s="1"/>
  <c r="V10" i="11" l="1"/>
  <c r="V17" i="11" s="1"/>
  <c r="V38" i="11" s="1"/>
  <c r="W10" i="11" s="1"/>
  <c r="W17" i="11" s="1"/>
  <c r="AF27" i="18"/>
  <c r="D31" i="3"/>
  <c r="C44" i="3"/>
  <c r="AY27" i="18" s="1"/>
  <c r="AY28" i="18" s="1"/>
  <c r="B44" i="3"/>
  <c r="D44" i="3"/>
  <c r="A45" i="3"/>
  <c r="BH10" i="11"/>
  <c r="BH17" i="11" s="1"/>
  <c r="F28" i="13"/>
  <c r="E16" i="16"/>
  <c r="AW28" i="18"/>
  <c r="E12" i="16" l="1"/>
  <c r="E8" i="16"/>
  <c r="F35" i="13"/>
  <c r="W38" i="11"/>
  <c r="X10" i="11" s="1"/>
  <c r="X17" i="11" s="1"/>
  <c r="E31" i="3"/>
  <c r="F31" i="3" s="1"/>
  <c r="C32" i="3" s="1"/>
  <c r="B45" i="3"/>
  <c r="D45" i="3"/>
  <c r="A46" i="3"/>
  <c r="C45" i="3"/>
  <c r="AZ27" i="18" s="1"/>
  <c r="AZ28" i="18" s="1"/>
  <c r="AF28" i="18"/>
  <c r="C46" i="3" l="1"/>
  <c r="BA27" i="18" s="1"/>
  <c r="BA28" i="18" s="1"/>
  <c r="B46" i="3"/>
  <c r="D46" i="3"/>
  <c r="A47" i="3"/>
  <c r="AG27" i="18"/>
  <c r="D32" i="3"/>
  <c r="F24" i="16"/>
  <c r="G24" i="16" s="1"/>
  <c r="X38" i="11"/>
  <c r="Y10" i="11" s="1"/>
  <c r="Y17" i="11" s="1"/>
  <c r="Y38" i="11" s="1"/>
  <c r="Z10" i="11" s="1"/>
  <c r="E32" i="3" l="1"/>
  <c r="F32" i="3" s="1"/>
  <c r="C33" i="3" s="1"/>
  <c r="Z17" i="11"/>
  <c r="AG28" i="18"/>
  <c r="B47" i="3"/>
  <c r="C47" i="3"/>
  <c r="D47" i="3"/>
  <c r="A48" i="3"/>
  <c r="D48" i="3" l="1"/>
  <c r="B48" i="3"/>
  <c r="A49" i="3"/>
  <c r="C48" i="3"/>
  <c r="BB27" i="18"/>
  <c r="I12" i="15"/>
  <c r="I11" i="15"/>
  <c r="G51" i="13"/>
  <c r="Z38" i="11"/>
  <c r="AA10" i="11" s="1"/>
  <c r="AA17" i="11" s="1"/>
  <c r="AH27" i="18"/>
  <c r="D33" i="3"/>
  <c r="E33" i="3" l="1"/>
  <c r="F33" i="3" s="1"/>
  <c r="C34" i="3" s="1"/>
  <c r="D49" i="3"/>
  <c r="C49" i="3"/>
  <c r="B49" i="3"/>
  <c r="A50" i="3"/>
  <c r="AH28" i="18"/>
  <c r="AA38" i="11"/>
  <c r="AE10" i="11" s="1"/>
  <c r="AE17" i="11" s="1"/>
  <c r="I13" i="15"/>
  <c r="BB28" i="18"/>
  <c r="BH28" i="18" s="1"/>
  <c r="BH29" i="18" s="1"/>
  <c r="BH27" i="18"/>
  <c r="H52" i="13" l="1"/>
  <c r="AY29" i="18"/>
  <c r="AY30" i="18" s="1"/>
  <c r="AR29" i="18"/>
  <c r="AR30" i="18" s="1"/>
  <c r="AN29" i="18"/>
  <c r="AN30" i="18" s="1"/>
  <c r="AQ29" i="18"/>
  <c r="AQ30" i="18" s="1"/>
  <c r="AS29" i="18"/>
  <c r="AS30" i="18" s="1"/>
  <c r="AW29" i="18"/>
  <c r="AW30" i="18" s="1"/>
  <c r="BB29" i="18"/>
  <c r="BB30" i="18" s="1"/>
  <c r="AP29" i="18"/>
  <c r="AP30" i="18" s="1"/>
  <c r="AX29" i="18"/>
  <c r="AX30" i="18" s="1"/>
  <c r="BA29" i="18"/>
  <c r="BA30" i="18" s="1"/>
  <c r="AZ29" i="18"/>
  <c r="AZ30" i="18" s="1"/>
  <c r="AO29" i="18"/>
  <c r="AO30" i="18" s="1"/>
  <c r="AE38" i="11"/>
  <c r="AF10" i="11" s="1"/>
  <c r="AF17" i="11" s="1"/>
  <c r="C50" i="3"/>
  <c r="A51" i="3"/>
  <c r="D50" i="3"/>
  <c r="B50" i="3"/>
  <c r="AI27" i="18"/>
  <c r="AI28" i="18" s="1"/>
  <c r="D34" i="3"/>
  <c r="C51" i="3" l="1"/>
  <c r="A52" i="3"/>
  <c r="B51" i="3"/>
  <c r="D51" i="3"/>
  <c r="AF38" i="11"/>
  <c r="AG10" i="11" s="1"/>
  <c r="AG17" i="11" s="1"/>
  <c r="BH30" i="18"/>
  <c r="E34" i="3"/>
  <c r="F34" i="3" s="1"/>
  <c r="C35" i="3" s="1"/>
  <c r="AJ27" i="18" l="1"/>
  <c r="D35" i="3"/>
  <c r="H12" i="15"/>
  <c r="AG38" i="11"/>
  <c r="AH10" i="11" s="1"/>
  <c r="AH17" i="11" s="1"/>
  <c r="B52" i="3"/>
  <c r="D52" i="3"/>
  <c r="C52" i="3"/>
  <c r="A53" i="3"/>
  <c r="E52" i="3" l="1"/>
  <c r="F52" i="3" s="1"/>
  <c r="AH38" i="11"/>
  <c r="AI10" i="11" s="1"/>
  <c r="AI17" i="11" s="1"/>
  <c r="AJ28" i="18"/>
  <c r="BG28" i="18" s="1"/>
  <c r="BG29" i="18" s="1"/>
  <c r="BG27" i="18"/>
  <c r="C53" i="3"/>
  <c r="B53" i="3"/>
  <c r="A54" i="3"/>
  <c r="D53" i="3"/>
  <c r="E53" i="3" s="1"/>
  <c r="F53" i="3" s="1"/>
  <c r="E35" i="3"/>
  <c r="H11" i="15"/>
  <c r="H13" i="15" s="1"/>
  <c r="F51" i="13"/>
  <c r="F48" i="13" s="1"/>
  <c r="E36" i="3"/>
  <c r="F36" i="3" s="1"/>
  <c r="E37" i="3"/>
  <c r="F37" i="3" s="1"/>
  <c r="E39" i="3"/>
  <c r="F39" i="3" s="1"/>
  <c r="E38" i="3"/>
  <c r="F38" i="3" s="1"/>
  <c r="E40" i="3"/>
  <c r="F40" i="3" s="1"/>
  <c r="E41" i="3"/>
  <c r="F41" i="3" s="1"/>
  <c r="E43" i="3"/>
  <c r="F43" i="3" s="1"/>
  <c r="E46" i="3"/>
  <c r="F46" i="3" s="1"/>
  <c r="E44" i="3"/>
  <c r="F44" i="3" s="1"/>
  <c r="E49" i="3"/>
  <c r="F49" i="3" s="1"/>
  <c r="E51" i="3"/>
  <c r="F51" i="3" s="1"/>
  <c r="E47" i="3"/>
  <c r="E42" i="3"/>
  <c r="F42" i="3" s="1"/>
  <c r="E45" i="3"/>
  <c r="F45" i="3" s="1"/>
  <c r="E48" i="3"/>
  <c r="F48" i="3" s="1"/>
  <c r="E50" i="3"/>
  <c r="F50" i="3" s="1"/>
  <c r="D54" i="3" l="1"/>
  <c r="A55" i="3"/>
  <c r="E54" i="3"/>
  <c r="F54" i="3" s="1"/>
  <c r="C54" i="3"/>
  <c r="B54" i="3"/>
  <c r="AI38" i="11"/>
  <c r="AJ10" i="11" s="1"/>
  <c r="AJ17" i="11" s="1"/>
  <c r="AJ38" i="11" s="1"/>
  <c r="BG38" i="11" s="1"/>
  <c r="G33" i="13" s="1"/>
  <c r="G28" i="13" s="1"/>
  <c r="G35" i="13" s="1"/>
  <c r="G44" i="13"/>
  <c r="G43" i="13" s="1"/>
  <c r="F47" i="3"/>
  <c r="F12" i="16"/>
  <c r="G12" i="16" s="1"/>
  <c r="E13" i="16" s="1"/>
  <c r="F16" i="16"/>
  <c r="G16" i="16" s="1"/>
  <c r="E17" i="16" s="1"/>
  <c r="F8" i="16"/>
  <c r="G8" i="16" s="1"/>
  <c r="F44" i="13"/>
  <c r="F43" i="13" s="1"/>
  <c r="F35" i="3"/>
  <c r="G52" i="13"/>
  <c r="G48" i="13" s="1"/>
  <c r="Y29" i="18"/>
  <c r="Y30" i="18" s="1"/>
  <c r="X29" i="18"/>
  <c r="X30" i="18" s="1"/>
  <c r="V29" i="18"/>
  <c r="V30" i="18" s="1"/>
  <c r="AJ29" i="18"/>
  <c r="AJ30" i="18" s="1"/>
  <c r="AI29" i="18"/>
  <c r="AI30" i="18" s="1"/>
  <c r="AF29" i="18"/>
  <c r="AF30" i="18" s="1"/>
  <c r="AE29" i="18"/>
  <c r="AE30" i="18" s="1"/>
  <c r="Z29" i="18"/>
  <c r="Z30" i="18" s="1"/>
  <c r="AH29" i="18"/>
  <c r="AH30" i="18" s="1"/>
  <c r="AA29" i="18"/>
  <c r="AA30" i="18" s="1"/>
  <c r="W29" i="18"/>
  <c r="W30" i="18" s="1"/>
  <c r="AG29" i="18"/>
  <c r="AG30" i="18" s="1"/>
  <c r="AN29" i="11"/>
  <c r="AN37" i="11" s="1"/>
  <c r="AN10" i="11" l="1"/>
  <c r="AN17" i="11" s="1"/>
  <c r="AN38" i="11" s="1"/>
  <c r="AO10" i="11" s="1"/>
  <c r="AO17" i="11" s="1"/>
  <c r="E20" i="16"/>
  <c r="F54" i="13"/>
  <c r="BH29" i="11"/>
  <c r="BH37" i="11" s="1"/>
  <c r="BG30" i="18"/>
  <c r="C55" i="3"/>
  <c r="B55" i="3"/>
  <c r="A56" i="3"/>
  <c r="D55" i="3"/>
  <c r="E55" i="3" s="1"/>
  <c r="F55" i="3" s="1"/>
  <c r="AO38" i="11" l="1"/>
  <c r="AP10" i="11" s="1"/>
  <c r="AP17" i="11" s="1"/>
  <c r="F20" i="16"/>
  <c r="G20" i="16" s="1"/>
  <c r="F55" i="13"/>
  <c r="A57" i="3"/>
  <c r="B56" i="3"/>
  <c r="C56" i="3"/>
  <c r="D56" i="3"/>
  <c r="E56" i="3" s="1"/>
  <c r="F56" i="3" s="1"/>
  <c r="E38" i="16"/>
  <c r="G38" i="16" s="1"/>
  <c r="E40" i="16" s="1"/>
  <c r="G42" i="13"/>
  <c r="F33" i="16"/>
  <c r="G33" i="16" s="1"/>
  <c r="G40" i="13" l="1"/>
  <c r="G54" i="13" s="1"/>
  <c r="G55" i="13" s="1"/>
  <c r="H42" i="13"/>
  <c r="H40" i="13" s="1"/>
  <c r="C57" i="3"/>
  <c r="A58" i="3"/>
  <c r="B57" i="3"/>
  <c r="D57" i="3"/>
  <c r="E57" i="3" s="1"/>
  <c r="F57" i="3" s="1"/>
  <c r="AP38" i="11"/>
  <c r="AQ10" i="11" s="1"/>
  <c r="AQ17" i="11" s="1"/>
  <c r="AQ38" i="11" l="1"/>
  <c r="AR10" i="11" s="1"/>
  <c r="AR17" i="11" s="1"/>
  <c r="D58" i="3"/>
  <c r="E58" i="3" s="1"/>
  <c r="F58" i="3" s="1"/>
  <c r="C58" i="3"/>
  <c r="B58" i="3"/>
  <c r="A59" i="3"/>
  <c r="AR38" i="11" l="1"/>
  <c r="AS10" i="11" s="1"/>
  <c r="AS17" i="11" s="1"/>
  <c r="C59" i="3"/>
  <c r="B59" i="3"/>
  <c r="A60" i="3"/>
  <c r="D59" i="3"/>
  <c r="H51" i="13" s="1"/>
  <c r="H48" i="13" s="1"/>
  <c r="E59" i="3" l="1"/>
  <c r="A61" i="3"/>
  <c r="B60" i="3"/>
  <c r="D60" i="3"/>
  <c r="E60" i="3" s="1"/>
  <c r="F60" i="3" s="1"/>
  <c r="C60" i="3"/>
  <c r="AS38" i="11"/>
  <c r="AW10" i="11" s="1"/>
  <c r="AW17" i="11" s="1"/>
  <c r="H44" i="13" l="1"/>
  <c r="H43" i="13" s="1"/>
  <c r="H54" i="13" s="1"/>
  <c r="F59" i="3"/>
  <c r="C61" i="3"/>
  <c r="B61" i="3"/>
  <c r="D61" i="3"/>
  <c r="E61" i="3" s="1"/>
  <c r="F61" i="3" s="1"/>
  <c r="A62" i="3"/>
  <c r="AW38" i="11"/>
  <c r="AX10" i="11" s="1"/>
  <c r="AX17" i="11" s="1"/>
  <c r="AX38" i="11" l="1"/>
  <c r="AY10" i="11" s="1"/>
  <c r="AY17" i="11" s="1"/>
  <c r="B62" i="3"/>
  <c r="C62" i="3"/>
  <c r="A63" i="3"/>
  <c r="D62" i="3"/>
  <c r="E62" i="3" s="1"/>
  <c r="F62" i="3" s="1"/>
  <c r="A64" i="3" l="1"/>
  <c r="B63" i="3"/>
  <c r="D63" i="3"/>
  <c r="E63" i="3" s="1"/>
  <c r="F63" i="3" s="1"/>
  <c r="C63" i="3"/>
  <c r="AY38" i="11"/>
  <c r="AZ10" i="11" s="1"/>
  <c r="AZ17" i="11" s="1"/>
  <c r="AZ38" i="11" l="1"/>
  <c r="BA10" i="11" s="1"/>
  <c r="BA17" i="11" s="1"/>
  <c r="D64" i="3"/>
  <c r="E64" i="3" s="1"/>
  <c r="F64" i="3" s="1"/>
  <c r="C64" i="3"/>
  <c r="B64" i="3"/>
  <c r="A65" i="3"/>
  <c r="A66" i="3" l="1"/>
  <c r="C65" i="3"/>
  <c r="B65" i="3"/>
  <c r="D65" i="3"/>
  <c r="E65" i="3" s="1"/>
  <c r="F65" i="3" s="1"/>
  <c r="BA38" i="11"/>
  <c r="BB10" i="11" s="1"/>
  <c r="BB17" i="11" s="1"/>
  <c r="BB38" i="11" s="1"/>
  <c r="BH38" i="11" s="1"/>
  <c r="H33" i="13" s="1"/>
  <c r="H28" i="13" s="1"/>
  <c r="H35" i="13" s="1"/>
  <c r="H55" i="13" s="1"/>
  <c r="D66" i="3" l="1"/>
  <c r="E66" i="3" s="1"/>
  <c r="F66" i="3" s="1"/>
  <c r="B66" i="3"/>
  <c r="C66" i="3"/>
  <c r="A67" i="3"/>
  <c r="A68" i="3" l="1"/>
  <c r="C67" i="3"/>
  <c r="D67" i="3"/>
  <c r="E67" i="3" s="1"/>
  <c r="F67" i="3" s="1"/>
  <c r="B67" i="3"/>
  <c r="A69" i="3" l="1"/>
  <c r="D68" i="3"/>
  <c r="E68" i="3" s="1"/>
  <c r="F68" i="3" s="1"/>
  <c r="C68" i="3"/>
  <c r="B68" i="3"/>
  <c r="A70" i="3" l="1"/>
  <c r="D69" i="3"/>
  <c r="E69" i="3" s="1"/>
  <c r="F69" i="3" s="1"/>
  <c r="C69" i="3"/>
  <c r="B69" i="3"/>
  <c r="B70" i="3" l="1"/>
  <c r="A71" i="3"/>
  <c r="C70" i="3"/>
  <c r="D70" i="3"/>
  <c r="E70" i="3" s="1"/>
  <c r="F70" i="3" s="1"/>
  <c r="D71" i="3" l="1"/>
  <c r="E71" i="3" s="1"/>
  <c r="F71" i="3" s="1"/>
  <c r="C71" i="3"/>
  <c r="A72" i="3"/>
  <c r="B71" i="3"/>
  <c r="B72" i="3" l="1"/>
  <c r="C72" i="3"/>
  <c r="A73" i="3"/>
  <c r="D72" i="3"/>
  <c r="E72" i="3" s="1"/>
  <c r="F72" i="3" s="1"/>
  <c r="D73" i="3" l="1"/>
  <c r="C73" i="3"/>
  <c r="B73" i="3"/>
  <c r="A74" i="3"/>
  <c r="E73" i="3"/>
  <c r="F73" i="3" s="1"/>
  <c r="C74" i="3" l="1"/>
  <c r="A75" i="3"/>
  <c r="B74" i="3"/>
  <c r="D74" i="3"/>
  <c r="E74" i="3" s="1"/>
  <c r="F74" i="3" s="1"/>
  <c r="D75" i="3" l="1"/>
  <c r="E75" i="3"/>
  <c r="F75" i="3" s="1"/>
  <c r="A76" i="3"/>
  <c r="B75" i="3"/>
  <c r="C75" i="3"/>
  <c r="B76" i="3" l="1"/>
  <c r="D76" i="3"/>
  <c r="E76" i="3" s="1"/>
  <c r="F76" i="3" s="1"/>
  <c r="C76" i="3"/>
  <c r="A77" i="3"/>
  <c r="A78" i="3" l="1"/>
  <c r="C77" i="3"/>
  <c r="B77" i="3"/>
  <c r="D77" i="3"/>
  <c r="E77" i="3" s="1"/>
  <c r="F77" i="3" s="1"/>
  <c r="D78" i="3" l="1"/>
  <c r="E78" i="3" s="1"/>
  <c r="F78" i="3" s="1"/>
  <c r="C78" i="3"/>
  <c r="A79" i="3"/>
  <c r="B78" i="3"/>
  <c r="D79" i="3" l="1"/>
  <c r="C79" i="3"/>
  <c r="A80" i="3"/>
  <c r="E79" i="3"/>
  <c r="F79" i="3" s="1"/>
  <c r="B79" i="3"/>
  <c r="D80" i="3" l="1"/>
  <c r="E80" i="3" s="1"/>
  <c r="F80" i="3" s="1"/>
  <c r="B80" i="3"/>
  <c r="C80" i="3"/>
  <c r="A81" i="3"/>
  <c r="D81" i="3" l="1"/>
  <c r="E81" i="3" s="1"/>
  <c r="F81" i="3" s="1"/>
  <c r="C81" i="3"/>
  <c r="A82" i="3"/>
  <c r="B81" i="3"/>
  <c r="A83" i="3" l="1"/>
  <c r="C82" i="3"/>
  <c r="B82" i="3"/>
  <c r="D82" i="3"/>
  <c r="E82" i="3" s="1"/>
  <c r="F82" i="3" s="1"/>
  <c r="C83" i="3" l="1"/>
  <c r="D83" i="3"/>
  <c r="E83" i="3" s="1"/>
  <c r="F83" i="3" s="1"/>
  <c r="B83" i="3"/>
  <c r="A84" i="3"/>
  <c r="A85" i="3" l="1"/>
  <c r="C84" i="3"/>
  <c r="B84" i="3"/>
  <c r="D84" i="3"/>
  <c r="E84" i="3" s="1"/>
  <c r="F84" i="3" s="1"/>
  <c r="C85" i="3" l="1"/>
  <c r="B85" i="3"/>
  <c r="A86" i="3"/>
  <c r="D85" i="3"/>
  <c r="E85" i="3" s="1"/>
  <c r="F85" i="3" s="1"/>
  <c r="A87" i="3" l="1"/>
  <c r="D86" i="3"/>
  <c r="E86" i="3" s="1"/>
  <c r="F86" i="3" s="1"/>
  <c r="C86" i="3"/>
  <c r="B86" i="3"/>
  <c r="A88" i="3" l="1"/>
  <c r="C87" i="3"/>
  <c r="B87" i="3"/>
  <c r="D87" i="3"/>
  <c r="E87" i="3" s="1"/>
  <c r="F87" i="3" s="1"/>
  <c r="C88" i="3" l="1"/>
  <c r="A89" i="3"/>
  <c r="B88" i="3"/>
  <c r="D88" i="3"/>
  <c r="E88" i="3" s="1"/>
  <c r="F88" i="3" s="1"/>
  <c r="D89" i="3" l="1"/>
  <c r="A90" i="3"/>
  <c r="B89" i="3"/>
  <c r="C89" i="3"/>
  <c r="E89" i="3"/>
  <c r="F89" i="3" s="1"/>
  <c r="A91" i="3" l="1"/>
  <c r="B90" i="3"/>
  <c r="C90" i="3"/>
  <c r="D90" i="3"/>
  <c r="E90" i="3" s="1"/>
  <c r="F90" i="3" s="1"/>
  <c r="B91" i="3" l="1"/>
  <c r="C91" i="3"/>
  <c r="A92" i="3"/>
  <c r="D91" i="3"/>
  <c r="E91" i="3" s="1"/>
  <c r="F91" i="3" s="1"/>
  <c r="C92" i="3" l="1"/>
  <c r="D92" i="3"/>
  <c r="E92" i="3" s="1"/>
  <c r="F92" i="3" s="1"/>
  <c r="B92" i="3"/>
  <c r="A93" i="3"/>
  <c r="B93" i="3" l="1"/>
  <c r="A94" i="3"/>
  <c r="D93" i="3"/>
  <c r="E93" i="3" s="1"/>
  <c r="F93" i="3" s="1"/>
  <c r="C93" i="3"/>
  <c r="B94" i="3" l="1"/>
  <c r="C94" i="3"/>
  <c r="D94" i="3"/>
  <c r="E94" i="3" s="1"/>
  <c r="F94" i="3" s="1"/>
  <c r="A95" i="3"/>
  <c r="A96" i="3" l="1"/>
  <c r="C95" i="3"/>
  <c r="D95" i="3"/>
  <c r="E95" i="3" s="1"/>
  <c r="F95" i="3" s="1"/>
  <c r="B95" i="3"/>
  <c r="D96" i="3" l="1"/>
  <c r="E96" i="3" s="1"/>
  <c r="F96" i="3" s="1"/>
  <c r="A97" i="3"/>
  <c r="C96" i="3"/>
  <c r="B96" i="3"/>
  <c r="D97" i="3" l="1"/>
  <c r="A98" i="3"/>
  <c r="B97" i="3"/>
  <c r="E97" i="3"/>
  <c r="F97" i="3" s="1"/>
  <c r="C97" i="3"/>
  <c r="D98" i="3" l="1"/>
  <c r="E98" i="3" s="1"/>
  <c r="F98" i="3" s="1"/>
  <c r="C98" i="3"/>
  <c r="A99" i="3"/>
  <c r="B98" i="3"/>
  <c r="B99" i="3" l="1"/>
  <c r="A100" i="3"/>
  <c r="C99" i="3"/>
  <c r="D99" i="3"/>
  <c r="E99" i="3" s="1"/>
  <c r="F99" i="3" s="1"/>
  <c r="B100" i="3" l="1"/>
  <c r="A101" i="3"/>
  <c r="C100" i="3"/>
  <c r="D100" i="3"/>
  <c r="E100" i="3" s="1"/>
  <c r="F100" i="3" s="1"/>
  <c r="B101" i="3" l="1"/>
  <c r="D101" i="3"/>
  <c r="E101" i="3" s="1"/>
  <c r="F101" i="3" s="1"/>
  <c r="C101" i="3"/>
  <c r="A102" i="3"/>
  <c r="A103" i="3" l="1"/>
  <c r="B102" i="3"/>
  <c r="D102" i="3"/>
  <c r="E102" i="3" s="1"/>
  <c r="F102" i="3" s="1"/>
  <c r="C102" i="3"/>
  <c r="B103" i="3" l="1"/>
  <c r="C103" i="3"/>
  <c r="D103" i="3"/>
  <c r="E103" i="3" s="1"/>
  <c r="F103" i="3" s="1"/>
  <c r="A104" i="3"/>
  <c r="D104" i="3" l="1"/>
  <c r="E104" i="3" s="1"/>
  <c r="F104" i="3" s="1"/>
  <c r="A105" i="3"/>
  <c r="C104" i="3"/>
  <c r="B104" i="3"/>
  <c r="B105" i="3" l="1"/>
  <c r="C105" i="3"/>
  <c r="A106" i="3"/>
  <c r="D105" i="3"/>
  <c r="E105" i="3" s="1"/>
  <c r="F105" i="3" s="1"/>
  <c r="A107" i="3" l="1"/>
  <c r="B106" i="3"/>
  <c r="C106" i="3"/>
  <c r="D106" i="3"/>
  <c r="E106" i="3" s="1"/>
  <c r="F106" i="3" s="1"/>
  <c r="C107" i="3" l="1"/>
  <c r="A108" i="3"/>
  <c r="D107" i="3"/>
  <c r="E107" i="3" s="1"/>
  <c r="F107" i="3" s="1"/>
  <c r="B107" i="3"/>
  <c r="D108" i="3" l="1"/>
  <c r="F108" i="3"/>
  <c r="B108" i="3"/>
  <c r="C108" i="3"/>
  <c r="E108" i="3"/>
  <c r="A109" i="3"/>
  <c r="F109" i="3" l="1"/>
  <c r="E109" i="3"/>
  <c r="B109" i="3"/>
  <c r="A110" i="3"/>
  <c r="C109" i="3"/>
  <c r="D109" i="3"/>
  <c r="A111" i="3" l="1"/>
  <c r="F110" i="3"/>
  <c r="E110" i="3"/>
  <c r="B110" i="3"/>
  <c r="C110" i="3"/>
  <c r="D110" i="3"/>
  <c r="E111" i="3" l="1"/>
  <c r="B111" i="3"/>
  <c r="C111" i="3"/>
  <c r="F111" i="3"/>
  <c r="D111" i="3"/>
  <c r="A112" i="3"/>
  <c r="D112" i="3" l="1"/>
  <c r="A113" i="3"/>
  <c r="F112" i="3"/>
  <c r="C112" i="3"/>
  <c r="E112" i="3"/>
  <c r="B112" i="3"/>
  <c r="F113" i="3" l="1"/>
  <c r="D113" i="3"/>
  <c r="C113" i="3"/>
  <c r="A114" i="3"/>
  <c r="E113" i="3"/>
  <c r="B113" i="3"/>
  <c r="A115" i="3" l="1"/>
  <c r="E114" i="3"/>
  <c r="F114" i="3"/>
  <c r="B114" i="3"/>
  <c r="C114" i="3"/>
  <c r="D114" i="3"/>
  <c r="E115" i="3" l="1"/>
  <c r="C115" i="3"/>
  <c r="D115" i="3"/>
  <c r="F115" i="3"/>
  <c r="B115" i="3"/>
  <c r="A116" i="3"/>
  <c r="D116" i="3" l="1"/>
  <c r="E116" i="3"/>
  <c r="B116" i="3"/>
  <c r="C116" i="3"/>
  <c r="F116" i="3"/>
  <c r="A117" i="3"/>
  <c r="F117" i="3" l="1"/>
  <c r="E117" i="3"/>
  <c r="C117" i="3"/>
  <c r="A118" i="3"/>
  <c r="D117" i="3"/>
  <c r="B117" i="3"/>
  <c r="A119" i="3" l="1"/>
  <c r="F118" i="3"/>
  <c r="D118" i="3"/>
  <c r="B118" i="3"/>
  <c r="C118" i="3"/>
  <c r="E118" i="3"/>
  <c r="E119" i="3" l="1"/>
  <c r="B119" i="3"/>
  <c r="C119" i="3"/>
  <c r="F119" i="3"/>
  <c r="D119" i="3"/>
  <c r="A120" i="3"/>
  <c r="C120" i="3" l="1"/>
  <c r="A121" i="3"/>
  <c r="D120" i="3"/>
  <c r="F120" i="3"/>
  <c r="E120" i="3"/>
  <c r="B120" i="3"/>
  <c r="B121" i="3" l="1"/>
  <c r="C121" i="3"/>
  <c r="A122" i="3"/>
  <c r="E121" i="3"/>
  <c r="F121" i="3"/>
  <c r="D121" i="3"/>
  <c r="B122" i="3" l="1"/>
  <c r="E122" i="3"/>
  <c r="A123" i="3"/>
  <c r="D122" i="3"/>
  <c r="C122" i="3"/>
  <c r="F122" i="3"/>
  <c r="F123" i="3" l="1"/>
  <c r="D123" i="3"/>
  <c r="B123" i="3"/>
  <c r="A124" i="3"/>
  <c r="E123" i="3"/>
  <c r="C123" i="3"/>
  <c r="C124" i="3" l="1"/>
  <c r="B124" i="3"/>
  <c r="A125" i="3"/>
  <c r="F124" i="3"/>
  <c r="D124" i="3"/>
  <c r="E124" i="3"/>
  <c r="B125" i="3" l="1"/>
  <c r="F125" i="3"/>
  <c r="D125" i="3"/>
  <c r="C125" i="3"/>
  <c r="A126" i="3"/>
  <c r="E125" i="3"/>
  <c r="D126" i="3" l="1"/>
  <c r="F126" i="3"/>
  <c r="E126" i="3"/>
  <c r="C126" i="3"/>
  <c r="B126" i="3"/>
  <c r="A127" i="3"/>
  <c r="F127" i="3" l="1"/>
  <c r="E127" i="3"/>
  <c r="C127" i="3"/>
  <c r="A128" i="3"/>
  <c r="B127" i="3"/>
  <c r="D127" i="3"/>
  <c r="B128" i="3" l="1"/>
  <c r="D128" i="3"/>
  <c r="F128" i="3"/>
  <c r="E128" i="3"/>
  <c r="C128" i="3"/>
  <c r="A129" i="3"/>
  <c r="E129" i="3" l="1"/>
  <c r="F129" i="3"/>
  <c r="D129" i="3"/>
  <c r="C129" i="3"/>
  <c r="B129" i="3"/>
  <c r="A130" i="3"/>
  <c r="E130" i="3" l="1"/>
  <c r="B130" i="3"/>
  <c r="F130" i="3"/>
  <c r="A131" i="3"/>
  <c r="C130" i="3"/>
  <c r="D130" i="3"/>
  <c r="D131" i="3" l="1"/>
  <c r="C131" i="3"/>
  <c r="B131" i="3"/>
  <c r="F131" i="3"/>
  <c r="E131" i="3"/>
</calcChain>
</file>

<file path=xl/sharedStrings.xml><?xml version="1.0" encoding="utf-8"?>
<sst xmlns="http://schemas.openxmlformats.org/spreadsheetml/2006/main" count="1337" uniqueCount="470">
  <si>
    <t xml:space="preserve">La competencia en nuestro sector se puede definir en dos grandes grupos:
1º Una multitud de pequeñas empresas y consultores o desarrolladores individuales que – con mayor o menor acierto – intervienen en el mercado.
2º Una minoría de empresas de servicios supervivientes de las puntocom que prestan servicios, sobre todo, a grandes empresas y en algunos casos son
subsidiarias de las mismas.
En general y salvo honrosas excepciones hay tres características comunes muy relevantes:
1º Dispersión-falta de especialización: Fruto de las necesidades de supervivencia en estos años difíciles, todos los competidores han dispersado su actividad en todos
los puntos de lo que podemos denominar el “sector tecnológico” (desde la venta de ordenadores hasta la creación de páginas web).
2º Anclaje en conceptos superados, fruto de los años de las puntocom y muy pocabadaptación-comprensión de las nuevas necesidades.
3º Orientación a la tecnología con notable ausencia del marketing y la comprensión de las necesidades de los usuarios.
Por lo que respecta a nuestro posicionamiento como empresa, podemos decir que hay muchos que  
prometen lo que nosotros ofrecemos pero no existen auténticos especialistas que puedan ofrecer 
garantías.
Principales competidores.
Los competidores directos y relevantes en nuestro mercado empresarial son:
- AC Asesores tecnológicos
- Hig Tech
- Thompson LKH
- Graorn S.A.
- LiveTech
</t>
  </si>
  <si>
    <t>Mi empresa</t>
  </si>
  <si>
    <t>Competidor 1</t>
  </si>
  <si>
    <t>Competidor 2</t>
  </si>
  <si>
    <t>Producto</t>
  </si>
  <si>
    <t>Precio</t>
  </si>
  <si>
    <t>Calidad</t>
  </si>
  <si>
    <t>Servicio</t>
  </si>
  <si>
    <t>Experiencia</t>
  </si>
  <si>
    <t>Ubicación</t>
  </si>
  <si>
    <t>Publicidad</t>
  </si>
  <si>
    <t>Imagen</t>
  </si>
  <si>
    <t>CONCLUSIONES</t>
  </si>
  <si>
    <t>Emplazamiento</t>
  </si>
  <si>
    <t>Transporte público</t>
  </si>
  <si>
    <t>Plano de situación</t>
  </si>
  <si>
    <t>Fotografías</t>
  </si>
  <si>
    <t>Venta personal</t>
  </si>
  <si>
    <t>Marketing directo</t>
  </si>
  <si>
    <t>Telemarketing</t>
  </si>
  <si>
    <t>Merchandising</t>
  </si>
  <si>
    <t>Concursos</t>
  </si>
  <si>
    <t>Premios</t>
  </si>
  <si>
    <t>Descuentos</t>
  </si>
  <si>
    <t>Paquetes promocionales</t>
  </si>
  <si>
    <t>Prensa</t>
  </si>
  <si>
    <t>Radio</t>
  </si>
  <si>
    <t>Televisión</t>
  </si>
  <si>
    <t>Internet</t>
  </si>
  <si>
    <t>Otras promociones</t>
  </si>
  <si>
    <t>Periodicidad</t>
  </si>
  <si>
    <t>Duración</t>
  </si>
  <si>
    <t>Coste</t>
  </si>
  <si>
    <t>Coste mensual por unidades</t>
  </si>
  <si>
    <t>Coste por unidad</t>
  </si>
  <si>
    <t>Precio de venta por unidad</t>
  </si>
  <si>
    <t>Ingresos por unidades vendidas</t>
  </si>
  <si>
    <t>Coste mensual de producción</t>
  </si>
  <si>
    <t>Producto A</t>
  </si>
  <si>
    <t>Producto B</t>
  </si>
  <si>
    <t>Producto C</t>
  </si>
  <si>
    <t>Producto D</t>
  </si>
  <si>
    <t>Producto E</t>
  </si>
  <si>
    <t>Producto F</t>
  </si>
  <si>
    <t>Producto G</t>
  </si>
  <si>
    <t>Producto H</t>
  </si>
  <si>
    <t>Producto I</t>
  </si>
  <si>
    <t>Producto J</t>
  </si>
  <si>
    <t>Plan de ventas primer año</t>
  </si>
  <si>
    <t>Meses</t>
  </si>
  <si>
    <t>IVA Repercutido</t>
  </si>
  <si>
    <t>Ventas</t>
  </si>
  <si>
    <t>Plan de compras/costes primer año</t>
  </si>
  <si>
    <t>Compras/costes</t>
  </si>
  <si>
    <t>IVA Soportado</t>
  </si>
  <si>
    <t>AÑO 1</t>
  </si>
  <si>
    <t>AÑO 2</t>
  </si>
  <si>
    <t>AÑO 3</t>
  </si>
  <si>
    <t>Area 1</t>
  </si>
  <si>
    <t>Funciones</t>
  </si>
  <si>
    <t>Puestos de trabajo</t>
  </si>
  <si>
    <t>Area 2</t>
  </si>
  <si>
    <t>Area 3</t>
  </si>
  <si>
    <t>Area 4</t>
  </si>
  <si>
    <t>Trabajador 1</t>
  </si>
  <si>
    <t>Puesto</t>
  </si>
  <si>
    <t>Perfil</t>
  </si>
  <si>
    <t>Cat.profesional</t>
  </si>
  <si>
    <t>Periodo prueba</t>
  </si>
  <si>
    <t>Horario</t>
  </si>
  <si>
    <t>Jornada</t>
  </si>
  <si>
    <t>Salario</t>
  </si>
  <si>
    <t>Beneficios sociales</t>
  </si>
  <si>
    <t>Vacaciones</t>
  </si>
  <si>
    <t>Fecha de inicio</t>
  </si>
  <si>
    <t>Trabajador 2</t>
  </si>
  <si>
    <t>Trabajador 3</t>
  </si>
  <si>
    <t>Trabajador 4</t>
  </si>
  <si>
    <t>ORGANO DE ADMINISTRACION</t>
  </si>
  <si>
    <t>Licencias urbanísticas</t>
  </si>
  <si>
    <t>Plazo de obtención</t>
  </si>
  <si>
    <t>Licencia 1</t>
  </si>
  <si>
    <t>Licencia 2</t>
  </si>
  <si>
    <t>Licencia 3</t>
  </si>
  <si>
    <t>Autorizac.administrativas</t>
  </si>
  <si>
    <t>Autorización 1</t>
  </si>
  <si>
    <t>Autorización 2</t>
  </si>
  <si>
    <t>Autorización 3</t>
  </si>
  <si>
    <t xml:space="preserve">Costes de gestión </t>
  </si>
  <si>
    <t>Interna/Externa</t>
  </si>
  <si>
    <t>Período</t>
  </si>
  <si>
    <t>Gestión contable</t>
  </si>
  <si>
    <t>Gestión fiscal</t>
  </si>
  <si>
    <t>Gestión mercantil</t>
  </si>
  <si>
    <t>Gestión laboral</t>
  </si>
  <si>
    <t>Asesoramiento jurídico</t>
  </si>
  <si>
    <t>Seguros</t>
  </si>
  <si>
    <t>Responsabilidad civil</t>
  </si>
  <si>
    <t>Local comercial</t>
  </si>
  <si>
    <t>Cambio de moneda</t>
  </si>
  <si>
    <t>MESES</t>
  </si>
  <si>
    <t>Mes 1</t>
  </si>
  <si>
    <t>Mes 2</t>
  </si>
  <si>
    <t>Mes 3</t>
  </si>
  <si>
    <t>Mes 4</t>
  </si>
  <si>
    <t>Mes 5</t>
  </si>
  <si>
    <t>Mes 6</t>
  </si>
  <si>
    <t>Mes 7</t>
  </si>
  <si>
    <t>Mes 8</t>
  </si>
  <si>
    <t>Mes 9</t>
  </si>
  <si>
    <t>Mes 10</t>
  </si>
  <si>
    <t>Mes 11</t>
  </si>
  <si>
    <t>Mes 12</t>
  </si>
  <si>
    <t>Previsión tres primeros años</t>
  </si>
  <si>
    <t>Año 1</t>
  </si>
  <si>
    <t>Año 2</t>
  </si>
  <si>
    <t>Año 3</t>
  </si>
  <si>
    <t>Compras</t>
  </si>
  <si>
    <t>INVERSIÓN</t>
  </si>
  <si>
    <t>INICIAL</t>
  </si>
  <si>
    <t>ACTIVO FIJO</t>
  </si>
  <si>
    <t>Inmovilizado Inmaterial</t>
  </si>
  <si>
    <t>Patentes y marcas</t>
  </si>
  <si>
    <t>Derechos de traspaso</t>
  </si>
  <si>
    <t>Aplicaciones informáticas</t>
  </si>
  <si>
    <t>Leasing</t>
  </si>
  <si>
    <t>Inmovilizado Material</t>
  </si>
  <si>
    <t>Terrenos</t>
  </si>
  <si>
    <t>Construcciones</t>
  </si>
  <si>
    <t>Maquinaria</t>
  </si>
  <si>
    <t>Herramientas y útiles</t>
  </si>
  <si>
    <t>Mobiliario</t>
  </si>
  <si>
    <t>Equipos informáticos</t>
  </si>
  <si>
    <t>Elementos de transporte</t>
  </si>
  <si>
    <t>Otros</t>
  </si>
  <si>
    <t>Inmovilizado Financiero</t>
  </si>
  <si>
    <t>Fianzas</t>
  </si>
  <si>
    <t>ACTIVO CIRCULANTE</t>
  </si>
  <si>
    <t>Existencias</t>
  </si>
  <si>
    <t>Deudores</t>
  </si>
  <si>
    <t>Clientes</t>
  </si>
  <si>
    <t>Administraciones públicas</t>
  </si>
  <si>
    <t>Tesoreria</t>
  </si>
  <si>
    <t>TOTAL INVERSIONES</t>
  </si>
  <si>
    <t>FINANCIACIÓN</t>
  </si>
  <si>
    <t>RECURSOS PROPIOS</t>
  </si>
  <si>
    <t>EXIGIBLE A L/P</t>
  </si>
  <si>
    <t>Préstamos a l/p</t>
  </si>
  <si>
    <t>Proveedores inmovilizado</t>
  </si>
  <si>
    <t>Acreedores leasing l/p</t>
  </si>
  <si>
    <t>EXIGIBLE A C/P</t>
  </si>
  <si>
    <t xml:space="preserve">Proveedores  </t>
  </si>
  <si>
    <t>Acreedores leasing c/p</t>
  </si>
  <si>
    <t>Préstamos a c/p</t>
  </si>
  <si>
    <t>TOTAL FINANCIACIÓN</t>
  </si>
  <si>
    <t>CONCEPTOS</t>
  </si>
  <si>
    <t>VENTAS (A)</t>
  </si>
  <si>
    <t>COSTES VARIABLES (B)</t>
  </si>
  <si>
    <t>Consumo materias primas o productos</t>
  </si>
  <si>
    <t>Mano de obra directa</t>
  </si>
  <si>
    <t>Otros gastos generales de fabricación o de prestación de servicios</t>
  </si>
  <si>
    <t>MARGEN BRUTO (C = A – B)</t>
  </si>
  <si>
    <t>COSTES FIJOS (D): (sin incluir intereses)</t>
  </si>
  <si>
    <t>Arrendamientos</t>
  </si>
  <si>
    <t>Comunicación</t>
  </si>
  <si>
    <t>Transportes</t>
  </si>
  <si>
    <t>Servicios de profesionales independientes</t>
  </si>
  <si>
    <t>Material oficina</t>
  </si>
  <si>
    <t>Reparaciones y conservación</t>
  </si>
  <si>
    <t>Suministros</t>
  </si>
  <si>
    <t>Amortizaciones</t>
  </si>
  <si>
    <t>Otros gastos</t>
  </si>
  <si>
    <t>CONCEPTO</t>
  </si>
  <si>
    <t>SALDO INICIAL</t>
  </si>
  <si>
    <t>Cobros ventas</t>
  </si>
  <si>
    <t>S.INICIAL + COBROS</t>
  </si>
  <si>
    <t>Pagos</t>
  </si>
  <si>
    <t>Año anterior</t>
  </si>
  <si>
    <t>Pagos por inversiones</t>
  </si>
  <si>
    <t>Total Pagos</t>
  </si>
  <si>
    <t>SALDO FINAL</t>
  </si>
  <si>
    <t>IVA</t>
  </si>
  <si>
    <t>ACTIVO</t>
  </si>
  <si>
    <t>TOTAL ACTIVO</t>
  </si>
  <si>
    <t>PASIVO</t>
  </si>
  <si>
    <t xml:space="preserve">RECURSOS PERMANENTES </t>
  </si>
  <si>
    <t>Capital</t>
  </si>
  <si>
    <t>Préstamos a l/p</t>
  </si>
  <si>
    <t>TOTAL PASIVO</t>
  </si>
  <si>
    <t>TOTAL PASIVO CORREGIDO</t>
  </si>
  <si>
    <t>TOTAL ACTIVO FIJO</t>
  </si>
  <si>
    <t>TOTAL ACTIVO CIRCULANTE</t>
  </si>
  <si>
    <t>IVA REPERCUTIDO</t>
  </si>
  <si>
    <t>IVA SOPORTADO</t>
  </si>
  <si>
    <t>IVA TRES PRIMEROS AÑOS</t>
  </si>
  <si>
    <t>TIPO IVA</t>
  </si>
  <si>
    <t>Otros Costes</t>
  </si>
  <si>
    <t>Recursos propios</t>
  </si>
  <si>
    <t>PEF-6</t>
  </si>
  <si>
    <t>TOTAL Largo Plazo</t>
  </si>
  <si>
    <t>TOTAL Corto Plazo</t>
  </si>
  <si>
    <t>Amort. Anual</t>
  </si>
  <si>
    <t>Años</t>
  </si>
  <si>
    <t>Prestamo</t>
  </si>
  <si>
    <t>Tipo de interes (TAE)</t>
  </si>
  <si>
    <t>Amortización Acumulada</t>
  </si>
  <si>
    <t>General</t>
  </si>
  <si>
    <t>Reducido</t>
  </si>
  <si>
    <t>Superred.</t>
  </si>
  <si>
    <t>Ventas IVA red.</t>
  </si>
  <si>
    <t>Ventas IVA gen.</t>
  </si>
  <si>
    <t>Ventas Totales</t>
  </si>
  <si>
    <t>Compras+costes</t>
  </si>
  <si>
    <t>HOJA 1</t>
  </si>
  <si>
    <t>HOJA 2</t>
  </si>
  <si>
    <t>Ventas totales</t>
  </si>
  <si>
    <t>IVA a Liquidar</t>
  </si>
  <si>
    <t>Total IVA Repercutido</t>
  </si>
  <si>
    <t>Total IVA Soportado</t>
  </si>
  <si>
    <t>LIQUIDEZ</t>
  </si>
  <si>
    <t>AC</t>
  </si>
  <si>
    <t>RATIO</t>
  </si>
  <si>
    <t>AC/DEUDAS CORTO PLAZO</t>
  </si>
  <si>
    <r>
      <t>D</t>
    </r>
    <r>
      <rPr>
        <vertAlign val="subscript"/>
        <sz val="10"/>
        <color indexed="9"/>
        <rFont val="Arial"/>
        <family val="2"/>
      </rPr>
      <t xml:space="preserve"> C/P</t>
    </r>
  </si>
  <si>
    <t>FONDO DE MANIOBRA</t>
  </si>
  <si>
    <t>EXIGIBLEC/P</t>
  </si>
  <si>
    <t>TESORERIA</t>
  </si>
  <si>
    <t>R+D</t>
  </si>
  <si>
    <t>ENDEUDAMIENTO</t>
  </si>
  <si>
    <t>PT</t>
  </si>
  <si>
    <t>Debe estar entre 0,4 y 0,7</t>
  </si>
  <si>
    <t>RP</t>
  </si>
  <si>
    <t>RENTABILIDAD ECONÓMICA</t>
  </si>
  <si>
    <t>RENTABILIDAD FINANCIERA</t>
  </si>
  <si>
    <t>BENEFICIO ANTES DE IMPUESTOS*100/ACTIVO TOTAL</t>
  </si>
  <si>
    <t>AT</t>
  </si>
  <si>
    <t>BENEFICIO DESPUÉS DE IMPUESTOS *100/RECURSOS PROPIOS</t>
  </si>
  <si>
    <t>PUNTO MUERTO</t>
  </si>
  <si>
    <t>INGRESOS TOTALES=COSTES TOTALES</t>
  </si>
  <si>
    <t>IT</t>
  </si>
  <si>
    <t>CT</t>
  </si>
  <si>
    <t>PM</t>
  </si>
  <si>
    <t>CAPACIDAD DEVOLUCIÓN PRESTAMOS</t>
  </si>
  <si>
    <t>EC/P+EL/P</t>
  </si>
  <si>
    <t>BN+A</t>
  </si>
  <si>
    <r>
      <t>E</t>
    </r>
    <r>
      <rPr>
        <vertAlign val="subscript"/>
        <sz val="10"/>
        <color indexed="9"/>
        <rFont val="Arial"/>
        <family val="2"/>
      </rPr>
      <t>C/P+</t>
    </r>
    <r>
      <rPr>
        <sz val="10"/>
        <color indexed="9"/>
        <rFont val="Arial"/>
        <family val="2"/>
      </rPr>
      <t>E</t>
    </r>
    <r>
      <rPr>
        <vertAlign val="subscript"/>
        <sz val="10"/>
        <color indexed="9"/>
        <rFont val="Arial"/>
        <family val="2"/>
      </rPr>
      <t>L/P</t>
    </r>
  </si>
  <si>
    <t>RATIOS</t>
  </si>
  <si>
    <t>CASH FLOW</t>
  </si>
  <si>
    <t>CF</t>
  </si>
  <si>
    <t>RDO1</t>
  </si>
  <si>
    <t>A+P (1)</t>
  </si>
  <si>
    <t>A+P (2)</t>
  </si>
  <si>
    <t>RDO2</t>
  </si>
  <si>
    <t>Internet Business Services</t>
  </si>
  <si>
    <t xml:space="preserve">Ahora mismo ya no existe ninguna duda de que Internet, entre otras cosas, es y será mucho más en los años inmediatos:
1. La herramienta publicitaria y de contacto con los clientes por excelencia para las empresas.
2. El medio publicitario hacia el cual se dirigirá el mayor esfuerzo inversor de las empresas.
3. Un medio incomparable para la creación de nuevos proyectos comerciales.
Esto es posible, básicamente, gracias a:
1. La existencia de herramientas muy eficaces y que no existían en los años de las puntocom .
2. El enorme crecimiento de los usuarios de Internet.
3. La saturación y dispersión de los medios tradicionales, que se verá incrementada con la aparición de multitud de canales de la TV digital.
4. Las nuevas tendencias en marketing (fruto de lo anterior) como el “buzzmarketing” y similares que sólo son posibles gracias a la tecnología.
5. El desarrollo de los sistemas de comunicación que ya permite disponer de conexiones a Internet con telefonía móvil. 
6. El desarrollo de nuevos productos de electrónica de consumo basados en la conectividad a Internet.
Todos estos elementos se traducen – para nuestra empresa – en miles de potenciales clientes 
Tenemos la experiencia necesaria para aprovechar esta oportunidad con éxito, ya que:
1º Somos especialistas, conocedores de las claves precisas para tener éxito en Internet. 
2º Nuestra experiencia es claramente demostrable. Aportaremos experiencia real y demostrable.
3º Nuestros servicios incluirán al alto valor añadido y significarán un enorme ahorro de costes.
4º Podemos ser altamente competitivos en rapidez de respuesta y en precio, fruto de nuestro CMS.
5º Por esa misma razón podemos ofrecer servicios a un amplio espectro de clientes.
</t>
  </si>
  <si>
    <t>IBS debe posicionarse en torno a los siguientes principios estratégicos:
1º Un concepto coyuntural: “No te lo pierdas”
Destinado a reforzar el mensaje de que Internet es hoy una oportunidad que
una empresa no puede dejar escapar.
Este mensaje se irá diluyendo en el tiempo a medida que el mercado evolucione.
2º Especialistas:
No somos como los demás, somos los especialistas en Internet, tenemos las
claves que necesitas para estar presente, con éxito, en la web.
3º Años de experiencia y éxito:
Somos una empresa joven pero reunimos en nuestro equipo la mayor y mejor
experiencia real y demostrable del sector.
4º Compromiso de calidad y servicio: garantía de satisfacción
No nos limitamos a las promesas, ofrecemos nuestro compromiso por escrito con
el cliente: “garantía de total satisfacción”.
5º Tecnología punta para la máxima eficacia
Disponemos de la mejor y última tecnología para ofrecer los mejores
rendimientos a nuestros clientes.
6º El mejor equipo de profesionales
Somos un potente equipo de profesionales expertos y altamente cualificados
que le conducirán al éxito.
7º ¡Pruébanos! Gratis y sin compromiso por tu parte.</t>
  </si>
  <si>
    <t>Quincenal</t>
  </si>
  <si>
    <t>15 días</t>
  </si>
  <si>
    <t>Mensual</t>
  </si>
  <si>
    <t>1mes</t>
  </si>
  <si>
    <t>Ninguna</t>
  </si>
  <si>
    <t>Anual</t>
  </si>
  <si>
    <t>1 año</t>
  </si>
  <si>
    <t>Trimestral</t>
  </si>
  <si>
    <t>3 meses</t>
  </si>
  <si>
    <t>1 mes</t>
  </si>
  <si>
    <t xml:space="preserve">1º Desarrollo CMS:
Partimos de una base ya desarrollada por nuestro equipo, con lo cual sólo serán&lt; precisos una serie de ajustes enfocados a su función eminentemente productiva.
Prevemos un desarrollo de 6 meses y un período de prueba/ajuste de 4 meses adicionales.
El desarrollo lo realizará el actual equipo técnico con programadores subcontratados en el exterior.
2º Desarrollo webs propias:
Prevemos un desarrollo de 6 meses y un período de prueba/ajuste de 2 meses adicionales.
El desarrollo lo realizará el actual equipo técnico con programadores subcontratados en el exterior.
3º Selección y formación del personal inicial:
La selección correrá a cargo de una empresa especializada de reconocido prestigio en Madrid.
Prevemos 4 meses de proceso de selección.
El personal contratado recibirá un curso de formación de diversa intensidad según el puesto de trabajo. Los cursos de formación se desarrollarán en el primer mes de actividad, salvo los cursos para la fuerza de ventas que se desarrollarán en el mes anterior.
4º Infraestructuras:
Prevemos el alquiler de las oficinas 7 meses antes del inicio de la actividad comercial, desde dichas instalaciones y de forma provisional se harán los trabajos preparatorios.
Las instalaciones y el equipamiento final de las oficinas se realizarán los tres meses anteriores al lanzamiento comercial.
5º Inversiones:
Los pedidos se realizarán durante los 5 meses anteriores para que puedan estar disponibles en el momento del inicio de la actividad.
Fechas clave:
1º Inicio desarrollos: CMS y webs corporativas MES -7
Coincidiendo con el alquiler de las oficinas y el inicio de la contratación de servicios y los pedidos.
2º Selección de personal: Inicio MES -4
3º Inicio de la actividad comercial: MES 1
4º Fase de lanzamiento del negocio: MESES 1,2 y 3.
</t>
  </si>
  <si>
    <t>Los condicionantes a los que tendrá que hacer frente la empresa se deberán a posibles imprevistos que surgan en los siguientes campos: retraso en la obtención de la licencia para el despacho, demora en la aprobación de las lineas financieras solicitadas así como demora en todas las tareas referentes al acondicionamiento del local por parte de los distintos agentes que serán contratados para la realización de las mismas.</t>
  </si>
  <si>
    <t>Los recursos con los que dispone actualmente la empresa son: 3 equipos informáticos y el diseño y desarrollo del software para el diseño y venta de la aplicación.</t>
  </si>
  <si>
    <t>La empresa cuenta con los siguientes recursos inmateriales: la obtención de una patente para la aplicación informática.</t>
  </si>
  <si>
    <t>Dependientes de la Dirección General:</t>
  </si>
  <si>
    <t>• Atención al Cliente.
• Control de Calidad</t>
  </si>
  <si>
    <t>1 puesto de trabajo.</t>
  </si>
  <si>
    <t>Dependientes de la Dirección Financiera:</t>
  </si>
  <si>
    <t>• Administración y finanzas.
• Recursos Humanos y formación.
• Servicios y mantenimiento</t>
  </si>
  <si>
    <t>Dependientes de la Dirección de Marketing y Ventas:</t>
  </si>
  <si>
    <t>• Marketing.
• Telemarketing.
• Ventas.</t>
  </si>
  <si>
    <t>SOCIEDAD DE RESPONSABILIDAD LIMITADA con un capital social de 3100 euros</t>
  </si>
  <si>
    <t>Régimen general de IVA e IMPUESTO DE SOCIEDADES</t>
  </si>
  <si>
    <t>560,2 ; 360,5 ; 780,2</t>
  </si>
  <si>
    <t>Régimen especial de autónomos</t>
  </si>
  <si>
    <t>Externa</t>
  </si>
  <si>
    <t>Interno</t>
  </si>
  <si>
    <t>Administrador único</t>
  </si>
  <si>
    <t>Externo</t>
  </si>
  <si>
    <t>Ninguno</t>
  </si>
  <si>
    <t>2 años</t>
  </si>
  <si>
    <t>El único socio de la empresa aparte de ser socio capitalista será socio trabajador</t>
  </si>
  <si>
    <t>La empresa tiene previsto la contratación de un seguro de responsabilidad para el local de ubicación de sus instalaciones.</t>
  </si>
  <si>
    <t>Solicitud de licencia para despacho profesional. Estado: en tramitación</t>
  </si>
  <si>
    <t>Francisco Pérez González</t>
  </si>
  <si>
    <t>Atención al público</t>
  </si>
  <si>
    <t>Administrativo</t>
  </si>
  <si>
    <t>Contrato indefinido</t>
  </si>
  <si>
    <t>6 meses</t>
  </si>
  <si>
    <t>08:00 - 15:00</t>
  </si>
  <si>
    <t>Completa</t>
  </si>
  <si>
    <t>María Morales Peña</t>
  </si>
  <si>
    <t xml:space="preserve">Administración </t>
  </si>
  <si>
    <t>Convenio aplicable al sector</t>
  </si>
  <si>
    <t>Javier Piña Romero</t>
  </si>
  <si>
    <t>Teleoperador</t>
  </si>
  <si>
    <t xml:space="preserve"> </t>
  </si>
  <si>
    <t>30% del Salario base.</t>
  </si>
  <si>
    <t>08.00 - 15:00</t>
  </si>
  <si>
    <t>Dependiente de la Dirección de Desarrollo de Proyectos:</t>
  </si>
  <si>
    <t>Agustín Serrano Martín</t>
  </si>
  <si>
    <t>Externalización del área de Prevención de Riesgos laborales a la Empresa PREVENCIÓN S.L</t>
  </si>
  <si>
    <t>• Desarrollo de proyectos.
• Investigación y desarrollo CMS.</t>
  </si>
  <si>
    <t>Investigador</t>
  </si>
  <si>
    <t>Investigación de Mercados</t>
  </si>
  <si>
    <t>La política de contratación de la empresa se rige por el principio de favorecer la zona de ubicación de la empresa en este sentido se ha fijado como directriz que la contratación de todo el personal necesario será residente en dicha zona.</t>
  </si>
  <si>
    <t>• Atención al Cliente.• Control de Calidad</t>
  </si>
  <si>
    <t>• Administración y finanzas.• Recursos Humanos y formación.• Servicios y mantenimiento</t>
  </si>
  <si>
    <t>• Marketing.• Telemarketing.• Ventas.</t>
  </si>
  <si>
    <t>• Desarrollo de proyectos.• Investigación y desarrollo CMS.</t>
  </si>
  <si>
    <t>Por compras</t>
  </si>
  <si>
    <t>(BENEFICIO NETO+AMORTIZACIONES)/ (EC/P+EL/P)</t>
  </si>
  <si>
    <t>RESULTADO DEL EJERCICIO + AMORTIZACIONES + PROVISIONES</t>
  </si>
  <si>
    <t>(EXIGIBLE C/P+EXIGIBLE L/P) / TOTAL PASIVO</t>
  </si>
  <si>
    <t>(REALIZABLE+DISPONIBLE)/EXIGIBLE CORTO PLAZO</t>
  </si>
  <si>
    <t>AC-EXIGIBLE CORTO PLAZO</t>
  </si>
  <si>
    <t>La principal barrera que se encuentra la empresa para su introducción en el mercado es la existencia de competidores muy experimentados con un gran conocimento del mercado que han obtenido tras una larga trayectoria de desarrollo a lo largo de sus 15 años de existencia. A parte del gran conocimiento del mercado, uno de los principales competidores y que actualmente ocupa un puesto de liderazgo dentro del sector, marcando el referente para el resto, desarrolla una excelente estrategia de recursos humanos orientada a la busqueda de perfiles altamente cualificados para la integración dentro de su equipo lo que le lleva a obtener una gran ventaja competitiva frente al resto.</t>
  </si>
  <si>
    <t>Métodos venta</t>
  </si>
  <si>
    <t>Hacienda deudora por IVA</t>
  </si>
  <si>
    <t>Mano de obra indirecta (salarios + S.S.)</t>
  </si>
  <si>
    <t>Impuesto de sociedades</t>
  </si>
  <si>
    <t>IVA Repercutido Sr.</t>
  </si>
  <si>
    <t>IVA Repercutido Rd.</t>
  </si>
  <si>
    <t>IVA Repercutido Gen.</t>
  </si>
  <si>
    <t>IVA Soportado Sr.</t>
  </si>
  <si>
    <t>IVA Soportado Rd.</t>
  </si>
  <si>
    <t>IVA Soportado Gen.</t>
  </si>
  <si>
    <t>Hac. Deudora IVA</t>
  </si>
  <si>
    <t>Año1 (*)</t>
  </si>
  <si>
    <t>Año 2 (*)</t>
  </si>
  <si>
    <t>Año 3 (*)</t>
  </si>
  <si>
    <t>(*)</t>
  </si>
  <si>
    <t>Cuota calculada mediante tabla de amortización de préstamo</t>
  </si>
  <si>
    <t>Principal</t>
  </si>
  <si>
    <t>Intereses</t>
  </si>
  <si>
    <t>TOTAL</t>
  </si>
  <si>
    <t>Coste de las ventas</t>
  </si>
  <si>
    <t>Margen bruto</t>
  </si>
  <si>
    <t>Serv. Profesionales</t>
  </si>
  <si>
    <t>Reparac. y conserv.</t>
  </si>
  <si>
    <t>M. obra indirecta (salarios + S.S.)</t>
  </si>
  <si>
    <t>Total gastos gener.</t>
  </si>
  <si>
    <t>Nota: Se supone que los tipos de IVA repercutido y soportado de los años 2 y 3 son proporcionales a los del año 1.</t>
  </si>
  <si>
    <t>BAIT</t>
  </si>
  <si>
    <t>Tributos</t>
  </si>
  <si>
    <t xml:space="preserve">Después de los desafortunados años de la burbuja de las puntocom, Internet ha renacido y se está transformando en una herramienta publicitaria y de comunicación directa con el cliente ,de primera magnitud. Nadie duda en el sector de la publicidad y el marketing, que la web es el canal del siglo XXI y que – lejos de pasadas fantasías – será el medio por excelencia tanto por complementariedad como por sí mismo.Hoy en día, con los altísimos niveles de saturación publicitaria, Internet surge como la mejor alternativa para la durabilidad y profundidad de las campañas. De igual modo, se convierte en la herramienta protagonista de las nuevas tendencias en marketing (guerrilla marketing – buzzmarketing) y ofrece nuevas oportunidades tanto a las grandes corporaciones como a las pequeñas empresas. Sólo con observar las campañas publicitarias de los líderes (que siempre aparecen vinculadas a un sitio web) nos podemos dar cuenta de la importancia de este renacer. Por todo ello no tenemos ninguna duda de que Internet es y, sobre todo, se convertirá a corto plazo, en el primer canal publicitario y de actuación comercial de la mayor parte de las empresas.
</t>
  </si>
  <si>
    <t>Internet Business Services se proyecta como una compañía de servicios especializada en la implementación de proyectos en Internet para terceras empresas.
Esencialmente en tres líneas estratégicas:
1. Gestión de los canales: Implementación y optimización de campañas publicitarias y de guerrilla-marketing en Internet.
2. Desarrollo de contenidos: Desarrollo técnico de sitios y páginas web, muy especialmente las orientadas a la web 2.0 y al e-commerce.
3. Gestión, optimización y mantenimiento técnico de los sitios.
Los clientes naturales de IBS serán:
1. Clientes directos: Empresas que desean desarrollar sus campañas en Internet u optimizar y/o relanzar sus sitios.
2. Clientes indirectos: Agencias de publicidad que precisan desarrollos en Internet y prefieren subcontratar dichos servicios.</t>
  </si>
  <si>
    <t>Luis García Rodriguez</t>
  </si>
  <si>
    <t xml:space="preserve">Cristina Gómez Sánchez </t>
  </si>
  <si>
    <t>Licenciado en Ciencias Económicas por la Universidad Autónoma de Madrid y MBA por la Illinois University, con más de 10 años de experiencia en el sector de las nuevas tecnologías es el actual Director de Marketing de GHMN Group. Empresa especializada en proveer tecnología a medianas y pequeñas empresas con más de 25.000 clientes en España.</t>
  </si>
  <si>
    <t>Licenciada en Ciencias Exactas por la Universidad de Barcelona y Master en IT por GHF Zurich. 8 años de experiencia en desarrollo de proyectos informáticos, actualmente es Jefe de Proyectos de HJK (Basilea) empresa especializada en desarrollos para grandes corporaciones en Suiza y otros países europeos.</t>
  </si>
  <si>
    <t>Jesús Martín Román</t>
  </si>
  <si>
    <t>Con más de 11 años de experiencia en el sector de la publicidad y el marketing, actualmente es Director de e-marketing de Gordon Associates (Liverpool) reconocida agencia de publicidad británica con más de 2.000 clientes en el mundo. Jesús ha sido autor de diversas campañas de marketing premiadas en Internet y tiene una enorme experiencia en implementación de campañas web de gran difusión.</t>
  </si>
  <si>
    <t>Juana Gutiérrez Fernández</t>
  </si>
  <si>
    <t>Es licenciada en informática por el Caltech, experta en desarrollos web y gestores de contenidos, actualmente es Directora del proyecto de seguridad web para una conocida corporación universitaria privada. A pesar de su juventud ha obtenido diversos galardones con sus desarrollos.</t>
  </si>
  <si>
    <t>María Nuñez Garrido</t>
  </si>
  <si>
    <t>Es licenciada en Administración y Dirección de Empresas por la Universidad de Valencia. Ha trabajado como directora del departamento de contabilidad de una empresa multinacional durante 10 años. Actualmente ocupa un puesto directivo dentro del equipo de desarrollo estratégico de la multinacional Proping S.A.</t>
  </si>
  <si>
    <t>Mismo producto</t>
  </si>
  <si>
    <t>Buena</t>
  </si>
  <si>
    <t>Media</t>
  </si>
  <si>
    <t>Mala</t>
  </si>
  <si>
    <t>ninguno</t>
  </si>
  <si>
    <t>Metro Lineas 2, 3, 6</t>
  </si>
  <si>
    <t>Por parte del promotor</t>
  </si>
  <si>
    <t>10 años</t>
  </si>
  <si>
    <t>5 años</t>
  </si>
  <si>
    <t>Excelente</t>
  </si>
  <si>
    <t>Ferias</t>
  </si>
  <si>
    <t>Contactos</t>
  </si>
  <si>
    <t>Específica</t>
  </si>
  <si>
    <t>Asesoria</t>
  </si>
  <si>
    <t>Proveedores de sistemas informáticos.</t>
  </si>
  <si>
    <t>Bueno</t>
  </si>
  <si>
    <t xml:space="preserve">Medio </t>
  </si>
  <si>
    <t xml:space="preserve">2 años </t>
  </si>
  <si>
    <t>3 años</t>
  </si>
  <si>
    <t>Páginas web</t>
  </si>
  <si>
    <t xml:space="preserve">La comercialización de nuestros servicios se orientará en tres líneas:
1ª Pack integral de campaña, previo presupuesto adecuado al volumen y de coste
cerrado.
2º Servicios de coste acumulativo con pago de fee mensual y contratación anual.
3º Servicios puntuales con presupuesto cerrado y adecuado al volumen de
compras.
Se adjunta lista de servicios y precios según volumen
</t>
  </si>
  <si>
    <t>Diseño de campaña</t>
  </si>
  <si>
    <t>Buena posición frente a los competidores.</t>
  </si>
  <si>
    <t xml:space="preserve">El objetivo de nuestro Plan especial de Lanzamiento es obtener notoriedad desde el primer minuto. No somos una empresa más, queremos hacernos notar en todos los ámbitos y para ello desarrollaremos una suma de acciones y mini-campañas que pretenden generar un efecto novedad positivo para nuestros intereses.
Nuestros objetivos son:
1.- Hacernos notar: que las empresas de nuestro entorno nos conozcan a la mayor brevedad.
2.- Posicionarnos desde el primer momento como una compañía muy relevante que aporta calidad y valor añadido
</t>
  </si>
  <si>
    <t>Año3</t>
  </si>
  <si>
    <t>TOTAL AMORTIZACIÓN</t>
  </si>
  <si>
    <t>Incremento previsto costes variables (%)</t>
  </si>
  <si>
    <t>Incremento previsto costes fijos (%)</t>
  </si>
  <si>
    <t>IVA Sop. Inv.</t>
  </si>
  <si>
    <t>IVA Sop. Compr.</t>
  </si>
  <si>
    <t>IVA Sop. TOTAL</t>
  </si>
  <si>
    <t>IVA Rep-Sop</t>
  </si>
  <si>
    <t>IVA a pagar</t>
  </si>
  <si>
    <t>Devolución ptmo. Lp.</t>
  </si>
  <si>
    <t>Devolución ptmo. Cp.</t>
  </si>
  <si>
    <t>Total año 1</t>
  </si>
  <si>
    <t>HOJA 7</t>
  </si>
  <si>
    <t>Total año 2</t>
  </si>
  <si>
    <t>Total año 3</t>
  </si>
  <si>
    <t>HOJA 3</t>
  </si>
  <si>
    <t>HOJA 4</t>
  </si>
  <si>
    <t>HOJA 5</t>
  </si>
  <si>
    <t>HOJA 6</t>
  </si>
  <si>
    <t>Mes 13</t>
  </si>
  <si>
    <t>Mes 14</t>
  </si>
  <si>
    <t>Mes 15</t>
  </si>
  <si>
    <t>Mes 16</t>
  </si>
  <si>
    <t>Mes 17</t>
  </si>
  <si>
    <t>Mes 18</t>
  </si>
  <si>
    <t>Mes 19</t>
  </si>
  <si>
    <t>Mes 20</t>
  </si>
  <si>
    <t>Mes 21</t>
  </si>
  <si>
    <t>Mes 22</t>
  </si>
  <si>
    <t>Mes 23</t>
  </si>
  <si>
    <t>Mes 24</t>
  </si>
  <si>
    <t>Mes 25</t>
  </si>
  <si>
    <t>Mes 26</t>
  </si>
  <si>
    <t>Mes 27</t>
  </si>
  <si>
    <t>Mes 28</t>
  </si>
  <si>
    <t>Mes 29</t>
  </si>
  <si>
    <t>Mes 30</t>
  </si>
  <si>
    <t>Mes 31</t>
  </si>
  <si>
    <t>Mes 32</t>
  </si>
  <si>
    <t>Mes 33</t>
  </si>
  <si>
    <t>Mes 34</t>
  </si>
  <si>
    <t>Mes 35</t>
  </si>
  <si>
    <t>Mes 36</t>
  </si>
  <si>
    <t>Por Impuesto Socied.</t>
  </si>
  <si>
    <t>Capital inicial:</t>
  </si>
  <si>
    <t>Tipo de interés nominal:</t>
  </si>
  <si>
    <t>Prepagable (1) o pospagable (0)</t>
  </si>
  <si>
    <t>Periodos de pago</t>
  </si>
  <si>
    <t xml:space="preserve">Cuota </t>
  </si>
  <si>
    <t>Amortización del principal</t>
  </si>
  <si>
    <t>Amortización acumulada del principal</t>
  </si>
  <si>
    <t>Capital pendiente</t>
  </si>
  <si>
    <t>Plazo en años (máximo 10 años):</t>
  </si>
  <si>
    <t>Periodos de pago/año:</t>
  </si>
  <si>
    <t>Plazo (años)</t>
  </si>
  <si>
    <t>Intereses deuda Lp.</t>
  </si>
  <si>
    <t>Impuesto Sociedades</t>
  </si>
  <si>
    <t>BAT</t>
  </si>
  <si>
    <t>BDT</t>
  </si>
  <si>
    <t>Por gastos generales</t>
  </si>
  <si>
    <t>Mano obra indirecta</t>
  </si>
  <si>
    <t>Exigible a  L/P</t>
  </si>
  <si>
    <t>Exigible a  C/P</t>
  </si>
  <si>
    <t>Otras deudas a corto plazo</t>
  </si>
  <si>
    <t>Otras deudas a l/p (Aportación socios)</t>
  </si>
  <si>
    <t>Coste año</t>
  </si>
  <si>
    <t>Total de ventas y compras primer año</t>
  </si>
  <si>
    <t>¡Atención! Ventas y compras sin IVA</t>
  </si>
  <si>
    <t xml:space="preserve">Dirección de la empresa.
- Administración de la empresa:
La empresa estará dirigida por un Consejo de Administración formado por 5 miembros y un secretario no consejero.
- Composición inicial:
Presidente: Julián Varcárcel.
Consejero Delegado: Luís García.
Vocal: Helena Sánchez
2 vocales a disposición de nuevos inversores.
Secretario no consejero: Jesús Román.
- Dirección operativa: Comité de Dirección
Director General: Luís García.
Director Financiero: pendiente de selección.
Director de Marketing y Ventas: Jesús Román.
Director Técnico: Helena Sánchez.
Directora de Proyectos de Desarrollo: Juana Fernández.
</t>
  </si>
  <si>
    <t>La actual sociedad ha registrado las siguientes marcas y patentes:
- IBS CMS, Internet Business Services, Ibs.es, Ibs.com y 14 derivados similares.</t>
  </si>
  <si>
    <t>La estrategia fijada para la gestión de la empresa gira entorno a la coordinación y participación de todas las personas integrantes en la misma.</t>
  </si>
  <si>
    <t>Incremento anual previsto ventas (%)</t>
  </si>
  <si>
    <t>Incremento anual previsto compras (%)</t>
  </si>
  <si>
    <t xml:space="preserve">Tal y como hemos indicado, nuestras líneas de producto y servicio tienen tres vértices:
1º Desarrollo e implantación de campañas de marketing en Internet.
Naturalmente este servicio se prestará y orientará a medida de las necesidades
de cada cliente pero sobre la base de tres opciones:
(a) Diseño y planificación de campañas.
Incluyendo los conceptos estratégicos y los contenidos.
(b) Lanzamiento y gestión de dichas campañas por cuenta del cliente.
(c) Optimización de las campañas y-o formación del personal del cliente.
Las tres opciones son independientes entre sí pero – lógicamente – pueden
estar integradas en un único “pack” con un fee mensual ventajoso para el
propio cliente.
2º Desarrollo de los sitios web.
Mediante nuestro CMS exclusivo estaremos en condiciones de generar sitios web
en un plazo mínimo y a muy bajo coste, incluyendo sitios de e-commerce o que
requieran de transacciones económicas.
Este servicio también dispondrá de tres opciones o niveles:
(a) Diseño y desarrollo técnico del sitio.
(b) Desarrollo de contenidos no específicos.
(c) Implementación, puesta en marcha y formación de personal del cliente
para la gestión del CMS (cliente).
3º Gestión, actualización y mantenimiento de dichos sitios.
El tercer eje de servicio se fundamentará en la gestión y el mantenimiento de los
sitios generados, gracias a nuestros CMS se dispondrá de un sistema de gestión y
control centralizado y de bajo coste que permitirá mecanizar las tareas
repetitivas y monitorizar un alto volumen de sitios web dejando el
mantenimiento y la actualización específica del sitio al personal responsable del
cliente.
En esta línea ofreceremos dos productos diferenciales:
(a) Mantenimiento técnico y control de las webs en formato “pack por
volumen”.
(b) Formación del personal del cliente en la gestión del CMS (cliente).
Garantía de satisfacción:
Un elemento clave en la comercialización de nuestros servicios será la garantía
de satisfacción por la cual nos comprometemos al cumplimiento de unos
timings, unos estándares de calidad y de reparación de errores.
Esta garantía, junto al preceptivo contrato de prestación de servicios será el
elemento diferencial concreto más importante de nuestra política comercial.
Por otro lado, dicha garantía representará formalmente las obligaciones legales
que tenemos (todos) en la prestación de un servicio y establecerá un marco
“normativo” en forma positiva para la resolución de potenciales conflictos. En
definitiva será un punto fuerte de cara a la confianza del cliente pero no un
riesgo adicional para el negocio, todo lo contrario.
</t>
  </si>
  <si>
    <t xml:space="preserve">Nuestros potenciales clientes son:
1. Todas las empresas radicadas en la Comunidad de Madrid que deseen desarrollar u optimizar sus actividades en la web.
2. Las agencias de publicidad y empresas de servicios a terceros que deseen subcontratar sus campañas.
Los targets a los que nos dirigimos son, esencialmente:
Clientes - objetivo a corto plazo:
1º Empresas de más de 5 millones de facturación anual que venden sus productos al consumidor.
2º Cualquier empresa o proyecto que haga de Internet un medio esencial.
3º Agencias de publicidad medianas y pequeñas.
4º Cualquier AP que desee subcontratar este servicio.
Estos son los targets a los que vamos a dirigir nuestros esfuerzos preferentes,
debido a las dificultades de segmentación detallada dirigiremos nuestro esfuerzo
publicitario al conjunto de empresas de la comunidad y, naturalmente, no
rechazaremos ni perderemos ninguna oportunidad interesante
</t>
  </si>
  <si>
    <t>Tipo contrato</t>
  </si>
  <si>
    <t>Costes seg. social</t>
  </si>
  <si>
    <t>Costes s.s. autónom.</t>
  </si>
  <si>
    <t>Pérdidas y Ganancias más Reservas</t>
  </si>
  <si>
    <t>Consultoría</t>
  </si>
  <si>
    <t>La oficina estará ubicada en la C/ Ramón Alvarez nº 135. 28015 Madrid</t>
  </si>
  <si>
    <t>Administraciones públicas IVA</t>
  </si>
  <si>
    <t>Administraciones Públicas Imp. directos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</si>
</sst>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1" formatCode="_-* #,##0\ _€_-;\-* #,##0\ _€_-;_-* &quot;-&quot;\ _€_-;_-@_-"/>
    <numFmt numFmtId="43" formatCode="_-* #,##0.00\ _€_-;\-* #,##0.00\ _€_-;_-* &quot;-&quot;??\ _€_-;_-@_-"/>
    <numFmt numFmtId="164" formatCode="_-* #,##0.00_-;\-* #,##0.00_-;_-* &quot;-&quot;??_-;_-@_-"/>
    <numFmt numFmtId="165" formatCode="0.0%"/>
    <numFmt numFmtId="166" formatCode="#,##0.00_ ;\-#,##0.00\ "/>
    <numFmt numFmtId="167" formatCode="#,##0.0"/>
  </numFmts>
  <fonts count="32">
    <font>
      <sz val="10"/>
      <name val="Arial"/>
    </font>
    <font>
      <sz val="10"/>
      <name val="Arial"/>
      <family val="2"/>
    </font>
    <font>
      <sz val="8"/>
      <name val="Arial"/>
      <family val="2"/>
    </font>
    <font>
      <b/>
      <sz val="14"/>
      <name val="Arial"/>
      <family val="2"/>
    </font>
    <font>
      <b/>
      <sz val="10"/>
      <color indexed="9"/>
      <name val="Arial"/>
      <family val="2"/>
    </font>
    <font>
      <sz val="10"/>
      <color indexed="9"/>
      <name val="Arial"/>
      <family val="2"/>
    </font>
    <font>
      <sz val="10"/>
      <name val="Arial"/>
      <family val="2"/>
    </font>
    <font>
      <b/>
      <sz val="18"/>
      <name val="Arial"/>
      <family val="2"/>
    </font>
    <font>
      <b/>
      <sz val="10"/>
      <name val="Arial"/>
      <family val="2"/>
    </font>
    <font>
      <sz val="10"/>
      <color indexed="12"/>
      <name val="Arial"/>
      <family val="2"/>
    </font>
    <font>
      <b/>
      <sz val="10"/>
      <color indexed="10"/>
      <name val="Arial"/>
      <family val="2"/>
    </font>
    <font>
      <sz val="10"/>
      <color indexed="48"/>
      <name val="Arial"/>
      <family val="2"/>
    </font>
    <font>
      <b/>
      <sz val="10"/>
      <color indexed="12"/>
      <name val="Arial"/>
      <family val="2"/>
    </font>
    <font>
      <b/>
      <sz val="10"/>
      <color indexed="9"/>
      <name val="Arial"/>
      <family val="2"/>
    </font>
    <font>
      <vertAlign val="subscript"/>
      <sz val="10"/>
      <color indexed="9"/>
      <name val="Arial"/>
      <family val="2"/>
    </font>
    <font>
      <b/>
      <sz val="8"/>
      <color indexed="9"/>
      <name val="Arial"/>
      <family val="2"/>
    </font>
    <font>
      <sz val="8"/>
      <color indexed="9"/>
      <name val="Arial"/>
      <family val="2"/>
    </font>
    <font>
      <b/>
      <sz val="14"/>
      <color indexed="9"/>
      <name val="Museo 700"/>
      <family val="3"/>
    </font>
    <font>
      <sz val="10"/>
      <color indexed="9"/>
      <name val="Museo 300"/>
      <family val="3"/>
    </font>
    <font>
      <b/>
      <sz val="18"/>
      <color indexed="9"/>
      <name val="Museo 700"/>
      <family val="3"/>
    </font>
    <font>
      <b/>
      <sz val="10"/>
      <color indexed="9"/>
      <name val="Museo 700"/>
      <family val="3"/>
    </font>
    <font>
      <sz val="10"/>
      <color indexed="9"/>
      <name val="Museo 700"/>
      <family val="3"/>
    </font>
    <font>
      <i/>
      <sz val="10"/>
      <name val="Arial"/>
      <family val="2"/>
    </font>
    <font>
      <b/>
      <sz val="8"/>
      <name val="Arial"/>
      <family val="2"/>
    </font>
    <font>
      <sz val="8"/>
      <name val="Arial"/>
      <family val="2"/>
    </font>
    <font>
      <sz val="14"/>
      <name val="Arial"/>
      <family val="2"/>
    </font>
    <font>
      <sz val="6"/>
      <name val="Arial"/>
      <family val="2"/>
    </font>
    <font>
      <b/>
      <sz val="18"/>
      <color indexed="9"/>
      <name val="Arial"/>
      <family val="2"/>
    </font>
    <font>
      <b/>
      <sz val="14"/>
      <color indexed="9"/>
      <name val="Arial"/>
      <family val="2"/>
    </font>
    <font>
      <sz val="10"/>
      <color indexed="9"/>
      <name val="Arial"/>
      <family val="2"/>
    </font>
    <font>
      <b/>
      <sz val="16"/>
      <color indexed="9"/>
      <name val="Arial"/>
      <family val="2"/>
    </font>
    <font>
      <b/>
      <sz val="9"/>
      <name val="Arial"/>
      <family val="2"/>
    </font>
  </fonts>
  <fills count="14">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26"/>
        <bgColor indexed="64"/>
      </patternFill>
    </fill>
    <fill>
      <patternFill patternType="solid">
        <fgColor indexed="23"/>
        <bgColor indexed="64"/>
      </patternFill>
    </fill>
    <fill>
      <patternFill patternType="solid">
        <fgColor indexed="50"/>
        <bgColor indexed="64"/>
      </patternFill>
    </fill>
    <fill>
      <patternFill patternType="solid">
        <fgColor indexed="54"/>
        <bgColor indexed="64"/>
      </patternFill>
    </fill>
    <fill>
      <patternFill patternType="solid">
        <fgColor indexed="29"/>
        <bgColor indexed="64"/>
      </patternFill>
    </fill>
    <fill>
      <patternFill patternType="solid">
        <fgColor indexed="45"/>
        <bgColor indexed="64"/>
      </patternFill>
    </fill>
    <fill>
      <patternFill patternType="solid">
        <fgColor indexed="25"/>
        <bgColor indexed="64"/>
      </patternFill>
    </fill>
    <fill>
      <patternFill patternType="solid">
        <fgColor indexed="43"/>
        <bgColor indexed="64"/>
      </patternFill>
    </fill>
    <fill>
      <patternFill patternType="gray0625">
        <fgColor indexed="26"/>
        <bgColor indexed="26"/>
      </patternFill>
    </fill>
    <fill>
      <patternFill patternType="solid">
        <fgColor indexed="5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s>
  <cellStyleXfs count="3">
    <xf numFmtId="0" fontId="0" fillId="0" borderId="0"/>
    <xf numFmtId="41" fontId="1" fillId="0" borderId="0" applyFont="0" applyFill="0" applyBorder="0" applyAlignment="0" applyProtection="0"/>
    <xf numFmtId="164" fontId="1" fillId="0" borderId="0" applyFont="0" applyFill="0" applyBorder="0" applyAlignment="0" applyProtection="0"/>
  </cellStyleXfs>
  <cellXfs count="322">
    <xf numFmtId="0" fontId="0" fillId="0" borderId="0" xfId="0"/>
    <xf numFmtId="0" fontId="3" fillId="0" borderId="0" xfId="0" applyFont="1"/>
    <xf numFmtId="4" fontId="0" fillId="0" borderId="0" xfId="0" applyNumberFormat="1"/>
    <xf numFmtId="4" fontId="4" fillId="0" borderId="0" xfId="0" applyNumberFormat="1" applyFont="1" applyAlignment="1">
      <alignment wrapText="1"/>
    </xf>
    <xf numFmtId="4" fontId="0" fillId="0" borderId="0" xfId="0" applyNumberFormat="1" applyAlignment="1">
      <alignment wrapText="1"/>
    </xf>
    <xf numFmtId="1" fontId="0" fillId="0" borderId="0" xfId="0" applyNumberFormat="1"/>
    <xf numFmtId="0" fontId="1" fillId="0" borderId="0" xfId="0" applyFont="1"/>
    <xf numFmtId="3" fontId="0" fillId="0" borderId="0" xfId="0" applyNumberFormat="1"/>
    <xf numFmtId="0" fontId="5" fillId="0" borderId="0" xfId="0" applyFont="1"/>
    <xf numFmtId="0" fontId="4" fillId="0" borderId="0" xfId="0" applyFont="1" applyAlignment="1">
      <alignment wrapText="1"/>
    </xf>
    <xf numFmtId="3" fontId="1" fillId="2" borderId="0" xfId="0" applyNumberFormat="1" applyFont="1" applyFill="1" applyAlignment="1">
      <alignment wrapText="1"/>
    </xf>
    <xf numFmtId="3" fontId="4" fillId="2" borderId="0" xfId="0" applyNumberFormat="1" applyFont="1" applyFill="1" applyAlignment="1">
      <alignment wrapText="1"/>
    </xf>
    <xf numFmtId="3" fontId="9" fillId="0" borderId="0" xfId="0" applyNumberFormat="1" applyFont="1" applyAlignment="1">
      <alignment wrapText="1"/>
    </xf>
    <xf numFmtId="3" fontId="1" fillId="0" borderId="0" xfId="0" applyNumberFormat="1" applyFont="1" applyAlignment="1">
      <alignment wrapText="1"/>
    </xf>
    <xf numFmtId="3" fontId="0" fillId="0" borderId="0" xfId="0" applyNumberFormat="1" applyAlignment="1">
      <alignment wrapText="1"/>
    </xf>
    <xf numFmtId="3" fontId="1" fillId="0" borderId="0" xfId="0" applyNumberFormat="1" applyFont="1"/>
    <xf numFmtId="3" fontId="4" fillId="0" borderId="0" xfId="0" applyNumberFormat="1" applyFont="1" applyAlignment="1">
      <alignment wrapText="1"/>
    </xf>
    <xf numFmtId="4" fontId="4" fillId="2" borderId="0" xfId="0" applyNumberFormat="1" applyFont="1" applyFill="1" applyAlignment="1">
      <alignment wrapText="1"/>
    </xf>
    <xf numFmtId="0" fontId="7" fillId="0" borderId="0" xfId="0" applyFont="1" applyAlignment="1">
      <alignment horizontal="center" vertical="center"/>
    </xf>
    <xf numFmtId="4" fontId="4" fillId="2" borderId="0" xfId="0" applyNumberFormat="1" applyFont="1" applyFill="1" applyAlignment="1">
      <alignment horizontal="center" wrapText="1"/>
    </xf>
    <xf numFmtId="0" fontId="4" fillId="2" borderId="0" xfId="0" applyFont="1" applyFill="1" applyAlignment="1">
      <alignment horizontal="center" wrapText="1"/>
    </xf>
    <xf numFmtId="0" fontId="4" fillId="0" borderId="0" xfId="0" applyFont="1" applyAlignment="1">
      <alignment horizontal="left" wrapText="1"/>
    </xf>
    <xf numFmtId="1" fontId="4" fillId="0" borderId="0" xfId="0" applyNumberFormat="1" applyFont="1" applyAlignment="1">
      <alignment horizontal="left" wrapText="1"/>
    </xf>
    <xf numFmtId="4" fontId="4" fillId="2" borderId="0" xfId="0" applyNumberFormat="1" applyFont="1" applyFill="1"/>
    <xf numFmtId="4" fontId="8" fillId="0" borderId="1" xfId="0" applyNumberFormat="1" applyFont="1" applyBorder="1"/>
    <xf numFmtId="4" fontId="4" fillId="0" borderId="0" xfId="0" applyNumberFormat="1" applyFont="1" applyAlignment="1">
      <alignment horizontal="center" wrapText="1"/>
    </xf>
    <xf numFmtId="4" fontId="0" fillId="0" borderId="1" xfId="0" applyNumberFormat="1" applyBorder="1"/>
    <xf numFmtId="3" fontId="6" fillId="0" borderId="0" xfId="0" applyNumberFormat="1" applyFont="1" applyAlignment="1">
      <alignment horizontal="left" wrapText="1"/>
    </xf>
    <xf numFmtId="3" fontId="4" fillId="2" borderId="0" xfId="0" applyNumberFormat="1" applyFont="1" applyFill="1" applyAlignment="1">
      <alignment horizontal="center" wrapText="1"/>
    </xf>
    <xf numFmtId="3" fontId="4" fillId="0" borderId="0" xfId="0" applyNumberFormat="1" applyFont="1" applyAlignment="1">
      <alignment horizontal="center" wrapText="1"/>
    </xf>
    <xf numFmtId="0" fontId="7" fillId="0" borderId="0" xfId="0" applyFont="1" applyAlignment="1">
      <alignment vertical="center"/>
    </xf>
    <xf numFmtId="4" fontId="11" fillId="0" borderId="0" xfId="0" applyNumberFormat="1" applyFont="1" applyAlignment="1">
      <alignment horizontal="left" wrapText="1"/>
    </xf>
    <xf numFmtId="0" fontId="4" fillId="0" borderId="0" xfId="0" applyFont="1" applyAlignment="1">
      <alignment horizontal="center" wrapText="1"/>
    </xf>
    <xf numFmtId="4" fontId="0" fillId="0" borderId="2" xfId="0" applyNumberFormat="1" applyBorder="1"/>
    <xf numFmtId="4" fontId="0" fillId="0" borderId="1" xfId="0" applyNumberFormat="1" applyBorder="1" applyAlignment="1">
      <alignment horizontal="right"/>
    </xf>
    <xf numFmtId="0" fontId="4" fillId="2" borderId="0" xfId="0" applyFont="1" applyFill="1" applyAlignment="1">
      <alignment horizontal="center" vertical="center" wrapText="1"/>
    </xf>
    <xf numFmtId="3" fontId="6" fillId="0" borderId="0" xfId="0" applyNumberFormat="1" applyFont="1"/>
    <xf numFmtId="0" fontId="4" fillId="2" borderId="0" xfId="0" applyFont="1" applyFill="1" applyAlignment="1">
      <alignment horizontal="center"/>
    </xf>
    <xf numFmtId="4" fontId="8" fillId="0" borderId="0" xfId="0" applyNumberFormat="1" applyFont="1"/>
    <xf numFmtId="3" fontId="4" fillId="2" borderId="0" xfId="0" applyNumberFormat="1" applyFont="1" applyFill="1" applyAlignment="1">
      <alignment horizontal="center" vertical="center" wrapText="1"/>
    </xf>
    <xf numFmtId="3" fontId="0" fillId="0" borderId="1" xfId="0" applyNumberFormat="1" applyBorder="1"/>
    <xf numFmtId="0" fontId="3" fillId="0" borderId="0" xfId="0" applyFont="1" applyAlignment="1">
      <alignment horizontal="left"/>
    </xf>
    <xf numFmtId="2" fontId="5" fillId="0" borderId="0" xfId="0" applyNumberFormat="1" applyFont="1"/>
    <xf numFmtId="1" fontId="5" fillId="0" borderId="0" xfId="0" applyNumberFormat="1" applyFont="1"/>
    <xf numFmtId="1" fontId="4" fillId="0" borderId="0" xfId="0" applyNumberFormat="1" applyFont="1" applyAlignment="1">
      <alignment wrapText="1"/>
    </xf>
    <xf numFmtId="0" fontId="8" fillId="0" borderId="0" xfId="0" applyFont="1"/>
    <xf numFmtId="4" fontId="5" fillId="0" borderId="0" xfId="0" applyNumberFormat="1" applyFont="1"/>
    <xf numFmtId="1" fontId="4" fillId="0" borderId="0" xfId="0" applyNumberFormat="1" applyFont="1" applyAlignment="1">
      <alignment horizontal="center" wrapText="1"/>
    </xf>
    <xf numFmtId="0" fontId="2" fillId="0" borderId="0" xfId="0" applyFont="1" applyAlignment="1">
      <alignment wrapText="1"/>
    </xf>
    <xf numFmtId="1" fontId="2" fillId="0" borderId="0" xfId="0" applyNumberFormat="1" applyFont="1" applyAlignment="1">
      <alignment wrapText="1"/>
    </xf>
    <xf numFmtId="1" fontId="8" fillId="0" borderId="0" xfId="0" applyNumberFormat="1" applyFont="1" applyAlignment="1">
      <alignment wrapText="1"/>
    </xf>
    <xf numFmtId="0" fontId="0" fillId="0" borderId="0" xfId="0" applyAlignment="1">
      <alignment horizontal="center"/>
    </xf>
    <xf numFmtId="0" fontId="3" fillId="0" borderId="0" xfId="0" applyFont="1" applyAlignment="1">
      <alignment vertical="center"/>
    </xf>
    <xf numFmtId="0" fontId="0" fillId="0" borderId="0" xfId="0" applyAlignment="1">
      <alignment vertical="top" wrapText="1"/>
    </xf>
    <xf numFmtId="4" fontId="6" fillId="0" borderId="0" xfId="0" applyNumberFormat="1" applyFont="1" applyAlignment="1">
      <alignment horizontal="center"/>
    </xf>
    <xf numFmtId="4" fontId="22" fillId="0" borderId="1" xfId="0" applyNumberFormat="1" applyFont="1" applyBorder="1"/>
    <xf numFmtId="165" fontId="6" fillId="0" borderId="0" xfId="0" applyNumberFormat="1" applyFont="1" applyAlignment="1">
      <alignment horizontal="center"/>
    </xf>
    <xf numFmtId="4" fontId="6" fillId="0" borderId="0" xfId="0" applyNumberFormat="1" applyFont="1" applyAlignment="1">
      <alignment horizontal="left"/>
    </xf>
    <xf numFmtId="4" fontId="22" fillId="0" borderId="0" xfId="0" applyNumberFormat="1" applyFont="1"/>
    <xf numFmtId="0" fontId="6" fillId="0" borderId="1" xfId="0" applyFont="1" applyBorder="1" applyAlignment="1">
      <alignment horizontal="center"/>
    </xf>
    <xf numFmtId="4" fontId="6" fillId="0" borderId="1" xfId="0" applyNumberFormat="1" applyFont="1" applyBorder="1"/>
    <xf numFmtId="0" fontId="6" fillId="0" borderId="0" xfId="0" applyFont="1"/>
    <xf numFmtId="41" fontId="6" fillId="0" borderId="0" xfId="1" applyFont="1" applyAlignment="1">
      <alignment horizontal="center"/>
    </xf>
    <xf numFmtId="9" fontId="6" fillId="0" borderId="0" xfId="0" applyNumberFormat="1" applyFont="1" applyAlignment="1">
      <alignment horizontal="center"/>
    </xf>
    <xf numFmtId="0" fontId="6" fillId="0" borderId="0" xfId="0" applyFont="1" applyAlignment="1">
      <alignment horizontal="center"/>
    </xf>
    <xf numFmtId="0" fontId="6" fillId="0" borderId="1" xfId="0" applyFont="1" applyBorder="1" applyAlignment="1">
      <alignment horizontal="center" vertical="center"/>
    </xf>
    <xf numFmtId="3" fontId="6" fillId="0" borderId="1" xfId="0" applyNumberFormat="1" applyFont="1" applyBorder="1" applyAlignment="1">
      <alignment horizontal="center"/>
    </xf>
    <xf numFmtId="4" fontId="8" fillId="0" borderId="0" xfId="0" applyNumberFormat="1" applyFont="1" applyAlignment="1">
      <alignment wrapText="1"/>
    </xf>
    <xf numFmtId="4" fontId="1" fillId="0" borderId="1" xfId="0" applyNumberFormat="1" applyFont="1" applyBorder="1" applyAlignment="1">
      <alignment wrapText="1"/>
    </xf>
    <xf numFmtId="4" fontId="1" fillId="0" borderId="1" xfId="0" applyNumberFormat="1" applyFont="1" applyBorder="1"/>
    <xf numFmtId="3" fontId="0" fillId="3" borderId="1" xfId="0" applyNumberFormat="1" applyFill="1" applyBorder="1"/>
    <xf numFmtId="4" fontId="0" fillId="3" borderId="1" xfId="0" applyNumberFormat="1" applyFill="1" applyBorder="1"/>
    <xf numFmtId="0" fontId="25" fillId="0" borderId="0" xfId="0" applyFont="1" applyAlignment="1">
      <alignment horizontal="justify"/>
    </xf>
    <xf numFmtId="0" fontId="0" fillId="0" borderId="3" xfId="0" applyBorder="1"/>
    <xf numFmtId="3" fontId="6" fillId="0" borderId="0" xfId="0" applyNumberFormat="1" applyFont="1" applyAlignment="1">
      <alignment horizontal="center"/>
    </xf>
    <xf numFmtId="4" fontId="6" fillId="0" borderId="1" xfId="0" applyNumberFormat="1" applyFont="1" applyBorder="1" applyAlignment="1">
      <alignment horizontal="right" vertical="center" wrapText="1"/>
    </xf>
    <xf numFmtId="4" fontId="6" fillId="0" borderId="1" xfId="1" applyNumberFormat="1" applyFont="1" applyBorder="1" applyAlignment="1">
      <alignment horizontal="right"/>
    </xf>
    <xf numFmtId="4" fontId="6" fillId="0" borderId="1" xfId="1" applyNumberFormat="1" applyFont="1" applyFill="1" applyBorder="1" applyAlignment="1">
      <alignment horizontal="right"/>
    </xf>
    <xf numFmtId="4" fontId="0" fillId="0" borderId="0" xfId="0" applyNumberFormat="1" applyAlignment="1">
      <alignment horizontal="right"/>
    </xf>
    <xf numFmtId="166" fontId="6" fillId="0" borderId="0" xfId="1" applyNumberFormat="1" applyFont="1" applyBorder="1" applyAlignment="1">
      <alignment horizontal="center"/>
    </xf>
    <xf numFmtId="0" fontId="26" fillId="0" borderId="0" xfId="0" applyFont="1"/>
    <xf numFmtId="0" fontId="17" fillId="0" borderId="0" xfId="0" applyFont="1"/>
    <xf numFmtId="0" fontId="18" fillId="0" borderId="0" xfId="0" applyFont="1"/>
    <xf numFmtId="0" fontId="20" fillId="0" borderId="0" xfId="0" applyFont="1" applyAlignment="1">
      <alignment horizontal="left"/>
    </xf>
    <xf numFmtId="0" fontId="20" fillId="0" borderId="0" xfId="0" applyFont="1"/>
    <xf numFmtId="0" fontId="4" fillId="0" borderId="0" xfId="0" applyFont="1" applyAlignment="1">
      <alignment horizontal="left"/>
    </xf>
    <xf numFmtId="0" fontId="6" fillId="4" borderId="1" xfId="0" applyFont="1" applyFill="1" applyBorder="1" applyAlignment="1" applyProtection="1">
      <alignment vertical="top"/>
      <protection locked="0"/>
    </xf>
    <xf numFmtId="0" fontId="28" fillId="0" borderId="0" xfId="0" applyFont="1"/>
    <xf numFmtId="0" fontId="29" fillId="0" borderId="0" xfId="0" applyFont="1"/>
    <xf numFmtId="0" fontId="28" fillId="0" borderId="0" xfId="0" applyFont="1" applyAlignment="1">
      <alignment horizontal="left"/>
    </xf>
    <xf numFmtId="4" fontId="0" fillId="4" borderId="1" xfId="0" applyNumberFormat="1" applyFill="1" applyBorder="1" applyProtection="1">
      <protection locked="0"/>
    </xf>
    <xf numFmtId="0" fontId="29" fillId="5" borderId="1" xfId="0" applyFont="1" applyFill="1" applyBorder="1" applyAlignment="1">
      <alignment horizontal="center" vertical="center" wrapText="1"/>
    </xf>
    <xf numFmtId="0" fontId="10" fillId="0" borderId="0" xfId="0" applyFont="1"/>
    <xf numFmtId="0" fontId="4" fillId="0" borderId="0" xfId="0" applyFont="1" applyAlignment="1">
      <alignment horizontal="center"/>
    </xf>
    <xf numFmtId="0" fontId="6" fillId="4" borderId="1" xfId="0" applyFont="1" applyFill="1" applyBorder="1" applyAlignment="1" applyProtection="1">
      <alignment horizontal="center"/>
      <protection locked="0"/>
    </xf>
    <xf numFmtId="0" fontId="21" fillId="0" borderId="0" xfId="0" applyFont="1"/>
    <xf numFmtId="0" fontId="17" fillId="0" borderId="0" xfId="0" applyFont="1" applyAlignment="1">
      <alignment horizontal="left"/>
    </xf>
    <xf numFmtId="0" fontId="0" fillId="0" borderId="0" xfId="0" applyAlignment="1">
      <alignment vertical="top"/>
    </xf>
    <xf numFmtId="0" fontId="4" fillId="0" borderId="0" xfId="0" applyFont="1"/>
    <xf numFmtId="0" fontId="6" fillId="0" borderId="0" xfId="0" applyFont="1" applyAlignment="1">
      <alignment vertical="top"/>
    </xf>
    <xf numFmtId="49" fontId="4" fillId="0" borderId="0" xfId="0" applyNumberFormat="1" applyFont="1" applyAlignment="1">
      <alignment horizontal="left" vertical="top"/>
    </xf>
    <xf numFmtId="49" fontId="6" fillId="0" borderId="0" xfId="0" applyNumberFormat="1" applyFont="1" applyAlignment="1">
      <alignment vertical="top"/>
    </xf>
    <xf numFmtId="0" fontId="4" fillId="6" borderId="0" xfId="0" applyFont="1" applyFill="1" applyAlignment="1">
      <alignment horizontal="center" vertical="top"/>
    </xf>
    <xf numFmtId="0" fontId="4" fillId="6" borderId="0" xfId="0" applyFont="1" applyFill="1"/>
    <xf numFmtId="0" fontId="8" fillId="0" borderId="0" xfId="0" applyFont="1" applyAlignment="1">
      <alignment horizontal="center"/>
    </xf>
    <xf numFmtId="4" fontId="6" fillId="4" borderId="1" xfId="0" applyNumberFormat="1" applyFont="1" applyFill="1" applyBorder="1" applyProtection="1">
      <protection locked="0"/>
    </xf>
    <xf numFmtId="16" fontId="6" fillId="4" borderId="1" xfId="0" applyNumberFormat="1" applyFont="1" applyFill="1" applyBorder="1" applyProtection="1">
      <protection locked="0"/>
    </xf>
    <xf numFmtId="0" fontId="4" fillId="7" borderId="0" xfId="0" applyFont="1" applyFill="1" applyAlignment="1">
      <alignment horizontal="left"/>
    </xf>
    <xf numFmtId="0" fontId="4" fillId="7" borderId="0" xfId="0" applyFont="1" applyFill="1" applyAlignment="1">
      <alignment horizontal="center"/>
    </xf>
    <xf numFmtId="4" fontId="6" fillId="0" borderId="0" xfId="0" applyNumberFormat="1" applyFont="1"/>
    <xf numFmtId="0" fontId="6" fillId="4" borderId="1" xfId="0" applyFont="1" applyFill="1" applyBorder="1" applyProtection="1">
      <protection locked="0"/>
    </xf>
    <xf numFmtId="4" fontId="0" fillId="0" borderId="4" xfId="0" applyNumberFormat="1" applyBorder="1"/>
    <xf numFmtId="10" fontId="0" fillId="4" borderId="0" xfId="0" applyNumberFormat="1" applyFill="1" applyProtection="1">
      <protection locked="0"/>
    </xf>
    <xf numFmtId="0" fontId="12" fillId="0" borderId="0" xfId="0" applyFont="1" applyAlignment="1">
      <alignment wrapText="1"/>
    </xf>
    <xf numFmtId="1" fontId="0" fillId="0" borderId="0" xfId="0" applyNumberFormat="1" applyAlignment="1">
      <alignment wrapText="1"/>
    </xf>
    <xf numFmtId="1" fontId="0" fillId="0" borderId="0" xfId="0" applyNumberFormat="1" applyAlignment="1">
      <alignment horizontal="left" wrapText="1"/>
    </xf>
    <xf numFmtId="1" fontId="12" fillId="0" borderId="0" xfId="0" applyNumberFormat="1" applyFont="1" applyAlignment="1">
      <alignment wrapText="1"/>
    </xf>
    <xf numFmtId="0" fontId="4" fillId="2" borderId="0" xfId="0" applyFont="1" applyFill="1" applyAlignment="1">
      <alignment wrapText="1"/>
    </xf>
    <xf numFmtId="1" fontId="1" fillId="0" borderId="0" xfId="0" applyNumberFormat="1" applyFont="1" applyAlignment="1">
      <alignment wrapText="1"/>
    </xf>
    <xf numFmtId="3" fontId="6" fillId="4" borderId="1" xfId="0" applyNumberFormat="1" applyFont="1" applyFill="1" applyBorder="1" applyAlignment="1" applyProtection="1">
      <alignment horizontal="center"/>
      <protection locked="0"/>
    </xf>
    <xf numFmtId="3" fontId="0" fillId="4" borderId="1" xfId="0" applyNumberFormat="1" applyFill="1" applyBorder="1" applyProtection="1">
      <protection locked="0"/>
    </xf>
    <xf numFmtId="4" fontId="13" fillId="2" borderId="0" xfId="0" applyNumberFormat="1" applyFont="1" applyFill="1" applyAlignment="1">
      <alignment horizontal="center"/>
    </xf>
    <xf numFmtId="4" fontId="13" fillId="0" borderId="0" xfId="0" applyNumberFormat="1" applyFont="1" applyAlignment="1">
      <alignment horizontal="center"/>
    </xf>
    <xf numFmtId="3" fontId="4" fillId="0" borderId="0" xfId="0" applyNumberFormat="1" applyFont="1" applyAlignment="1">
      <alignment horizontal="left" wrapText="1"/>
    </xf>
    <xf numFmtId="4" fontId="10" fillId="0" borderId="0" xfId="0" applyNumberFormat="1" applyFont="1" applyAlignment="1">
      <alignment horizontal="center"/>
    </xf>
    <xf numFmtId="3" fontId="0" fillId="0" borderId="0" xfId="0" applyNumberFormat="1" applyAlignment="1">
      <alignment horizontal="left" wrapText="1"/>
    </xf>
    <xf numFmtId="3" fontId="5" fillId="0" borderId="0" xfId="0" applyNumberFormat="1" applyFont="1"/>
    <xf numFmtId="3" fontId="5" fillId="0" borderId="0" xfId="0" applyNumberFormat="1" applyFont="1" applyAlignment="1">
      <alignment horizontal="center"/>
    </xf>
    <xf numFmtId="3" fontId="5" fillId="2" borderId="0" xfId="0" applyNumberFormat="1" applyFont="1" applyFill="1"/>
    <xf numFmtId="4" fontId="4" fillId="2" borderId="0" xfId="0" applyNumberFormat="1" applyFont="1" applyFill="1" applyAlignment="1">
      <alignment horizontal="center"/>
    </xf>
    <xf numFmtId="4" fontId="4" fillId="0" borderId="0" xfId="0" applyNumberFormat="1" applyFont="1" applyAlignment="1">
      <alignment horizontal="center"/>
    </xf>
    <xf numFmtId="4" fontId="4" fillId="0" borderId="0" xfId="0" applyNumberFormat="1" applyFont="1"/>
    <xf numFmtId="4" fontId="6" fillId="0" borderId="0" xfId="0" applyNumberFormat="1" applyFont="1" applyAlignment="1">
      <alignment horizontal="center" wrapText="1"/>
    </xf>
    <xf numFmtId="165" fontId="4" fillId="0" borderId="0" xfId="0" applyNumberFormat="1" applyFont="1" applyAlignment="1">
      <alignment horizontal="center"/>
    </xf>
    <xf numFmtId="4" fontId="8" fillId="0" borderId="0" xfId="0" applyNumberFormat="1" applyFont="1" applyAlignment="1">
      <alignment horizontal="center" wrapText="1"/>
    </xf>
    <xf numFmtId="9" fontId="0" fillId="0" borderId="0" xfId="0" applyNumberFormat="1"/>
    <xf numFmtId="3" fontId="0" fillId="0" borderId="3" xfId="0" applyNumberFormat="1" applyBorder="1"/>
    <xf numFmtId="9" fontId="0" fillId="4" borderId="0" xfId="0" applyNumberFormat="1" applyFill="1" applyProtection="1">
      <protection locked="0"/>
    </xf>
    <xf numFmtId="0" fontId="29" fillId="0" borderId="0" xfId="0" applyFont="1" applyAlignment="1">
      <alignment horizontal="left"/>
    </xf>
    <xf numFmtId="4" fontId="8" fillId="0" borderId="1" xfId="0" applyNumberFormat="1" applyFont="1" applyBorder="1" applyAlignment="1">
      <alignment horizontal="right"/>
    </xf>
    <xf numFmtId="4" fontId="4" fillId="2" borderId="0" xfId="0" applyNumberFormat="1" applyFont="1" applyFill="1" applyAlignment="1">
      <alignment horizontal="right" wrapText="1"/>
    </xf>
    <xf numFmtId="0" fontId="8" fillId="0" borderId="0" xfId="0" applyFont="1" applyAlignment="1">
      <alignment horizontal="center" vertical="center"/>
    </xf>
    <xf numFmtId="0" fontId="4" fillId="2" borderId="0" xfId="0" applyFont="1" applyFill="1" applyAlignment="1">
      <alignment horizontal="left"/>
    </xf>
    <xf numFmtId="0" fontId="4" fillId="2" borderId="5" xfId="0" applyFont="1" applyFill="1" applyBorder="1" applyAlignment="1">
      <alignment horizontal="left"/>
    </xf>
    <xf numFmtId="0" fontId="4" fillId="8" borderId="0" xfId="0" applyFont="1" applyFill="1"/>
    <xf numFmtId="10" fontId="4" fillId="8" borderId="5" xfId="0" applyNumberFormat="1" applyFont="1" applyFill="1" applyBorder="1"/>
    <xf numFmtId="0" fontId="4" fillId="9" borderId="0" xfId="0" applyFont="1" applyFill="1"/>
    <xf numFmtId="10" fontId="4" fillId="9" borderId="5" xfId="0" applyNumberFormat="1" applyFont="1" applyFill="1" applyBorder="1"/>
    <xf numFmtId="0" fontId="4" fillId="10" borderId="0" xfId="0" applyFont="1" applyFill="1"/>
    <xf numFmtId="10" fontId="4" fillId="10" borderId="5" xfId="0" applyNumberFormat="1" applyFont="1" applyFill="1" applyBorder="1"/>
    <xf numFmtId="0" fontId="4" fillId="2" borderId="0" xfId="0" applyFont="1" applyFill="1"/>
    <xf numFmtId="3" fontId="29" fillId="0" borderId="0" xfId="0" applyNumberFormat="1" applyFont="1"/>
    <xf numFmtId="2" fontId="0" fillId="0" borderId="0" xfId="0" applyNumberFormat="1" applyAlignment="1">
      <alignment horizontal="center"/>
    </xf>
    <xf numFmtId="3" fontId="5" fillId="2" borderId="0" xfId="0" applyNumberFormat="1" applyFont="1" applyFill="1" applyAlignment="1">
      <alignment horizontal="center"/>
    </xf>
    <xf numFmtId="0" fontId="5" fillId="2" borderId="0" xfId="0" applyFont="1" applyFill="1" applyAlignment="1">
      <alignment horizontal="center"/>
    </xf>
    <xf numFmtId="2" fontId="5" fillId="2" borderId="0" xfId="0" applyNumberFormat="1" applyFont="1" applyFill="1" applyAlignment="1">
      <alignment horizontal="center"/>
    </xf>
    <xf numFmtId="4" fontId="0" fillId="0" borderId="0" xfId="0" applyNumberFormat="1" applyAlignment="1">
      <alignment horizontal="center"/>
    </xf>
    <xf numFmtId="0" fontId="2" fillId="0" borderId="0" xfId="0" applyFont="1"/>
    <xf numFmtId="0" fontId="5" fillId="0" borderId="0" xfId="0" applyFont="1" applyAlignment="1">
      <alignment horizontal="center"/>
    </xf>
    <xf numFmtId="4" fontId="0" fillId="0" borderId="0" xfId="0" applyNumberFormat="1" applyAlignment="1">
      <alignment horizontal="center" vertical="center"/>
    </xf>
    <xf numFmtId="2" fontId="0" fillId="0" borderId="0" xfId="0" applyNumberFormat="1" applyAlignment="1">
      <alignment horizontal="center" vertical="center"/>
    </xf>
    <xf numFmtId="0" fontId="5" fillId="2" borderId="0" xfId="0" applyFont="1" applyFill="1" applyAlignment="1">
      <alignment horizontal="center" vertical="center" wrapText="1"/>
    </xf>
    <xf numFmtId="2" fontId="5" fillId="2" borderId="0" xfId="0" applyNumberFormat="1" applyFont="1" applyFill="1" applyAlignment="1">
      <alignment horizontal="center" vertical="center" wrapText="1"/>
    </xf>
    <xf numFmtId="4" fontId="0" fillId="0" borderId="0" xfId="0" applyNumberFormat="1" applyAlignment="1">
      <alignment horizontal="center" vertical="center" wrapText="1"/>
    </xf>
    <xf numFmtId="2" fontId="0" fillId="0" borderId="0" xfId="0" applyNumberFormat="1" applyAlignment="1">
      <alignment horizontal="center" vertical="center" wrapText="1"/>
    </xf>
    <xf numFmtId="4" fontId="5" fillId="2" borderId="0" xfId="0" applyNumberFormat="1" applyFont="1" applyFill="1" applyAlignment="1">
      <alignment horizontal="center"/>
    </xf>
    <xf numFmtId="0" fontId="6" fillId="11" borderId="1" xfId="0" applyFont="1" applyFill="1" applyBorder="1" applyAlignment="1" applyProtection="1">
      <alignment horizontal="center"/>
      <protection locked="0"/>
    </xf>
    <xf numFmtId="1" fontId="6" fillId="11" borderId="1" xfId="0" applyNumberFormat="1" applyFont="1" applyFill="1" applyBorder="1" applyAlignment="1" applyProtection="1">
      <alignment horizontal="center"/>
      <protection locked="0"/>
    </xf>
    <xf numFmtId="0" fontId="26" fillId="0" borderId="6" xfId="0" applyFont="1" applyBorder="1"/>
    <xf numFmtId="3" fontId="8" fillId="0" borderId="0" xfId="0" applyNumberFormat="1" applyFont="1"/>
    <xf numFmtId="3" fontId="8" fillId="0" borderId="0" xfId="0" applyNumberFormat="1" applyFont="1" applyAlignment="1">
      <alignment wrapText="1"/>
    </xf>
    <xf numFmtId="164" fontId="0" fillId="0" borderId="0" xfId="2" applyFont="1"/>
    <xf numFmtId="43" fontId="0" fillId="0" borderId="0" xfId="0" applyNumberFormat="1"/>
    <xf numFmtId="167" fontId="0" fillId="0" borderId="0" xfId="0" applyNumberFormat="1"/>
    <xf numFmtId="0" fontId="6" fillId="12" borderId="0" xfId="0" applyFont="1" applyFill="1" applyAlignment="1" applyProtection="1">
      <alignment horizontal="left" vertical="top" wrapText="1"/>
      <protection locked="0"/>
    </xf>
    <xf numFmtId="0" fontId="26" fillId="0" borderId="6" xfId="0" applyFont="1" applyBorder="1" applyAlignment="1">
      <alignment horizontal="center"/>
    </xf>
    <xf numFmtId="0" fontId="20" fillId="0" borderId="0" xfId="0" applyFont="1" applyAlignment="1">
      <alignment horizontal="left"/>
    </xf>
    <xf numFmtId="0" fontId="17" fillId="0" borderId="0" xfId="0" applyFont="1" applyAlignment="1">
      <alignment horizontal="center" vertical="center"/>
    </xf>
    <xf numFmtId="0" fontId="8" fillId="12" borderId="0" xfId="0" applyFont="1" applyFill="1" applyAlignment="1" applyProtection="1">
      <alignment horizontal="left" vertical="top" wrapText="1"/>
      <protection locked="0"/>
    </xf>
    <xf numFmtId="0" fontId="4" fillId="0" borderId="0" xfId="0" applyFont="1" applyAlignment="1">
      <alignment horizontal="left"/>
    </xf>
    <xf numFmtId="0" fontId="19" fillId="0" borderId="0" xfId="0" applyFont="1" applyAlignment="1">
      <alignment horizontal="center" vertical="center"/>
    </xf>
    <xf numFmtId="0" fontId="28" fillId="0" borderId="0" xfId="0" applyFont="1" applyAlignment="1">
      <alignment horizontal="center" vertical="center"/>
    </xf>
    <xf numFmtId="0" fontId="27" fillId="0" borderId="0" xfId="0" applyFont="1" applyAlignment="1">
      <alignment horizontal="center" vertical="center"/>
    </xf>
    <xf numFmtId="0" fontId="6" fillId="4" borderId="1" xfId="0" applyFont="1" applyFill="1" applyBorder="1" applyAlignment="1" applyProtection="1">
      <alignment horizontal="center" vertical="top"/>
      <protection locked="0"/>
    </xf>
    <xf numFmtId="0" fontId="4" fillId="6" borderId="0" xfId="0" applyFont="1" applyFill="1" applyAlignment="1">
      <alignment horizontal="left" vertical="top"/>
    </xf>
    <xf numFmtId="4" fontId="6" fillId="0" borderId="0" xfId="0" applyNumberFormat="1" applyFont="1" applyAlignment="1">
      <alignment horizontal="center"/>
    </xf>
    <xf numFmtId="0" fontId="6" fillId="0" borderId="0" xfId="0" applyFont="1" applyAlignment="1">
      <alignment horizontal="center"/>
    </xf>
    <xf numFmtId="4" fontId="8" fillId="0" borderId="1" xfId="0" applyNumberFormat="1" applyFont="1" applyBorder="1" applyAlignment="1">
      <alignment horizontal="center"/>
    </xf>
    <xf numFmtId="0" fontId="8" fillId="0" borderId="1" xfId="0" applyFont="1" applyBorder="1" applyAlignment="1">
      <alignment horizontal="center"/>
    </xf>
    <xf numFmtId="4" fontId="0" fillId="0" borderId="0" xfId="0" applyNumberFormat="1" applyAlignment="1">
      <alignment horizontal="center"/>
    </xf>
    <xf numFmtId="0" fontId="0" fillId="0" borderId="0" xfId="0" applyAlignment="1">
      <alignment horizontal="center"/>
    </xf>
    <xf numFmtId="0" fontId="4" fillId="6" borderId="0" xfId="0" applyFont="1" applyFill="1" applyAlignment="1">
      <alignment horizontal="left"/>
    </xf>
    <xf numFmtId="49" fontId="4" fillId="6" borderId="0" xfId="0" applyNumberFormat="1" applyFont="1" applyFill="1" applyAlignment="1">
      <alignment horizontal="left" vertical="top"/>
    </xf>
    <xf numFmtId="0" fontId="4" fillId="6" borderId="0" xfId="0" applyFont="1" applyFill="1" applyAlignment="1">
      <alignment horizontal="center"/>
    </xf>
    <xf numFmtId="0" fontId="4" fillId="0" borderId="0" xfId="0" applyFont="1" applyAlignment="1">
      <alignment horizontal="center"/>
    </xf>
    <xf numFmtId="4" fontId="0" fillId="4" borderId="1" xfId="0" applyNumberFormat="1" applyFill="1" applyBorder="1" applyAlignment="1" applyProtection="1">
      <alignment horizontal="center"/>
      <protection locked="0"/>
    </xf>
    <xf numFmtId="0" fontId="0" fillId="4" borderId="1" xfId="0" applyFill="1" applyBorder="1" applyAlignment="1" applyProtection="1">
      <alignment horizontal="center"/>
      <protection locked="0"/>
    </xf>
    <xf numFmtId="4" fontId="1" fillId="0" borderId="0" xfId="0" applyNumberFormat="1" applyFont="1" applyAlignment="1">
      <alignment horizontal="center"/>
    </xf>
    <xf numFmtId="4" fontId="1" fillId="4" borderId="1" xfId="0" applyNumberFormat="1" applyFont="1" applyFill="1" applyBorder="1" applyAlignment="1" applyProtection="1">
      <alignment horizontal="center"/>
      <protection locked="0"/>
    </xf>
    <xf numFmtId="0" fontId="1" fillId="4" borderId="1" xfId="0" applyFont="1" applyFill="1" applyBorder="1" applyAlignment="1" applyProtection="1">
      <alignment horizontal="center"/>
      <protection locked="0"/>
    </xf>
    <xf numFmtId="0" fontId="8" fillId="0" borderId="8" xfId="0" applyFont="1" applyBorder="1" applyAlignment="1">
      <alignment horizontal="center"/>
    </xf>
    <xf numFmtId="0" fontId="8" fillId="0" borderId="9" xfId="0" applyFont="1" applyBorder="1" applyAlignment="1">
      <alignment horizontal="center"/>
    </xf>
    <xf numFmtId="0" fontId="8" fillId="0" borderId="10" xfId="0" applyFont="1" applyBorder="1" applyAlignment="1">
      <alignment horizontal="center"/>
    </xf>
    <xf numFmtId="0" fontId="4" fillId="6" borderId="0" xfId="0" applyFont="1" applyFill="1" applyAlignment="1">
      <alignment horizontal="center" vertical="center" wrapText="1"/>
    </xf>
    <xf numFmtId="0" fontId="17" fillId="0" borderId="0" xfId="0" applyFont="1" applyAlignment="1">
      <alignment horizontal="left"/>
    </xf>
    <xf numFmtId="0" fontId="0" fillId="4" borderId="0" xfId="0" applyFill="1" applyAlignment="1" applyProtection="1">
      <alignment horizontal="left" vertical="top" wrapText="1"/>
      <protection locked="0"/>
    </xf>
    <xf numFmtId="0" fontId="4" fillId="6" borderId="3" xfId="0" applyFont="1" applyFill="1" applyBorder="1" applyAlignment="1">
      <alignment horizontal="center" vertical="top"/>
    </xf>
    <xf numFmtId="0" fontId="6" fillId="4" borderId="4" xfId="0" applyFont="1" applyFill="1" applyBorder="1" applyAlignment="1" applyProtection="1">
      <alignment horizontal="center" vertical="top"/>
      <protection locked="0"/>
    </xf>
    <xf numFmtId="0" fontId="6" fillId="4" borderId="7" xfId="0" applyFont="1" applyFill="1" applyBorder="1" applyAlignment="1" applyProtection="1">
      <alignment horizontal="center" vertical="top"/>
      <protection locked="0"/>
    </xf>
    <xf numFmtId="0" fontId="6" fillId="4" borderId="0" xfId="0" applyFont="1" applyFill="1" applyAlignment="1" applyProtection="1">
      <alignment horizontal="left" vertical="top" wrapText="1"/>
      <protection locked="0"/>
    </xf>
    <xf numFmtId="0" fontId="4" fillId="6" borderId="0" xfId="0" applyFont="1" applyFill="1" applyAlignment="1">
      <alignment horizontal="center" vertical="top"/>
    </xf>
    <xf numFmtId="0" fontId="8" fillId="12" borderId="0" xfId="0" applyFont="1" applyFill="1" applyAlignment="1" applyProtection="1">
      <alignment horizontal="center" vertical="top" wrapText="1"/>
      <protection locked="0"/>
    </xf>
    <xf numFmtId="0" fontId="4" fillId="6" borderId="5" xfId="0" applyFont="1" applyFill="1" applyBorder="1" applyAlignment="1">
      <alignment horizontal="left"/>
    </xf>
    <xf numFmtId="49" fontId="4" fillId="0" borderId="0" xfId="0" applyNumberFormat="1" applyFont="1" applyAlignment="1">
      <alignment horizontal="left" vertical="top"/>
    </xf>
    <xf numFmtId="0" fontId="6" fillId="0" borderId="0" xfId="0" applyFont="1" applyAlignment="1" applyProtection="1">
      <alignment vertical="top"/>
      <protection locked="0"/>
    </xf>
    <xf numFmtId="0" fontId="6" fillId="0" borderId="0" xfId="0" applyFont="1" applyProtection="1">
      <protection locked="0"/>
    </xf>
    <xf numFmtId="0" fontId="0" fillId="4" borderId="0" xfId="0" applyFill="1" applyAlignment="1" applyProtection="1">
      <alignment horizontal="left" vertical="top"/>
      <protection locked="0"/>
    </xf>
    <xf numFmtId="14" fontId="0" fillId="4" borderId="0" xfId="0" applyNumberFormat="1" applyFill="1" applyAlignment="1" applyProtection="1">
      <alignment horizontal="center"/>
      <protection locked="0"/>
    </xf>
    <xf numFmtId="0" fontId="4" fillId="13" borderId="0" xfId="0" applyFont="1" applyFill="1" applyAlignment="1">
      <alignment horizontal="left"/>
    </xf>
    <xf numFmtId="0" fontId="6" fillId="4" borderId="1" xfId="0" applyFont="1" applyFill="1" applyBorder="1" applyAlignment="1" applyProtection="1">
      <alignment horizontal="center"/>
      <protection locked="0"/>
    </xf>
    <xf numFmtId="0" fontId="8" fillId="0" borderId="3" xfId="0" applyFont="1" applyBorder="1" applyAlignment="1">
      <alignment horizontal="center"/>
    </xf>
    <xf numFmtId="0" fontId="6" fillId="4" borderId="0" xfId="0" applyFont="1" applyFill="1" applyAlignment="1" applyProtection="1">
      <alignment horizontal="left" vertical="top"/>
      <protection locked="0"/>
    </xf>
    <xf numFmtId="20" fontId="6" fillId="4" borderId="1" xfId="0" applyNumberFormat="1" applyFont="1" applyFill="1" applyBorder="1" applyAlignment="1" applyProtection="1">
      <alignment horizontal="center"/>
      <protection locked="0"/>
    </xf>
    <xf numFmtId="0" fontId="6" fillId="4" borderId="4"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6" fillId="4" borderId="7" xfId="0" applyFont="1" applyFill="1" applyBorder="1" applyAlignment="1" applyProtection="1">
      <alignment horizontal="center"/>
      <protection locked="0"/>
    </xf>
    <xf numFmtId="0" fontId="8" fillId="4" borderId="0" xfId="0" applyFont="1" applyFill="1" applyAlignment="1" applyProtection="1">
      <alignment horizontal="center"/>
      <protection locked="0"/>
    </xf>
    <xf numFmtId="0" fontId="4" fillId="4" borderId="0" xfId="0" applyFont="1" applyFill="1" applyAlignment="1" applyProtection="1">
      <alignment horizontal="center"/>
      <protection locked="0"/>
    </xf>
    <xf numFmtId="0" fontId="0" fillId="0" borderId="0" xfId="0" applyAlignment="1" applyProtection="1">
      <alignment horizontal="left" vertical="top"/>
      <protection locked="0"/>
    </xf>
    <xf numFmtId="0" fontId="8" fillId="0" borderId="0" xfId="0" applyFont="1" applyAlignment="1">
      <alignment horizontal="center"/>
    </xf>
    <xf numFmtId="0" fontId="6" fillId="4" borderId="0" xfId="0" applyFont="1" applyFill="1" applyAlignment="1" applyProtection="1">
      <alignment horizontal="center"/>
      <protection locked="0"/>
    </xf>
    <xf numFmtId="16" fontId="6" fillId="4" borderId="1" xfId="0" applyNumberFormat="1" applyFont="1" applyFill="1" applyBorder="1" applyAlignment="1" applyProtection="1">
      <alignment horizontal="center"/>
      <protection locked="0"/>
    </xf>
    <xf numFmtId="0" fontId="6" fillId="4" borderId="0" xfId="0" applyFont="1" applyFill="1" applyAlignment="1" applyProtection="1">
      <alignment horizontal="left"/>
      <protection locked="0"/>
    </xf>
    <xf numFmtId="0" fontId="4" fillId="7" borderId="3" xfId="0" applyFont="1" applyFill="1" applyBorder="1" applyAlignment="1">
      <alignment horizontal="center"/>
    </xf>
    <xf numFmtId="0" fontId="4" fillId="7" borderId="0" xfId="0" applyFont="1" applyFill="1" applyAlignment="1">
      <alignment horizontal="left"/>
    </xf>
    <xf numFmtId="0" fontId="4" fillId="7" borderId="5" xfId="0" applyFont="1" applyFill="1" applyBorder="1" applyAlignment="1">
      <alignment horizontal="left"/>
    </xf>
    <xf numFmtId="0" fontId="28" fillId="0" borderId="0" xfId="0" applyFont="1" applyAlignment="1">
      <alignment horizontal="left"/>
    </xf>
    <xf numFmtId="0" fontId="6" fillId="0" borderId="0" xfId="0" applyFont="1" applyAlignment="1">
      <alignment vertical="top" wrapText="1"/>
    </xf>
    <xf numFmtId="0" fontId="3" fillId="0" borderId="0" xfId="0" applyFont="1" applyAlignment="1">
      <alignment vertical="top" wrapText="1"/>
    </xf>
    <xf numFmtId="0" fontId="3" fillId="0" borderId="0" xfId="0" applyFont="1" applyAlignment="1">
      <alignment horizontal="left"/>
    </xf>
    <xf numFmtId="4" fontId="0" fillId="0" borderId="0" xfId="0" applyNumberFormat="1" applyAlignment="1">
      <alignment horizontal="left" wrapText="1"/>
    </xf>
    <xf numFmtId="1" fontId="4" fillId="2" borderId="0" xfId="0" applyNumberFormat="1" applyFont="1" applyFill="1" applyAlignment="1">
      <alignment horizontal="left" wrapText="1"/>
    </xf>
    <xf numFmtId="0" fontId="4" fillId="2" borderId="0" xfId="0" applyFont="1" applyFill="1" applyAlignment="1">
      <alignment horizontal="left" wrapText="1"/>
    </xf>
    <xf numFmtId="0" fontId="4" fillId="0" borderId="0" xfId="0" applyFont="1" applyAlignment="1">
      <alignment horizontal="left" wrapText="1"/>
    </xf>
    <xf numFmtId="0" fontId="8" fillId="0" borderId="0" xfId="0" applyFont="1" applyAlignment="1">
      <alignment vertical="top" wrapText="1"/>
    </xf>
    <xf numFmtId="0" fontId="4" fillId="2" borderId="0" xfId="0" applyFont="1" applyFill="1" applyAlignment="1">
      <alignment horizontal="center"/>
    </xf>
    <xf numFmtId="1" fontId="0" fillId="0" borderId="0" xfId="0" applyNumberFormat="1" applyAlignment="1">
      <alignment horizontal="left" wrapText="1"/>
    </xf>
    <xf numFmtId="1" fontId="6" fillId="0" borderId="0" xfId="0" applyNumberFormat="1" applyFont="1" applyAlignment="1">
      <alignment horizontal="left" wrapText="1"/>
    </xf>
    <xf numFmtId="1" fontId="0" fillId="0" borderId="5" xfId="0" applyNumberFormat="1" applyBorder="1" applyAlignment="1">
      <alignment horizontal="left" wrapText="1"/>
    </xf>
    <xf numFmtId="0" fontId="4" fillId="2" borderId="0" xfId="0" applyFont="1" applyFill="1" applyAlignment="1">
      <alignment horizontal="left" vertical="center" wrapText="1"/>
    </xf>
    <xf numFmtId="0" fontId="4" fillId="2" borderId="5" xfId="0" applyFont="1" applyFill="1" applyBorder="1" applyAlignment="1">
      <alignment horizontal="left" wrapText="1"/>
    </xf>
    <xf numFmtId="4" fontId="4" fillId="2" borderId="0" xfId="0" applyNumberFormat="1" applyFont="1" applyFill="1" applyAlignment="1">
      <alignment horizontal="center"/>
    </xf>
    <xf numFmtId="4" fontId="4" fillId="2" borderId="0" xfId="0" applyNumberFormat="1" applyFont="1" applyFill="1" applyAlignment="1">
      <alignment horizontal="left"/>
    </xf>
    <xf numFmtId="165" fontId="6" fillId="4" borderId="1" xfId="0" applyNumberFormat="1" applyFont="1" applyFill="1" applyBorder="1" applyAlignment="1" applyProtection="1">
      <alignment horizontal="center"/>
      <protection locked="0"/>
    </xf>
    <xf numFmtId="3" fontId="4" fillId="2" borderId="0" xfId="0" applyNumberFormat="1" applyFont="1" applyFill="1" applyAlignment="1">
      <alignment horizontal="center" wrapText="1"/>
    </xf>
    <xf numFmtId="0" fontId="28" fillId="2" borderId="0" xfId="0" applyFont="1" applyFill="1" applyAlignment="1">
      <alignment horizontal="left"/>
    </xf>
    <xf numFmtId="3" fontId="4" fillId="2" borderId="0" xfId="0" applyNumberFormat="1" applyFont="1" applyFill="1" applyAlignment="1">
      <alignment horizontal="left" wrapText="1"/>
    </xf>
    <xf numFmtId="3" fontId="4" fillId="0" borderId="0" xfId="0" applyNumberFormat="1" applyFont="1" applyAlignment="1">
      <alignment horizontal="left" wrapText="1"/>
    </xf>
    <xf numFmtId="3" fontId="0" fillId="0" borderId="0" xfId="0" applyNumberFormat="1" applyAlignment="1">
      <alignment horizontal="left" wrapText="1"/>
    </xf>
    <xf numFmtId="3" fontId="0" fillId="0" borderId="5" xfId="0" applyNumberFormat="1" applyBorder="1" applyAlignment="1">
      <alignment horizontal="left" wrapText="1"/>
    </xf>
    <xf numFmtId="3" fontId="0" fillId="0" borderId="0" xfId="0" applyNumberFormat="1" applyAlignment="1">
      <alignment horizontal="left"/>
    </xf>
    <xf numFmtId="1" fontId="24" fillId="0" borderId="0" xfId="0" applyNumberFormat="1" applyFont="1" applyAlignment="1">
      <alignment horizontal="center" wrapText="1"/>
    </xf>
    <xf numFmtId="1" fontId="24" fillId="0" borderId="5" xfId="0" applyNumberFormat="1" applyFont="1" applyBorder="1" applyAlignment="1">
      <alignment horizontal="center" wrapText="1"/>
    </xf>
    <xf numFmtId="1" fontId="23" fillId="0" borderId="0" xfId="0" applyNumberFormat="1" applyFont="1" applyAlignment="1">
      <alignment horizontal="left" wrapText="1"/>
    </xf>
    <xf numFmtId="1" fontId="23" fillId="0" borderId="5" xfId="0" applyNumberFormat="1" applyFont="1" applyBorder="1" applyAlignment="1">
      <alignment horizontal="left" wrapText="1"/>
    </xf>
    <xf numFmtId="1" fontId="2" fillId="0" borderId="0" xfId="0" applyNumberFormat="1" applyFont="1" applyAlignment="1">
      <alignment horizontal="left" wrapText="1"/>
    </xf>
    <xf numFmtId="1" fontId="2" fillId="0" borderId="5" xfId="0" applyNumberFormat="1" applyFont="1" applyBorder="1" applyAlignment="1">
      <alignment horizontal="left" wrapText="1"/>
    </xf>
    <xf numFmtId="0" fontId="23" fillId="0" borderId="0" xfId="0" applyFont="1" applyAlignment="1">
      <alignment horizontal="left" wrapText="1"/>
    </xf>
    <xf numFmtId="0" fontId="23" fillId="0" borderId="5"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4" fillId="2" borderId="0" xfId="0" applyFont="1" applyFill="1" applyAlignment="1">
      <alignment horizontal="center" vertical="center"/>
    </xf>
    <xf numFmtId="4" fontId="6" fillId="0" borderId="4" xfId="0" applyNumberFormat="1" applyFont="1" applyBorder="1" applyAlignment="1">
      <alignment horizontal="center"/>
    </xf>
    <xf numFmtId="4" fontId="6" fillId="0" borderId="11" xfId="0" applyNumberFormat="1" applyFont="1" applyBorder="1" applyAlignment="1">
      <alignment horizontal="center"/>
    </xf>
    <xf numFmtId="4" fontId="6" fillId="0" borderId="7" xfId="0" applyNumberFormat="1" applyFont="1" applyBorder="1" applyAlignment="1">
      <alignment horizontal="center"/>
    </xf>
    <xf numFmtId="4" fontId="1" fillId="0" borderId="4" xfId="0" applyNumberFormat="1" applyFont="1" applyBorder="1" applyAlignment="1">
      <alignment horizontal="center"/>
    </xf>
    <xf numFmtId="4" fontId="1" fillId="0" borderId="7" xfId="0" applyNumberFormat="1" applyFont="1" applyBorder="1" applyAlignment="1">
      <alignment horizontal="center"/>
    </xf>
    <xf numFmtId="4" fontId="1" fillId="0" borderId="1" xfId="0" applyNumberFormat="1" applyFont="1" applyBorder="1" applyAlignment="1">
      <alignment horizontal="center"/>
    </xf>
    <xf numFmtId="4" fontId="1" fillId="4" borderId="4" xfId="0" applyNumberFormat="1" applyFont="1" applyFill="1" applyBorder="1" applyAlignment="1" applyProtection="1">
      <alignment horizontal="center"/>
      <protection locked="0"/>
    </xf>
    <xf numFmtId="4" fontId="1" fillId="4" borderId="7" xfId="0" applyNumberFormat="1" applyFont="1" applyFill="1" applyBorder="1" applyAlignment="1" applyProtection="1">
      <alignment horizontal="center"/>
      <protection locked="0"/>
    </xf>
    <xf numFmtId="0" fontId="4" fillId="9" borderId="0" xfId="0" applyFont="1" applyFill="1" applyAlignment="1">
      <alignment horizontal="left"/>
    </xf>
    <xf numFmtId="0" fontId="4" fillId="9" borderId="5" xfId="0" applyFont="1" applyFill="1" applyBorder="1" applyAlignment="1">
      <alignment horizontal="left"/>
    </xf>
    <xf numFmtId="0" fontId="4" fillId="8" borderId="0" xfId="0" applyFont="1" applyFill="1" applyAlignment="1">
      <alignment horizontal="left"/>
    </xf>
    <xf numFmtId="0" fontId="4" fillId="8" borderId="5" xfId="0" applyFont="1" applyFill="1" applyBorder="1" applyAlignment="1">
      <alignment horizontal="left"/>
    </xf>
    <xf numFmtId="0" fontId="4" fillId="2" borderId="0" xfId="0" applyFont="1" applyFill="1" applyAlignment="1">
      <alignment horizontal="left"/>
    </xf>
    <xf numFmtId="0" fontId="4" fillId="2" borderId="5" xfId="0" applyFont="1" applyFill="1" applyBorder="1" applyAlignment="1">
      <alignment horizontal="left"/>
    </xf>
    <xf numFmtId="49" fontId="4" fillId="2" borderId="0" xfId="0" applyNumberFormat="1" applyFont="1" applyFill="1" applyAlignment="1">
      <alignment horizontal="left" vertical="top"/>
    </xf>
    <xf numFmtId="0" fontId="1" fillId="4" borderId="7" xfId="0" applyFont="1" applyFill="1" applyBorder="1" applyAlignment="1" applyProtection="1">
      <alignment horizontal="center"/>
      <protection locked="0"/>
    </xf>
    <xf numFmtId="10" fontId="0" fillId="4" borderId="0" xfId="0" applyNumberFormat="1" applyFill="1" applyAlignment="1" applyProtection="1">
      <alignment horizontal="center"/>
      <protection locked="0"/>
    </xf>
    <xf numFmtId="0" fontId="4" fillId="10" borderId="0" xfId="0" applyFont="1" applyFill="1" applyAlignment="1">
      <alignment horizontal="left"/>
    </xf>
    <xf numFmtId="0" fontId="4" fillId="10" borderId="5" xfId="0" applyFont="1" applyFill="1" applyBorder="1" applyAlignment="1">
      <alignment horizontal="left"/>
    </xf>
    <xf numFmtId="4" fontId="0" fillId="0" borderId="4" xfId="0" applyNumberFormat="1" applyBorder="1" applyAlignment="1">
      <alignment horizontal="center"/>
    </xf>
    <xf numFmtId="4" fontId="0" fillId="0" borderId="11" xfId="0" applyNumberFormat="1" applyBorder="1" applyAlignment="1">
      <alignment horizontal="center"/>
    </xf>
    <xf numFmtId="4" fontId="0" fillId="0" borderId="7" xfId="0" applyNumberFormat="1" applyBorder="1" applyAlignment="1">
      <alignment horizontal="center"/>
    </xf>
    <xf numFmtId="0" fontId="0" fillId="0" borderId="0" xfId="0" applyAlignment="1">
      <alignment horizontal="left" vertical="top" wrapText="1"/>
    </xf>
    <xf numFmtId="4" fontId="8" fillId="0" borderId="4" xfId="0" applyNumberFormat="1" applyFont="1" applyBorder="1" applyAlignment="1">
      <alignment horizontal="center"/>
    </xf>
    <xf numFmtId="4" fontId="8" fillId="0" borderId="11" xfId="0" applyNumberFormat="1" applyFont="1" applyBorder="1" applyAlignment="1">
      <alignment horizontal="center"/>
    </xf>
    <xf numFmtId="4" fontId="8" fillId="0" borderId="7" xfId="0" applyNumberFormat="1" applyFont="1" applyBorder="1" applyAlignment="1">
      <alignment horizontal="center"/>
    </xf>
    <xf numFmtId="4" fontId="0" fillId="4" borderId="4" xfId="0" applyNumberFormat="1" applyFill="1" applyBorder="1" applyAlignment="1" applyProtection="1">
      <alignment horizontal="center"/>
      <protection locked="0"/>
    </xf>
    <xf numFmtId="4" fontId="0" fillId="4" borderId="11" xfId="0" applyNumberFormat="1" applyFill="1" applyBorder="1" applyAlignment="1" applyProtection="1">
      <alignment horizontal="center"/>
      <protection locked="0"/>
    </xf>
    <xf numFmtId="4" fontId="0" fillId="4" borderId="7" xfId="0" applyNumberFormat="1" applyFill="1" applyBorder="1" applyAlignment="1" applyProtection="1">
      <alignment horizontal="center"/>
      <protection locked="0"/>
    </xf>
    <xf numFmtId="0" fontId="0" fillId="10" borderId="0" xfId="0" applyFill="1" applyAlignment="1">
      <alignment horizontal="center"/>
    </xf>
    <xf numFmtId="0" fontId="4" fillId="2" borderId="3" xfId="0" applyFont="1" applyFill="1" applyBorder="1" applyAlignment="1">
      <alignment horizontal="center"/>
    </xf>
    <xf numFmtId="0" fontId="31" fillId="0" borderId="0" xfId="0" applyFont="1" applyAlignment="1">
      <alignment vertical="top" wrapText="1"/>
    </xf>
    <xf numFmtId="0" fontId="0" fillId="8" borderId="0" xfId="0" applyFill="1" applyAlignment="1">
      <alignment horizontal="center"/>
    </xf>
    <xf numFmtId="10" fontId="0" fillId="0" borderId="0" xfId="0" applyNumberFormat="1" applyAlignment="1">
      <alignment horizontal="center"/>
    </xf>
    <xf numFmtId="0" fontId="0" fillId="9" borderId="0" xfId="0" applyFill="1" applyAlignment="1">
      <alignment horizontal="center"/>
    </xf>
    <xf numFmtId="0" fontId="2" fillId="8" borderId="0" xfId="0" applyFont="1" applyFill="1" applyAlignment="1">
      <alignment horizontal="left" wrapText="1"/>
    </xf>
    <xf numFmtId="0" fontId="2" fillId="8" borderId="5" xfId="0" applyFont="1" applyFill="1" applyBorder="1" applyAlignment="1">
      <alignment horizontal="left" wrapText="1"/>
    </xf>
    <xf numFmtId="0" fontId="2" fillId="9" borderId="0" xfId="0" applyFont="1" applyFill="1" applyAlignment="1">
      <alignment horizontal="left" wrapText="1"/>
    </xf>
    <xf numFmtId="0" fontId="2" fillId="9" borderId="5" xfId="0" applyFont="1" applyFill="1" applyBorder="1" applyAlignment="1">
      <alignment horizontal="left" wrapText="1"/>
    </xf>
    <xf numFmtId="0" fontId="2" fillId="10" borderId="0" xfId="0" applyFont="1" applyFill="1" applyAlignment="1">
      <alignment horizontal="left" wrapText="1"/>
    </xf>
    <xf numFmtId="0" fontId="2" fillId="10" borderId="5" xfId="0" applyFont="1" applyFill="1" applyBorder="1" applyAlignment="1">
      <alignment horizontal="left" wrapText="1"/>
    </xf>
    <xf numFmtId="1" fontId="15" fillId="2" borderId="0" xfId="0" applyNumberFormat="1" applyFont="1" applyFill="1" applyAlignment="1">
      <alignment horizontal="left" wrapText="1"/>
    </xf>
    <xf numFmtId="0" fontId="11" fillId="0" borderId="0" xfId="0" applyFont="1" applyAlignment="1">
      <alignment horizontal="left" wrapText="1"/>
    </xf>
    <xf numFmtId="3" fontId="8" fillId="0" borderId="0" xfId="0" applyNumberFormat="1" applyFont="1" applyAlignment="1">
      <alignment horizontal="left" wrapText="1"/>
    </xf>
    <xf numFmtId="3" fontId="6" fillId="0" borderId="0" xfId="0" applyNumberFormat="1" applyFont="1" applyAlignment="1">
      <alignment horizontal="left" wrapText="1"/>
    </xf>
    <xf numFmtId="0" fontId="16" fillId="2" borderId="0" xfId="0" applyFont="1" applyFill="1" applyAlignment="1">
      <alignment horizontal="center" vertical="center" wrapText="1"/>
    </xf>
    <xf numFmtId="0" fontId="5" fillId="8" borderId="0" xfId="0" applyFont="1" applyFill="1" applyAlignment="1">
      <alignment horizontal="center"/>
    </xf>
    <xf numFmtId="0" fontId="16" fillId="2" borderId="0" xfId="0" applyFont="1" applyFill="1" applyAlignment="1">
      <alignment horizontal="center" vertical="center"/>
    </xf>
    <xf numFmtId="0" fontId="29" fillId="5" borderId="0" xfId="0" applyFont="1" applyFill="1" applyAlignment="1">
      <alignment horizontal="left"/>
    </xf>
    <xf numFmtId="0" fontId="30" fillId="0" borderId="0" xfId="0" applyFont="1" applyAlignment="1">
      <alignment horizontal="center"/>
    </xf>
  </cellXfs>
  <cellStyles count="3">
    <cellStyle name="Millares" xfId="2" builtinId="3"/>
    <cellStyle name="Millares [0]" xfId="1" builtinId="6"/>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png"/><Relationship Id="rId18" Type="http://schemas.openxmlformats.org/officeDocument/2006/relationships/image" Target="../media/image42.png"/><Relationship Id="rId26" Type="http://schemas.openxmlformats.org/officeDocument/2006/relationships/image" Target="file:///C:\Users\JRV014\Desktop\LogoME_horizontal_2ineas.png" TargetMode="External"/><Relationship Id="rId3" Type="http://schemas.openxmlformats.org/officeDocument/2006/relationships/image" Target="../media/image27.emf"/><Relationship Id="rId21" Type="http://schemas.openxmlformats.org/officeDocument/2006/relationships/image" Target="../media/image45.png"/><Relationship Id="rId7" Type="http://schemas.openxmlformats.org/officeDocument/2006/relationships/image" Target="../media/image31.png"/><Relationship Id="rId12" Type="http://schemas.openxmlformats.org/officeDocument/2006/relationships/image" Target="../media/image36.png"/><Relationship Id="rId17" Type="http://schemas.openxmlformats.org/officeDocument/2006/relationships/image" Target="../media/image41.png"/><Relationship Id="rId25" Type="http://schemas.openxmlformats.org/officeDocument/2006/relationships/image" Target="../media/image49.png"/><Relationship Id="rId2" Type="http://schemas.openxmlformats.org/officeDocument/2006/relationships/image" Target="../media/image3.png"/><Relationship Id="rId16" Type="http://schemas.openxmlformats.org/officeDocument/2006/relationships/image" Target="../media/image40.png"/><Relationship Id="rId20" Type="http://schemas.openxmlformats.org/officeDocument/2006/relationships/image" Target="../media/image44.png"/><Relationship Id="rId1" Type="http://schemas.openxmlformats.org/officeDocument/2006/relationships/image" Target="../media/image1.png"/><Relationship Id="rId6" Type="http://schemas.openxmlformats.org/officeDocument/2006/relationships/image" Target="../media/image30.png"/><Relationship Id="rId11" Type="http://schemas.openxmlformats.org/officeDocument/2006/relationships/image" Target="../media/image35.png"/><Relationship Id="rId24" Type="http://schemas.openxmlformats.org/officeDocument/2006/relationships/image" Target="../media/image48.png"/><Relationship Id="rId5" Type="http://schemas.openxmlformats.org/officeDocument/2006/relationships/image" Target="../media/image29.png"/><Relationship Id="rId15" Type="http://schemas.openxmlformats.org/officeDocument/2006/relationships/image" Target="../media/image39.png"/><Relationship Id="rId23" Type="http://schemas.openxmlformats.org/officeDocument/2006/relationships/image" Target="../media/image47.png"/><Relationship Id="rId10" Type="http://schemas.openxmlformats.org/officeDocument/2006/relationships/image" Target="../media/image34.png"/><Relationship Id="rId19" Type="http://schemas.openxmlformats.org/officeDocument/2006/relationships/image" Target="../media/image43.png"/><Relationship Id="rId4" Type="http://schemas.openxmlformats.org/officeDocument/2006/relationships/image" Target="../media/image28.png"/><Relationship Id="rId9" Type="http://schemas.openxmlformats.org/officeDocument/2006/relationships/image" Target="../media/image33.png"/><Relationship Id="rId14" Type="http://schemas.openxmlformats.org/officeDocument/2006/relationships/image" Target="../media/image38.png"/><Relationship Id="rId22" Type="http://schemas.openxmlformats.org/officeDocument/2006/relationships/image" Target="../media/image46.png"/></Relationships>
</file>

<file path=xl/drawings/_rels/drawing3.xml.rels><?xml version="1.0" encoding="UTF-8" standalone="yes"?>
<Relationships xmlns="http://schemas.openxmlformats.org/package/2006/relationships"><Relationship Id="rId8" Type="http://schemas.openxmlformats.org/officeDocument/2006/relationships/image" Target="../media/image55.png"/><Relationship Id="rId13" Type="http://schemas.openxmlformats.org/officeDocument/2006/relationships/image" Target="../media/image60.png"/><Relationship Id="rId3" Type="http://schemas.openxmlformats.org/officeDocument/2006/relationships/image" Target="../media/image50.png"/><Relationship Id="rId7" Type="http://schemas.openxmlformats.org/officeDocument/2006/relationships/image" Target="../media/image54.png"/><Relationship Id="rId12" Type="http://schemas.openxmlformats.org/officeDocument/2006/relationships/image" Target="../media/image59.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53.png"/><Relationship Id="rId11" Type="http://schemas.openxmlformats.org/officeDocument/2006/relationships/image" Target="../media/image58.png"/><Relationship Id="rId5" Type="http://schemas.openxmlformats.org/officeDocument/2006/relationships/image" Target="../media/image52.png"/><Relationship Id="rId15" Type="http://schemas.openxmlformats.org/officeDocument/2006/relationships/image" Target="../media/image61.png"/><Relationship Id="rId10" Type="http://schemas.openxmlformats.org/officeDocument/2006/relationships/image" Target="../media/image57.png"/><Relationship Id="rId4" Type="http://schemas.openxmlformats.org/officeDocument/2006/relationships/image" Target="../media/image51.png"/><Relationship Id="rId9" Type="http://schemas.openxmlformats.org/officeDocument/2006/relationships/image" Target="../media/image56.png"/><Relationship Id="rId14" Type="http://schemas.openxmlformats.org/officeDocument/2006/relationships/image" Target="../media/image45.png"/></Relationships>
</file>

<file path=xl/drawings/_rels/drawing4.xml.rels><?xml version="1.0" encoding="UTF-8" standalone="yes"?>
<Relationships xmlns="http://schemas.openxmlformats.org/package/2006/relationships"><Relationship Id="rId8" Type="http://schemas.openxmlformats.org/officeDocument/2006/relationships/image" Target="../media/image67.png"/><Relationship Id="rId13" Type="http://schemas.openxmlformats.org/officeDocument/2006/relationships/image" Target="../media/image72.png"/><Relationship Id="rId3" Type="http://schemas.openxmlformats.org/officeDocument/2006/relationships/image" Target="../media/image62.png"/><Relationship Id="rId7" Type="http://schemas.openxmlformats.org/officeDocument/2006/relationships/image" Target="../media/image66.png"/><Relationship Id="rId12" Type="http://schemas.openxmlformats.org/officeDocument/2006/relationships/image" Target="../media/image71.png"/><Relationship Id="rId2" Type="http://schemas.openxmlformats.org/officeDocument/2006/relationships/image" Target="../media/image3.png"/><Relationship Id="rId16" Type="http://schemas.openxmlformats.org/officeDocument/2006/relationships/image" Target="../media/image74.png"/><Relationship Id="rId1" Type="http://schemas.openxmlformats.org/officeDocument/2006/relationships/image" Target="../media/image1.png"/><Relationship Id="rId6" Type="http://schemas.openxmlformats.org/officeDocument/2006/relationships/image" Target="../media/image65.png"/><Relationship Id="rId11" Type="http://schemas.openxmlformats.org/officeDocument/2006/relationships/image" Target="../media/image70.png"/><Relationship Id="rId5" Type="http://schemas.openxmlformats.org/officeDocument/2006/relationships/image" Target="../media/image64.png"/><Relationship Id="rId15" Type="http://schemas.openxmlformats.org/officeDocument/2006/relationships/image" Target="../media/image60.png"/><Relationship Id="rId10" Type="http://schemas.openxmlformats.org/officeDocument/2006/relationships/image" Target="../media/image69.png"/><Relationship Id="rId4" Type="http://schemas.openxmlformats.org/officeDocument/2006/relationships/image" Target="../media/image63.png"/><Relationship Id="rId9" Type="http://schemas.openxmlformats.org/officeDocument/2006/relationships/image" Target="../media/image68.png"/><Relationship Id="rId14" Type="http://schemas.openxmlformats.org/officeDocument/2006/relationships/image" Target="../media/image73.png"/></Relationships>
</file>

<file path=xl/drawings/_rels/drawing5.xml.rels><?xml version="1.0" encoding="UTF-8" standalone="yes"?>
<Relationships xmlns="http://schemas.openxmlformats.org/package/2006/relationships"><Relationship Id="rId8" Type="http://schemas.openxmlformats.org/officeDocument/2006/relationships/image" Target="../media/image80.png"/><Relationship Id="rId13" Type="http://schemas.openxmlformats.org/officeDocument/2006/relationships/image" Target="../media/image85.png"/><Relationship Id="rId18" Type="http://schemas.openxmlformats.org/officeDocument/2006/relationships/image" Target="../media/image45.png"/><Relationship Id="rId3" Type="http://schemas.openxmlformats.org/officeDocument/2006/relationships/image" Target="../media/image75.png"/><Relationship Id="rId7" Type="http://schemas.openxmlformats.org/officeDocument/2006/relationships/image" Target="../media/image79.png"/><Relationship Id="rId12" Type="http://schemas.openxmlformats.org/officeDocument/2006/relationships/image" Target="../media/image84.png"/><Relationship Id="rId17" Type="http://schemas.openxmlformats.org/officeDocument/2006/relationships/image" Target="../media/image26.png"/><Relationship Id="rId2" Type="http://schemas.openxmlformats.org/officeDocument/2006/relationships/image" Target="../media/image3.png"/><Relationship Id="rId16" Type="http://schemas.openxmlformats.org/officeDocument/2006/relationships/image" Target="../media/image88.png"/><Relationship Id="rId1" Type="http://schemas.openxmlformats.org/officeDocument/2006/relationships/image" Target="../media/image1.png"/><Relationship Id="rId6" Type="http://schemas.openxmlformats.org/officeDocument/2006/relationships/image" Target="../media/image78.png"/><Relationship Id="rId11" Type="http://schemas.openxmlformats.org/officeDocument/2006/relationships/image" Target="../media/image83.png"/><Relationship Id="rId5" Type="http://schemas.openxmlformats.org/officeDocument/2006/relationships/image" Target="../media/image77.png"/><Relationship Id="rId15" Type="http://schemas.openxmlformats.org/officeDocument/2006/relationships/image" Target="../media/image87.png"/><Relationship Id="rId10" Type="http://schemas.openxmlformats.org/officeDocument/2006/relationships/image" Target="../media/image82.png"/><Relationship Id="rId4" Type="http://schemas.openxmlformats.org/officeDocument/2006/relationships/image" Target="../media/image76.png"/><Relationship Id="rId9" Type="http://schemas.openxmlformats.org/officeDocument/2006/relationships/image" Target="../media/image81.png"/><Relationship Id="rId14" Type="http://schemas.openxmlformats.org/officeDocument/2006/relationships/image" Target="../media/image86.png"/></Relationships>
</file>

<file path=xl/drawings/_rels/drawing6.xml.rels><?xml version="1.0" encoding="UTF-8" standalone="yes"?>
<Relationships xmlns="http://schemas.openxmlformats.org/package/2006/relationships"><Relationship Id="rId3" Type="http://schemas.openxmlformats.org/officeDocument/2006/relationships/image" Target="../media/image89.png"/><Relationship Id="rId7" Type="http://schemas.openxmlformats.org/officeDocument/2006/relationships/image" Target="../media/image26.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92.png"/><Relationship Id="rId5" Type="http://schemas.openxmlformats.org/officeDocument/2006/relationships/image" Target="../media/image91.png"/><Relationship Id="rId4" Type="http://schemas.openxmlformats.org/officeDocument/2006/relationships/image" Target="../media/image90.png"/></Relationships>
</file>

<file path=xl/drawings/_rels/drawing7.xml.rels><?xml version="1.0" encoding="UTF-8" standalone="yes"?>
<Relationships xmlns="http://schemas.openxmlformats.org/package/2006/relationships"><Relationship Id="rId8" Type="http://schemas.openxmlformats.org/officeDocument/2006/relationships/image" Target="../media/image91.png"/><Relationship Id="rId3" Type="http://schemas.openxmlformats.org/officeDocument/2006/relationships/image" Target="../media/image3.png"/><Relationship Id="rId7" Type="http://schemas.openxmlformats.org/officeDocument/2006/relationships/image" Target="../media/image97.png"/><Relationship Id="rId2" Type="http://schemas.openxmlformats.org/officeDocument/2006/relationships/image" Target="../media/image1.png"/><Relationship Id="rId1" Type="http://schemas.openxmlformats.org/officeDocument/2006/relationships/image" Target="../media/image93.emf"/><Relationship Id="rId6" Type="http://schemas.openxmlformats.org/officeDocument/2006/relationships/image" Target="../media/image96.png"/><Relationship Id="rId11" Type="http://schemas.openxmlformats.org/officeDocument/2006/relationships/image" Target="../media/image100.png"/><Relationship Id="rId5" Type="http://schemas.openxmlformats.org/officeDocument/2006/relationships/image" Target="../media/image95.png"/><Relationship Id="rId10" Type="http://schemas.openxmlformats.org/officeDocument/2006/relationships/image" Target="../media/image99.png"/><Relationship Id="rId4" Type="http://schemas.openxmlformats.org/officeDocument/2006/relationships/image" Target="../media/image94.png"/><Relationship Id="rId9" Type="http://schemas.openxmlformats.org/officeDocument/2006/relationships/image" Target="../media/image98.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1.png"/><Relationship Id="rId7" Type="http://schemas.openxmlformats.org/officeDocument/2006/relationships/image" Target="../media/image103.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98.png"/><Relationship Id="rId5" Type="http://schemas.openxmlformats.org/officeDocument/2006/relationships/image" Target="../media/image91.png"/><Relationship Id="rId4" Type="http://schemas.openxmlformats.org/officeDocument/2006/relationships/image" Target="../media/image10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4.png"/><Relationship Id="rId7" Type="http://schemas.openxmlformats.org/officeDocument/2006/relationships/image" Target="../media/image26.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98.png"/><Relationship Id="rId5" Type="http://schemas.openxmlformats.org/officeDocument/2006/relationships/image" Target="../media/image91.png"/><Relationship Id="rId4" Type="http://schemas.openxmlformats.org/officeDocument/2006/relationships/image" Target="../media/image10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08.png"/><Relationship Id="rId3" Type="http://schemas.openxmlformats.org/officeDocument/2006/relationships/image" Target="../media/image3.png"/><Relationship Id="rId7" Type="http://schemas.openxmlformats.org/officeDocument/2006/relationships/image" Target="../media/image26.png"/><Relationship Id="rId2" Type="http://schemas.openxmlformats.org/officeDocument/2006/relationships/image" Target="../media/image1.png"/><Relationship Id="rId1" Type="http://schemas.openxmlformats.org/officeDocument/2006/relationships/image" Target="../media/image106.png"/><Relationship Id="rId6" Type="http://schemas.openxmlformats.org/officeDocument/2006/relationships/image" Target="../media/image45.png"/><Relationship Id="rId5" Type="http://schemas.openxmlformats.org/officeDocument/2006/relationships/image" Target="../media/image107.png"/><Relationship Id="rId10" Type="http://schemas.openxmlformats.org/officeDocument/2006/relationships/image" Target="../media/image110.png"/><Relationship Id="rId4" Type="http://schemas.openxmlformats.org/officeDocument/2006/relationships/image" Target="../media/image91.png"/><Relationship Id="rId9" Type="http://schemas.openxmlformats.org/officeDocument/2006/relationships/image" Target="../media/image109.png"/></Relationships>
</file>

<file path=xl/drawings/_rels/drawing11.xml.rels><?xml version="1.0" encoding="UTF-8" standalone="yes"?>
<Relationships xmlns="http://schemas.openxmlformats.org/package/2006/relationships"><Relationship Id="rId8" Type="http://schemas.openxmlformats.org/officeDocument/2006/relationships/image" Target="../media/image113.png"/><Relationship Id="rId3" Type="http://schemas.openxmlformats.org/officeDocument/2006/relationships/image" Target="../media/image3.png"/><Relationship Id="rId7" Type="http://schemas.openxmlformats.org/officeDocument/2006/relationships/image" Target="../media/image109.png"/><Relationship Id="rId2" Type="http://schemas.openxmlformats.org/officeDocument/2006/relationships/image" Target="../media/image1.png"/><Relationship Id="rId1" Type="http://schemas.openxmlformats.org/officeDocument/2006/relationships/image" Target="../media/image111.png"/><Relationship Id="rId6" Type="http://schemas.openxmlformats.org/officeDocument/2006/relationships/image" Target="../media/image107.png"/><Relationship Id="rId5" Type="http://schemas.openxmlformats.org/officeDocument/2006/relationships/image" Target="../media/image112.png"/><Relationship Id="rId10" Type="http://schemas.openxmlformats.org/officeDocument/2006/relationships/image" Target="../media/image115.png"/><Relationship Id="rId4" Type="http://schemas.openxmlformats.org/officeDocument/2006/relationships/image" Target="../media/image91.png"/><Relationship Id="rId9" Type="http://schemas.openxmlformats.org/officeDocument/2006/relationships/image" Target="../media/image11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116.png"/><Relationship Id="rId6" Type="http://schemas.openxmlformats.org/officeDocument/2006/relationships/image" Target="../media/image108.png"/><Relationship Id="rId5" Type="http://schemas.openxmlformats.org/officeDocument/2006/relationships/image" Target="../media/image107.png"/><Relationship Id="rId4" Type="http://schemas.openxmlformats.org/officeDocument/2006/relationships/image" Target="../media/image9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117.png"/><Relationship Id="rId6" Type="http://schemas.openxmlformats.org/officeDocument/2006/relationships/image" Target="../media/image26.png"/><Relationship Id="rId5" Type="http://schemas.openxmlformats.org/officeDocument/2006/relationships/image" Target="../media/image118.png"/><Relationship Id="rId4" Type="http://schemas.openxmlformats.org/officeDocument/2006/relationships/image" Target="../media/image9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119.png"/><Relationship Id="rId6" Type="http://schemas.openxmlformats.org/officeDocument/2006/relationships/image" Target="../media/image120.png"/><Relationship Id="rId5" Type="http://schemas.openxmlformats.org/officeDocument/2006/relationships/image" Target="../media/image118.png"/><Relationship Id="rId4" Type="http://schemas.openxmlformats.org/officeDocument/2006/relationships/image" Target="../media/image9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21.png"/></Relationships>
</file>

<file path=xl/drawings/drawing1.xml><?xml version="1.0" encoding="utf-8"?>
<xdr:wsDr xmlns:xdr="http://schemas.openxmlformats.org/drawingml/2006/spreadsheetDrawing" xmlns:a="http://schemas.openxmlformats.org/drawingml/2006/main">
  <xdr:twoCellAnchor editAs="oneCell">
    <xdr:from>
      <xdr:col>2</xdr:col>
      <xdr:colOff>698500</xdr:colOff>
      <xdr:row>0</xdr:row>
      <xdr:rowOff>0</xdr:rowOff>
    </xdr:from>
    <xdr:to>
      <xdr:col>9</xdr:col>
      <xdr:colOff>0</xdr:colOff>
      <xdr:row>2</xdr:row>
      <xdr:rowOff>76200</xdr:rowOff>
    </xdr:to>
    <xdr:pic>
      <xdr:nvPicPr>
        <xdr:cNvPr id="29961" name="Picture 69" descr="ImagingService">
          <a:extLst>
            <a:ext uri="{FF2B5EF4-FFF2-40B4-BE49-F238E27FC236}">
              <a16:creationId xmlns:a16="http://schemas.microsoft.com/office/drawing/2014/main" id="{76A3C2AC-E227-03A3-740F-BBED439483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1314450" y="0"/>
          <a:ext cx="4902200" cy="463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10</xdr:row>
      <xdr:rowOff>177800</xdr:rowOff>
    </xdr:from>
    <xdr:to>
      <xdr:col>4</xdr:col>
      <xdr:colOff>0</xdr:colOff>
      <xdr:row>13</xdr:row>
      <xdr:rowOff>0</xdr:rowOff>
    </xdr:to>
    <xdr:pic>
      <xdr:nvPicPr>
        <xdr:cNvPr id="29962" name="Picture 37" descr="ImagingService">
          <a:extLst>
            <a:ext uri="{FF2B5EF4-FFF2-40B4-BE49-F238E27FC236}">
              <a16:creationId xmlns:a16="http://schemas.microsoft.com/office/drawing/2014/main" id="{79EA050A-CD11-392F-52A4-BB527FF6F80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74333" r="74120" b="10667"/>
        <a:stretch>
          <a:fillRect/>
        </a:stretch>
      </xdr:blipFill>
      <xdr:spPr bwMode="auto">
        <a:xfrm>
          <a:off x="292100" y="2051050"/>
          <a:ext cx="192405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2</xdr:col>
      <xdr:colOff>698500</xdr:colOff>
      <xdr:row>2</xdr:row>
      <xdr:rowOff>44450</xdr:rowOff>
    </xdr:to>
    <xdr:pic>
      <xdr:nvPicPr>
        <xdr:cNvPr id="29963" name="Picture 8">
          <a:extLst>
            <a:ext uri="{FF2B5EF4-FFF2-40B4-BE49-F238E27FC236}">
              <a16:creationId xmlns:a16="http://schemas.microsoft.com/office/drawing/2014/main" id="{347C2DD5-6FAC-5DCE-E732-BAF26518B5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92100" y="0"/>
          <a:ext cx="10223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0</xdr:colOff>
      <xdr:row>2</xdr:row>
      <xdr:rowOff>44450</xdr:rowOff>
    </xdr:from>
    <xdr:to>
      <xdr:col>4</xdr:col>
      <xdr:colOff>0</xdr:colOff>
      <xdr:row>3</xdr:row>
      <xdr:rowOff>215900</xdr:rowOff>
    </xdr:to>
    <xdr:pic>
      <xdr:nvPicPr>
        <xdr:cNvPr id="29964" name="Picture 29" descr="ImagingService">
          <a:extLst>
            <a:ext uri="{FF2B5EF4-FFF2-40B4-BE49-F238E27FC236}">
              <a16:creationId xmlns:a16="http://schemas.microsoft.com/office/drawing/2014/main" id="{128073F8-BF78-2C2B-6D7B-E7CE8785EE7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999" r="60434" b="66667"/>
        <a:stretch>
          <a:fillRect/>
        </a:stretch>
      </xdr:blipFill>
      <xdr:spPr bwMode="auto">
        <a:xfrm>
          <a:off x="292100" y="431800"/>
          <a:ext cx="19240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xdr:row>
      <xdr:rowOff>101600</xdr:rowOff>
    </xdr:from>
    <xdr:to>
      <xdr:col>4</xdr:col>
      <xdr:colOff>946150</xdr:colOff>
      <xdr:row>6</xdr:row>
      <xdr:rowOff>0</xdr:rowOff>
    </xdr:to>
    <xdr:pic>
      <xdr:nvPicPr>
        <xdr:cNvPr id="29965" name="Picture 31" descr="ImagingService">
          <a:extLst>
            <a:ext uri="{FF2B5EF4-FFF2-40B4-BE49-F238E27FC236}">
              <a16:creationId xmlns:a16="http://schemas.microsoft.com/office/drawing/2014/main" id="{18758E44-8F5A-0DE1-8771-28463938923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16000" r="29810" b="65334"/>
        <a:stretch>
          <a:fillRect/>
        </a:stretch>
      </xdr:blipFill>
      <xdr:spPr bwMode="auto">
        <a:xfrm>
          <a:off x="292100" y="882650"/>
          <a:ext cx="27241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9</xdr:row>
      <xdr:rowOff>0</xdr:rowOff>
    </xdr:from>
    <xdr:to>
      <xdr:col>4</xdr:col>
      <xdr:colOff>76200</xdr:colOff>
      <xdr:row>10</xdr:row>
      <xdr:rowOff>133350</xdr:rowOff>
    </xdr:to>
    <xdr:pic>
      <xdr:nvPicPr>
        <xdr:cNvPr id="29966" name="Picture 33" descr="ImagingService">
          <a:extLst>
            <a:ext uri="{FF2B5EF4-FFF2-40B4-BE49-F238E27FC236}">
              <a16:creationId xmlns:a16="http://schemas.microsoft.com/office/drawing/2014/main" id="{448746B3-565D-5BBF-B3E4-385BCEC9920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t="15999" r="41599" b="65668"/>
        <a:stretch>
          <a:fillRect/>
        </a:stretch>
      </xdr:blipFill>
      <xdr:spPr bwMode="auto">
        <a:xfrm>
          <a:off x="292100" y="1682750"/>
          <a:ext cx="20002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10</xdr:row>
      <xdr:rowOff>368300</xdr:rowOff>
    </xdr:from>
    <xdr:to>
      <xdr:col>3</xdr:col>
      <xdr:colOff>704850</xdr:colOff>
      <xdr:row>12</xdr:row>
      <xdr:rowOff>0</xdr:rowOff>
    </xdr:to>
    <xdr:pic>
      <xdr:nvPicPr>
        <xdr:cNvPr id="29967" name="Picture 35" descr="ImagingService">
          <a:extLst>
            <a:ext uri="{FF2B5EF4-FFF2-40B4-BE49-F238E27FC236}">
              <a16:creationId xmlns:a16="http://schemas.microsoft.com/office/drawing/2014/main" id="{3F6F7C0F-A734-E649-7B17-565B5136466C}"/>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t="15666" r="45935" b="65001"/>
        <a:stretch>
          <a:fillRect/>
        </a:stretch>
      </xdr:blipFill>
      <xdr:spPr bwMode="auto">
        <a:xfrm>
          <a:off x="615950" y="2063750"/>
          <a:ext cx="150495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717550</xdr:colOff>
      <xdr:row>11</xdr:row>
      <xdr:rowOff>323850</xdr:rowOff>
    </xdr:from>
    <xdr:to>
      <xdr:col>3</xdr:col>
      <xdr:colOff>0</xdr:colOff>
      <xdr:row>13</xdr:row>
      <xdr:rowOff>0</xdr:rowOff>
    </xdr:to>
    <xdr:pic>
      <xdr:nvPicPr>
        <xdr:cNvPr id="29968" name="Picture 36" descr="ImagingService">
          <a:extLst>
            <a:ext uri="{FF2B5EF4-FFF2-40B4-BE49-F238E27FC236}">
              <a16:creationId xmlns:a16="http://schemas.microsoft.com/office/drawing/2014/main" id="{C71F30CD-09D3-AAD4-F856-2075F5E07021}"/>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t="15666" r="66531" b="64667"/>
        <a:stretch>
          <a:fillRect/>
        </a:stretch>
      </xdr:blipFill>
      <xdr:spPr bwMode="auto">
        <a:xfrm>
          <a:off x="615950" y="2222500"/>
          <a:ext cx="80010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190500</xdr:colOff>
      <xdr:row>11</xdr:row>
      <xdr:rowOff>88900</xdr:rowOff>
    </xdr:from>
    <xdr:to>
      <xdr:col>2</xdr:col>
      <xdr:colOff>0</xdr:colOff>
      <xdr:row>12</xdr:row>
      <xdr:rowOff>215900</xdr:rowOff>
    </xdr:to>
    <xdr:pic>
      <xdr:nvPicPr>
        <xdr:cNvPr id="29969" name="Picture 38" descr="ImagingService">
          <a:extLst>
            <a:ext uri="{FF2B5EF4-FFF2-40B4-BE49-F238E27FC236}">
              <a16:creationId xmlns:a16="http://schemas.microsoft.com/office/drawing/2014/main" id="{C02A3746-D0CD-81E3-E395-E6E150F6DFB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t="15569" r="95258" b="67667"/>
        <a:stretch>
          <a:fillRect/>
        </a:stretch>
      </xdr:blipFill>
      <xdr:spPr bwMode="auto">
        <a:xfrm>
          <a:off x="482600" y="2152650"/>
          <a:ext cx="1333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19</xdr:row>
      <xdr:rowOff>120650</xdr:rowOff>
    </xdr:from>
    <xdr:to>
      <xdr:col>4</xdr:col>
      <xdr:colOff>0</xdr:colOff>
      <xdr:row>22</xdr:row>
      <xdr:rowOff>0</xdr:rowOff>
    </xdr:to>
    <xdr:pic>
      <xdr:nvPicPr>
        <xdr:cNvPr id="29970" name="Picture 40" descr="ImagingService">
          <a:extLst>
            <a:ext uri="{FF2B5EF4-FFF2-40B4-BE49-F238E27FC236}">
              <a16:creationId xmlns:a16="http://schemas.microsoft.com/office/drawing/2014/main" id="{E820D5B8-15F5-301E-EAF4-B88D67CBEB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74333" r="74120" b="10667"/>
        <a:stretch>
          <a:fillRect/>
        </a:stretch>
      </xdr:blipFill>
      <xdr:spPr bwMode="auto">
        <a:xfrm>
          <a:off x="292100" y="3454400"/>
          <a:ext cx="1924050" cy="35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717550</xdr:colOff>
      <xdr:row>20</xdr:row>
      <xdr:rowOff>0</xdr:rowOff>
    </xdr:from>
    <xdr:to>
      <xdr:col>3</xdr:col>
      <xdr:colOff>704850</xdr:colOff>
      <xdr:row>21</xdr:row>
      <xdr:rowOff>0</xdr:rowOff>
    </xdr:to>
    <xdr:pic>
      <xdr:nvPicPr>
        <xdr:cNvPr id="29971" name="Picture 41" descr="ImagingService">
          <a:extLst>
            <a:ext uri="{FF2B5EF4-FFF2-40B4-BE49-F238E27FC236}">
              <a16:creationId xmlns:a16="http://schemas.microsoft.com/office/drawing/2014/main" id="{050C8DE5-BC6A-0845-DD57-05086E4C62BE}"/>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t="15666" r="45935" b="65001"/>
        <a:stretch>
          <a:fillRect/>
        </a:stretch>
      </xdr:blipFill>
      <xdr:spPr bwMode="auto">
        <a:xfrm>
          <a:off x="615950" y="3492500"/>
          <a:ext cx="150495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717550</xdr:colOff>
      <xdr:row>20</xdr:row>
      <xdr:rowOff>342900</xdr:rowOff>
    </xdr:from>
    <xdr:to>
      <xdr:col>3</xdr:col>
      <xdr:colOff>0</xdr:colOff>
      <xdr:row>22</xdr:row>
      <xdr:rowOff>0</xdr:rowOff>
    </xdr:to>
    <xdr:pic>
      <xdr:nvPicPr>
        <xdr:cNvPr id="29972" name="Picture 42" descr="ImagingService">
          <a:extLst>
            <a:ext uri="{FF2B5EF4-FFF2-40B4-BE49-F238E27FC236}">
              <a16:creationId xmlns:a16="http://schemas.microsoft.com/office/drawing/2014/main" id="{C27823DD-4DDF-B2C9-F3E5-8D08745F9B06}"/>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t="15666" r="66531" b="64667"/>
        <a:stretch>
          <a:fillRect/>
        </a:stretch>
      </xdr:blipFill>
      <xdr:spPr bwMode="auto">
        <a:xfrm>
          <a:off x="615950" y="3651250"/>
          <a:ext cx="80010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152400</xdr:colOff>
      <xdr:row>20</xdr:row>
      <xdr:rowOff>6350</xdr:rowOff>
    </xdr:from>
    <xdr:to>
      <xdr:col>2</xdr:col>
      <xdr:colOff>0</xdr:colOff>
      <xdr:row>21</xdr:row>
      <xdr:rowOff>146050</xdr:rowOff>
    </xdr:to>
    <xdr:pic>
      <xdr:nvPicPr>
        <xdr:cNvPr id="29973" name="Picture 45" descr="ImagingService">
          <a:extLst>
            <a:ext uri="{FF2B5EF4-FFF2-40B4-BE49-F238E27FC236}">
              <a16:creationId xmlns:a16="http://schemas.microsoft.com/office/drawing/2014/main" id="{4E99734C-800F-853D-5B8B-CD578D189E74}"/>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t="14999" r="94580" b="68668"/>
        <a:stretch>
          <a:fillRect/>
        </a:stretch>
      </xdr:blipFill>
      <xdr:spPr bwMode="auto">
        <a:xfrm>
          <a:off x="444500" y="3498850"/>
          <a:ext cx="171450" cy="298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28</xdr:row>
      <xdr:rowOff>120650</xdr:rowOff>
    </xdr:from>
    <xdr:to>
      <xdr:col>4</xdr:col>
      <xdr:colOff>0</xdr:colOff>
      <xdr:row>30</xdr:row>
      <xdr:rowOff>234950</xdr:rowOff>
    </xdr:to>
    <xdr:pic>
      <xdr:nvPicPr>
        <xdr:cNvPr id="29974" name="Picture 46" descr="ImagingService">
          <a:extLst>
            <a:ext uri="{FF2B5EF4-FFF2-40B4-BE49-F238E27FC236}">
              <a16:creationId xmlns:a16="http://schemas.microsoft.com/office/drawing/2014/main" id="{C46E34A4-6A72-A592-7372-20040BA53A8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74333" r="74120" b="10667"/>
        <a:stretch>
          <a:fillRect/>
        </a:stretch>
      </xdr:blipFill>
      <xdr:spPr bwMode="auto">
        <a:xfrm>
          <a:off x="292100" y="4883150"/>
          <a:ext cx="1924050" cy="35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6350</xdr:colOff>
      <xdr:row>29</xdr:row>
      <xdr:rowOff>6350</xdr:rowOff>
    </xdr:from>
    <xdr:to>
      <xdr:col>3</xdr:col>
      <xdr:colOff>736600</xdr:colOff>
      <xdr:row>30</xdr:row>
      <xdr:rowOff>0</xdr:rowOff>
    </xdr:to>
    <xdr:pic>
      <xdr:nvPicPr>
        <xdr:cNvPr id="29975" name="Picture 47" descr="ImagingService">
          <a:extLst>
            <a:ext uri="{FF2B5EF4-FFF2-40B4-BE49-F238E27FC236}">
              <a16:creationId xmlns:a16="http://schemas.microsoft.com/office/drawing/2014/main" id="{830CF0AA-026F-7926-EA0B-AE823C4213C4}"/>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t="15666" r="45935" b="65001"/>
        <a:stretch>
          <a:fillRect/>
        </a:stretch>
      </xdr:blipFill>
      <xdr:spPr bwMode="auto">
        <a:xfrm>
          <a:off x="622300" y="4927600"/>
          <a:ext cx="1530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6350</xdr:colOff>
      <xdr:row>30</xdr:row>
      <xdr:rowOff>0</xdr:rowOff>
    </xdr:from>
    <xdr:to>
      <xdr:col>3</xdr:col>
      <xdr:colOff>0</xdr:colOff>
      <xdr:row>30</xdr:row>
      <xdr:rowOff>234950</xdr:rowOff>
    </xdr:to>
    <xdr:pic>
      <xdr:nvPicPr>
        <xdr:cNvPr id="29976" name="Picture 48" descr="ImagingService">
          <a:extLst>
            <a:ext uri="{FF2B5EF4-FFF2-40B4-BE49-F238E27FC236}">
              <a16:creationId xmlns:a16="http://schemas.microsoft.com/office/drawing/2014/main" id="{91288702-6B91-F724-0311-BCD2567CC3D1}"/>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t="15666" r="66531" b="64667"/>
        <a:stretch>
          <a:fillRect/>
        </a:stretch>
      </xdr:blipFill>
      <xdr:spPr bwMode="auto">
        <a:xfrm>
          <a:off x="622300" y="5080000"/>
          <a:ext cx="79375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228600</xdr:colOff>
      <xdr:row>29</xdr:row>
      <xdr:rowOff>57150</xdr:rowOff>
    </xdr:from>
    <xdr:to>
      <xdr:col>2</xdr:col>
      <xdr:colOff>0</xdr:colOff>
      <xdr:row>30</xdr:row>
      <xdr:rowOff>171450</xdr:rowOff>
    </xdr:to>
    <xdr:pic>
      <xdr:nvPicPr>
        <xdr:cNvPr id="29977" name="Picture 50" descr="ImagingService">
          <a:extLst>
            <a:ext uri="{FF2B5EF4-FFF2-40B4-BE49-F238E27FC236}">
              <a16:creationId xmlns:a16="http://schemas.microsoft.com/office/drawing/2014/main" id="{54234273-9D3E-99F4-3BCB-5872A17FBA55}"/>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t="16000" r="94444" b="68666"/>
        <a:stretch>
          <a:fillRect/>
        </a:stretch>
      </xdr:blipFill>
      <xdr:spPr bwMode="auto">
        <a:xfrm>
          <a:off x="520700" y="4978400"/>
          <a:ext cx="9525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37</xdr:row>
      <xdr:rowOff>120650</xdr:rowOff>
    </xdr:from>
    <xdr:to>
      <xdr:col>4</xdr:col>
      <xdr:colOff>0</xdr:colOff>
      <xdr:row>40</xdr:row>
      <xdr:rowOff>0</xdr:rowOff>
    </xdr:to>
    <xdr:pic>
      <xdr:nvPicPr>
        <xdr:cNvPr id="29978" name="Picture 51" descr="ImagingService">
          <a:extLst>
            <a:ext uri="{FF2B5EF4-FFF2-40B4-BE49-F238E27FC236}">
              <a16:creationId xmlns:a16="http://schemas.microsoft.com/office/drawing/2014/main" id="{920E631C-7C82-CC0A-A4AE-0EA2347AC80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74333" r="74120" b="10667"/>
        <a:stretch>
          <a:fillRect/>
        </a:stretch>
      </xdr:blipFill>
      <xdr:spPr bwMode="auto">
        <a:xfrm>
          <a:off x="292100" y="6311900"/>
          <a:ext cx="1924050" cy="35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50800</xdr:colOff>
      <xdr:row>38</xdr:row>
      <xdr:rowOff>6350</xdr:rowOff>
    </xdr:from>
    <xdr:to>
      <xdr:col>3</xdr:col>
      <xdr:colOff>768350</xdr:colOff>
      <xdr:row>39</xdr:row>
      <xdr:rowOff>0</xdr:rowOff>
    </xdr:to>
    <xdr:pic>
      <xdr:nvPicPr>
        <xdr:cNvPr id="29979" name="Picture 52" descr="ImagingService">
          <a:extLst>
            <a:ext uri="{FF2B5EF4-FFF2-40B4-BE49-F238E27FC236}">
              <a16:creationId xmlns:a16="http://schemas.microsoft.com/office/drawing/2014/main" id="{BABF84B7-53A6-290F-D072-D2C4FE28EB56}"/>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t="15666" r="45935" b="65001"/>
        <a:stretch>
          <a:fillRect/>
        </a:stretch>
      </xdr:blipFill>
      <xdr:spPr bwMode="auto">
        <a:xfrm>
          <a:off x="666750" y="6356350"/>
          <a:ext cx="15176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50800</xdr:colOff>
      <xdr:row>39</xdr:row>
      <xdr:rowOff>0</xdr:rowOff>
    </xdr:from>
    <xdr:to>
      <xdr:col>3</xdr:col>
      <xdr:colOff>0</xdr:colOff>
      <xdr:row>40</xdr:row>
      <xdr:rowOff>0</xdr:rowOff>
    </xdr:to>
    <xdr:pic>
      <xdr:nvPicPr>
        <xdr:cNvPr id="29980" name="Picture 53" descr="ImagingService">
          <a:extLst>
            <a:ext uri="{FF2B5EF4-FFF2-40B4-BE49-F238E27FC236}">
              <a16:creationId xmlns:a16="http://schemas.microsoft.com/office/drawing/2014/main" id="{759E8E3C-CE5E-C8AA-6B75-04D2D97ECD73}"/>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t="15666" r="66531" b="64667"/>
        <a:stretch>
          <a:fillRect/>
        </a:stretch>
      </xdr:blipFill>
      <xdr:spPr bwMode="auto">
        <a:xfrm>
          <a:off x="666750" y="6508750"/>
          <a:ext cx="74930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254000</xdr:colOff>
      <xdr:row>38</xdr:row>
      <xdr:rowOff>95250</xdr:rowOff>
    </xdr:from>
    <xdr:to>
      <xdr:col>2</xdr:col>
      <xdr:colOff>0</xdr:colOff>
      <xdr:row>39</xdr:row>
      <xdr:rowOff>215900</xdr:rowOff>
    </xdr:to>
    <xdr:pic>
      <xdr:nvPicPr>
        <xdr:cNvPr id="29981" name="Picture 56" descr="ImagingService">
          <a:extLst>
            <a:ext uri="{FF2B5EF4-FFF2-40B4-BE49-F238E27FC236}">
              <a16:creationId xmlns:a16="http://schemas.microsoft.com/office/drawing/2014/main" id="{B678DAB5-DDDB-2DEF-F94F-9F3852DF4C4E}"/>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l="-136" t="17000" r="94716" b="68001"/>
        <a:stretch>
          <a:fillRect/>
        </a:stretch>
      </xdr:blipFill>
      <xdr:spPr bwMode="auto">
        <a:xfrm>
          <a:off x="546100" y="6445250"/>
          <a:ext cx="69850" cy="222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120650</xdr:rowOff>
    </xdr:from>
    <xdr:to>
      <xdr:col>4</xdr:col>
      <xdr:colOff>0</xdr:colOff>
      <xdr:row>49</xdr:row>
      <xdr:rowOff>0</xdr:rowOff>
    </xdr:to>
    <xdr:pic>
      <xdr:nvPicPr>
        <xdr:cNvPr id="29982" name="Picture 57" descr="ImagingService">
          <a:extLst>
            <a:ext uri="{FF2B5EF4-FFF2-40B4-BE49-F238E27FC236}">
              <a16:creationId xmlns:a16="http://schemas.microsoft.com/office/drawing/2014/main" id="{D2449653-61FC-FD20-E772-3C679407EC9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74333" r="74120" b="10667"/>
        <a:stretch>
          <a:fillRect/>
        </a:stretch>
      </xdr:blipFill>
      <xdr:spPr bwMode="auto">
        <a:xfrm>
          <a:off x="292100" y="7740650"/>
          <a:ext cx="1924050" cy="35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47</xdr:row>
      <xdr:rowOff>38100</xdr:rowOff>
    </xdr:from>
    <xdr:to>
      <xdr:col>3</xdr:col>
      <xdr:colOff>793750</xdr:colOff>
      <xdr:row>48</xdr:row>
      <xdr:rowOff>19050</xdr:rowOff>
    </xdr:to>
    <xdr:pic>
      <xdr:nvPicPr>
        <xdr:cNvPr id="29983" name="Picture 58" descr="ImagingService">
          <a:extLst>
            <a:ext uri="{FF2B5EF4-FFF2-40B4-BE49-F238E27FC236}">
              <a16:creationId xmlns:a16="http://schemas.microsoft.com/office/drawing/2014/main" id="{2684AD24-2D2F-CB3C-3A79-BD7000B948DF}"/>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t="15666" r="45935" b="65001"/>
        <a:stretch>
          <a:fillRect/>
        </a:stretch>
      </xdr:blipFill>
      <xdr:spPr bwMode="auto">
        <a:xfrm>
          <a:off x="692150" y="7816850"/>
          <a:ext cx="1517650" cy="13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48</xdr:row>
      <xdr:rowOff>6350</xdr:rowOff>
    </xdr:from>
    <xdr:to>
      <xdr:col>3</xdr:col>
      <xdr:colOff>0</xdr:colOff>
      <xdr:row>49</xdr:row>
      <xdr:rowOff>0</xdr:rowOff>
    </xdr:to>
    <xdr:pic>
      <xdr:nvPicPr>
        <xdr:cNvPr id="29984" name="Picture 59" descr="ImagingService">
          <a:extLst>
            <a:ext uri="{FF2B5EF4-FFF2-40B4-BE49-F238E27FC236}">
              <a16:creationId xmlns:a16="http://schemas.microsoft.com/office/drawing/2014/main" id="{B2C4D26E-2EB1-4D01-76D4-20310ACE8431}"/>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t="15666" r="66531" b="64667"/>
        <a:stretch>
          <a:fillRect/>
        </a:stretch>
      </xdr:blipFill>
      <xdr:spPr bwMode="auto">
        <a:xfrm>
          <a:off x="692150" y="7943850"/>
          <a:ext cx="7239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228600</xdr:colOff>
      <xdr:row>47</xdr:row>
      <xdr:rowOff>88900</xdr:rowOff>
    </xdr:from>
    <xdr:to>
      <xdr:col>2</xdr:col>
      <xdr:colOff>0</xdr:colOff>
      <xdr:row>49</xdr:row>
      <xdr:rowOff>0</xdr:rowOff>
    </xdr:to>
    <xdr:pic>
      <xdr:nvPicPr>
        <xdr:cNvPr id="29985" name="Picture 62" descr="ImagingService">
          <a:extLst>
            <a:ext uri="{FF2B5EF4-FFF2-40B4-BE49-F238E27FC236}">
              <a16:creationId xmlns:a16="http://schemas.microsoft.com/office/drawing/2014/main" id="{15251C7E-EB56-6077-C738-8288CF39F1C7}"/>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t="14999" r="94986" b="68001"/>
        <a:stretch>
          <a:fillRect/>
        </a:stretch>
      </xdr:blipFill>
      <xdr:spPr bwMode="auto">
        <a:xfrm>
          <a:off x="520700" y="7867650"/>
          <a:ext cx="952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4</xdr:row>
      <xdr:rowOff>152400</xdr:rowOff>
    </xdr:from>
    <xdr:to>
      <xdr:col>13</xdr:col>
      <xdr:colOff>0</xdr:colOff>
      <xdr:row>6</xdr:row>
      <xdr:rowOff>0</xdr:rowOff>
    </xdr:to>
    <xdr:pic>
      <xdr:nvPicPr>
        <xdr:cNvPr id="29986" name="Picture 63" descr="ImagingService">
          <a:extLst>
            <a:ext uri="{FF2B5EF4-FFF2-40B4-BE49-F238E27FC236}">
              <a16:creationId xmlns:a16="http://schemas.microsoft.com/office/drawing/2014/main" id="{439A9A97-9046-5995-D944-E4A048704B93}"/>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t="16000" r="46071" b="67000"/>
        <a:stretch>
          <a:fillRect/>
        </a:stretch>
      </xdr:blipFill>
      <xdr:spPr bwMode="auto">
        <a:xfrm>
          <a:off x="6508750" y="933450"/>
          <a:ext cx="1924050" cy="177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29</xdr:row>
      <xdr:rowOff>6350</xdr:rowOff>
    </xdr:from>
    <xdr:to>
      <xdr:col>14</xdr:col>
      <xdr:colOff>361950</xdr:colOff>
      <xdr:row>30</xdr:row>
      <xdr:rowOff>234950</xdr:rowOff>
    </xdr:to>
    <xdr:pic>
      <xdr:nvPicPr>
        <xdr:cNvPr id="29987" name="Picture 65" descr="ImagingService">
          <a:extLst>
            <a:ext uri="{FF2B5EF4-FFF2-40B4-BE49-F238E27FC236}">
              <a16:creationId xmlns:a16="http://schemas.microsoft.com/office/drawing/2014/main" id="{ABA42D42-48B7-E6BD-0D7D-1760B6E2D054}"/>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t="14667" r="25610" b="67000"/>
        <a:stretch>
          <a:fillRect/>
        </a:stretch>
      </xdr:blipFill>
      <xdr:spPr bwMode="auto">
        <a:xfrm>
          <a:off x="6508750" y="4927600"/>
          <a:ext cx="3086100" cy="311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647700</xdr:colOff>
      <xdr:row>0</xdr:row>
      <xdr:rowOff>0</xdr:rowOff>
    </xdr:from>
    <xdr:to>
      <xdr:col>17</xdr:col>
      <xdr:colOff>1181100</xdr:colOff>
      <xdr:row>2</xdr:row>
      <xdr:rowOff>69850</xdr:rowOff>
    </xdr:to>
    <xdr:pic>
      <xdr:nvPicPr>
        <xdr:cNvPr id="29988" name="Picture 72" descr="ImagingService">
          <a:extLst>
            <a:ext uri="{FF2B5EF4-FFF2-40B4-BE49-F238E27FC236}">
              <a16:creationId xmlns:a16="http://schemas.microsoft.com/office/drawing/2014/main" id="{32B89789-D9BA-8D38-E2CE-5A82E095C7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7480300" y="0"/>
          <a:ext cx="49530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0</xdr:colOff>
      <xdr:row>0</xdr:row>
      <xdr:rowOff>0</xdr:rowOff>
    </xdr:from>
    <xdr:to>
      <xdr:col>11</xdr:col>
      <xdr:colOff>698500</xdr:colOff>
      <xdr:row>2</xdr:row>
      <xdr:rowOff>44450</xdr:rowOff>
    </xdr:to>
    <xdr:pic>
      <xdr:nvPicPr>
        <xdr:cNvPr id="29989" name="Picture 73">
          <a:extLst>
            <a:ext uri="{FF2B5EF4-FFF2-40B4-BE49-F238E27FC236}">
              <a16:creationId xmlns:a16="http://schemas.microsoft.com/office/drawing/2014/main" id="{15BF8BA5-54BE-5020-8F98-80536BBA36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6508750" y="0"/>
          <a:ext cx="10223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10</xdr:col>
      <xdr:colOff>0</xdr:colOff>
      <xdr:row>2</xdr:row>
      <xdr:rowOff>44450</xdr:rowOff>
    </xdr:from>
    <xdr:to>
      <xdr:col>13</xdr:col>
      <xdr:colOff>0</xdr:colOff>
      <xdr:row>3</xdr:row>
      <xdr:rowOff>215900</xdr:rowOff>
    </xdr:to>
    <xdr:pic>
      <xdr:nvPicPr>
        <xdr:cNvPr id="29990" name="Picture 81" descr="ImagingService">
          <a:extLst>
            <a:ext uri="{FF2B5EF4-FFF2-40B4-BE49-F238E27FC236}">
              <a16:creationId xmlns:a16="http://schemas.microsoft.com/office/drawing/2014/main" id="{1683B696-656B-7A8C-C533-F610ACB7896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999" r="60434" b="66667"/>
        <a:stretch>
          <a:fillRect/>
        </a:stretch>
      </xdr:blipFill>
      <xdr:spPr bwMode="auto">
        <a:xfrm>
          <a:off x="6508750" y="431800"/>
          <a:ext cx="19240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1193800</xdr:colOff>
      <xdr:row>0</xdr:row>
      <xdr:rowOff>317500</xdr:rowOff>
    </xdr:from>
    <xdr:to>
      <xdr:col>17</xdr:col>
      <xdr:colOff>1181100</xdr:colOff>
      <xdr:row>3</xdr:row>
      <xdr:rowOff>25400</xdr:rowOff>
    </xdr:to>
    <xdr:pic>
      <xdr:nvPicPr>
        <xdr:cNvPr id="29991" name="Picture 83" descr="ImagingService">
          <a:extLst>
            <a:ext uri="{FF2B5EF4-FFF2-40B4-BE49-F238E27FC236}">
              <a16:creationId xmlns:a16="http://schemas.microsoft.com/office/drawing/2014/main" id="{1915FF7B-6DA0-9C93-B1C2-0A24C6B8705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l="136" t="12936" r="86719" b="66000"/>
        <a:stretch>
          <a:fillRect/>
        </a:stretch>
      </xdr:blipFill>
      <xdr:spPr bwMode="auto">
        <a:xfrm>
          <a:off x="11633200" y="228600"/>
          <a:ext cx="8001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1416050</xdr:colOff>
      <xdr:row>0</xdr:row>
      <xdr:rowOff>323850</xdr:rowOff>
    </xdr:from>
    <xdr:to>
      <xdr:col>9</xdr:col>
      <xdr:colOff>0</xdr:colOff>
      <xdr:row>3</xdr:row>
      <xdr:rowOff>19050</xdr:rowOff>
    </xdr:to>
    <xdr:pic>
      <xdr:nvPicPr>
        <xdr:cNvPr id="29992" name="Picture 82" descr="ImagingService">
          <a:extLst>
            <a:ext uri="{FF2B5EF4-FFF2-40B4-BE49-F238E27FC236}">
              <a16:creationId xmlns:a16="http://schemas.microsoft.com/office/drawing/2014/main" id="{088CFCA1-2D50-3C1F-A902-2D6BF73893DF}"/>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l="-406" t="12666" r="86314" b="65886"/>
        <a:stretch>
          <a:fillRect/>
        </a:stretch>
      </xdr:blipFill>
      <xdr:spPr bwMode="auto">
        <a:xfrm>
          <a:off x="5416550" y="228600"/>
          <a:ext cx="800100" cy="41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1111250</xdr:colOff>
      <xdr:row>55</xdr:row>
      <xdr:rowOff>228600</xdr:rowOff>
    </xdr:from>
    <xdr:to>
      <xdr:col>8</xdr:col>
      <xdr:colOff>1111250</xdr:colOff>
      <xdr:row>60</xdr:row>
      <xdr:rowOff>44450</xdr:rowOff>
    </xdr:to>
    <xdr:pic>
      <xdr:nvPicPr>
        <xdr:cNvPr id="29993" name="1 Imagen">
          <a:extLst>
            <a:ext uri="{FF2B5EF4-FFF2-40B4-BE49-F238E27FC236}">
              <a16:creationId xmlns:a16="http://schemas.microsoft.com/office/drawing/2014/main" id="{54DD16DA-73F5-BEF7-E0C8-B0C9921DD54A}"/>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4616450" y="9207500"/>
          <a:ext cx="1600200"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1123950</xdr:colOff>
      <xdr:row>55</xdr:row>
      <xdr:rowOff>228600</xdr:rowOff>
    </xdr:from>
    <xdr:to>
      <xdr:col>17</xdr:col>
      <xdr:colOff>1136650</xdr:colOff>
      <xdr:row>60</xdr:row>
      <xdr:rowOff>25400</xdr:rowOff>
    </xdr:to>
    <xdr:pic>
      <xdr:nvPicPr>
        <xdr:cNvPr id="29994" name="1 Imagen">
          <a:extLst>
            <a:ext uri="{FF2B5EF4-FFF2-40B4-BE49-F238E27FC236}">
              <a16:creationId xmlns:a16="http://schemas.microsoft.com/office/drawing/2014/main" id="{73ABBA91-3D53-29A9-F8CE-232D6315B1D2}"/>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0833100" y="9207500"/>
          <a:ext cx="160020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37</xdr:col>
      <xdr:colOff>0</xdr:colOff>
      <xdr:row>0</xdr:row>
      <xdr:rowOff>0</xdr:rowOff>
    </xdr:from>
    <xdr:to>
      <xdr:col>45</xdr:col>
      <xdr:colOff>0</xdr:colOff>
      <xdr:row>2</xdr:row>
      <xdr:rowOff>44450</xdr:rowOff>
    </xdr:to>
    <xdr:grpSp>
      <xdr:nvGrpSpPr>
        <xdr:cNvPr id="31043" name="Group 41">
          <a:extLst>
            <a:ext uri="{FF2B5EF4-FFF2-40B4-BE49-F238E27FC236}">
              <a16:creationId xmlns:a16="http://schemas.microsoft.com/office/drawing/2014/main" id="{6563F723-C646-C081-1543-D208E69B7D0C}"/>
            </a:ext>
          </a:extLst>
        </xdr:cNvPr>
        <xdr:cNvGrpSpPr>
          <a:grpSpLocks/>
        </xdr:cNvGrpSpPr>
      </xdr:nvGrpSpPr>
      <xdr:grpSpPr bwMode="auto">
        <a:xfrm>
          <a:off x="24755061" y="0"/>
          <a:ext cx="5791200" cy="435389"/>
          <a:chOff x="2538" y="0"/>
          <a:chExt cx="592" cy="44"/>
        </a:xfrm>
      </xdr:grpSpPr>
      <xdr:pic>
        <xdr:nvPicPr>
          <xdr:cNvPr id="31105" name="Picture 37" descr="ImagingService">
            <a:extLst>
              <a:ext uri="{FF2B5EF4-FFF2-40B4-BE49-F238E27FC236}">
                <a16:creationId xmlns:a16="http://schemas.microsoft.com/office/drawing/2014/main" id="{78F3A523-893F-6D2D-99A5-3320A4E96A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106" name="Picture 38">
            <a:extLst>
              <a:ext uri="{FF2B5EF4-FFF2-40B4-BE49-F238E27FC236}">
                <a16:creationId xmlns:a16="http://schemas.microsoft.com/office/drawing/2014/main" id="{31162D22-E6E2-48CE-1774-8053BE7A9E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47</xdr:col>
      <xdr:colOff>1111250</xdr:colOff>
      <xdr:row>14</xdr:row>
      <xdr:rowOff>76200</xdr:rowOff>
    </xdr:from>
    <xdr:to>
      <xdr:col>53</xdr:col>
      <xdr:colOff>88900</xdr:colOff>
      <xdr:row>37</xdr:row>
      <xdr:rowOff>165100</xdr:rowOff>
    </xdr:to>
    <xdr:pic macro="Macro1">
      <xdr:nvPicPr>
        <xdr:cNvPr id="31044" name="Picture 5">
          <a:extLst>
            <a:ext uri="{FF2B5EF4-FFF2-40B4-BE49-F238E27FC236}">
              <a16:creationId xmlns:a16="http://schemas.microsoft.com/office/drawing/2014/main" id="{FA91FDBD-F039-A7C3-64E8-3503B3102E8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689800" y="2482850"/>
          <a:ext cx="4089400" cy="3873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oneCell">
    <xdr:from>
      <xdr:col>37</xdr:col>
      <xdr:colOff>0</xdr:colOff>
      <xdr:row>2</xdr:row>
      <xdr:rowOff>107950</xdr:rowOff>
    </xdr:from>
    <xdr:to>
      <xdr:col>40</xdr:col>
      <xdr:colOff>254000</xdr:colOff>
      <xdr:row>3</xdr:row>
      <xdr:rowOff>158750</xdr:rowOff>
    </xdr:to>
    <xdr:pic>
      <xdr:nvPicPr>
        <xdr:cNvPr id="31045" name="Picture 36" descr="ImagingService">
          <a:extLst>
            <a:ext uri="{FF2B5EF4-FFF2-40B4-BE49-F238E27FC236}">
              <a16:creationId xmlns:a16="http://schemas.microsoft.com/office/drawing/2014/main" id="{A3F0EFCA-82CF-AB3A-61E5-9E298932E7E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25317450" y="495300"/>
          <a:ext cx="21780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0</xdr:colOff>
      <xdr:row>4</xdr:row>
      <xdr:rowOff>285750</xdr:rowOff>
    </xdr:from>
    <xdr:to>
      <xdr:col>39</xdr:col>
      <xdr:colOff>2982</xdr:colOff>
      <xdr:row>6</xdr:row>
      <xdr:rowOff>0</xdr:rowOff>
    </xdr:to>
    <xdr:pic>
      <xdr:nvPicPr>
        <xdr:cNvPr id="31046" name="Picture 40">
          <a:extLst>
            <a:ext uri="{FF2B5EF4-FFF2-40B4-BE49-F238E27FC236}">
              <a16:creationId xmlns:a16="http://schemas.microsoft.com/office/drawing/2014/main" id="{FFA59FCB-9AFB-00F4-603C-096E51E7CAC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16667" r="70732" b="69333"/>
        <a:stretch>
          <a:fillRect/>
        </a:stretch>
      </xdr:blipFill>
      <xdr:spPr bwMode="auto">
        <a:xfrm>
          <a:off x="25317450" y="952500"/>
          <a:ext cx="1123950" cy="1587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0</xdr:colOff>
      <xdr:row>0</xdr:row>
      <xdr:rowOff>0</xdr:rowOff>
    </xdr:from>
    <xdr:to>
      <xdr:col>9</xdr:col>
      <xdr:colOff>0</xdr:colOff>
      <xdr:row>2</xdr:row>
      <xdr:rowOff>44450</xdr:rowOff>
    </xdr:to>
    <xdr:grpSp>
      <xdr:nvGrpSpPr>
        <xdr:cNvPr id="31047" name="Group 42">
          <a:extLst>
            <a:ext uri="{FF2B5EF4-FFF2-40B4-BE49-F238E27FC236}">
              <a16:creationId xmlns:a16="http://schemas.microsoft.com/office/drawing/2014/main" id="{37824BED-0CDD-D99F-B9FB-A1042CDDA47B}"/>
            </a:ext>
          </a:extLst>
        </xdr:cNvPr>
        <xdr:cNvGrpSpPr>
          <a:grpSpLocks/>
        </xdr:cNvGrpSpPr>
      </xdr:nvGrpSpPr>
      <xdr:grpSpPr bwMode="auto">
        <a:xfrm>
          <a:off x="318052" y="0"/>
          <a:ext cx="5791200" cy="435389"/>
          <a:chOff x="2538" y="0"/>
          <a:chExt cx="592" cy="44"/>
        </a:xfrm>
      </xdr:grpSpPr>
      <xdr:pic>
        <xdr:nvPicPr>
          <xdr:cNvPr id="31103" name="Picture 43" descr="ImagingService">
            <a:extLst>
              <a:ext uri="{FF2B5EF4-FFF2-40B4-BE49-F238E27FC236}">
                <a16:creationId xmlns:a16="http://schemas.microsoft.com/office/drawing/2014/main" id="{D22F840E-6E31-C420-6315-4529BCB912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104" name="Picture 44">
            <a:extLst>
              <a:ext uri="{FF2B5EF4-FFF2-40B4-BE49-F238E27FC236}">
                <a16:creationId xmlns:a16="http://schemas.microsoft.com/office/drawing/2014/main" id="{299BEDB8-749D-BCFF-60FA-205A7ED02B6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xdr:col>
      <xdr:colOff>0</xdr:colOff>
      <xdr:row>2</xdr:row>
      <xdr:rowOff>6350</xdr:rowOff>
    </xdr:from>
    <xdr:to>
      <xdr:col>4</xdr:col>
      <xdr:colOff>457200</xdr:colOff>
      <xdr:row>3</xdr:row>
      <xdr:rowOff>158750</xdr:rowOff>
    </xdr:to>
    <xdr:pic>
      <xdr:nvPicPr>
        <xdr:cNvPr id="31048" name="Picture 45" descr="ImagingService">
          <a:extLst>
            <a:ext uri="{FF2B5EF4-FFF2-40B4-BE49-F238E27FC236}">
              <a16:creationId xmlns:a16="http://schemas.microsoft.com/office/drawing/2014/main" id="{88AD790C-18F7-31F5-412E-A2A67E0489F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323850" y="393700"/>
          <a:ext cx="2381250" cy="38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xdr:row>
      <xdr:rowOff>88900</xdr:rowOff>
    </xdr:from>
    <xdr:to>
      <xdr:col>6</xdr:col>
      <xdr:colOff>2982</xdr:colOff>
      <xdr:row>5</xdr:row>
      <xdr:rowOff>158750</xdr:rowOff>
    </xdr:to>
    <xdr:pic>
      <xdr:nvPicPr>
        <xdr:cNvPr id="31049" name="Picture 48" descr="ImagingService">
          <a:extLst>
            <a:ext uri="{FF2B5EF4-FFF2-40B4-BE49-F238E27FC236}">
              <a16:creationId xmlns:a16="http://schemas.microsoft.com/office/drawing/2014/main" id="{290761CE-7626-EC8D-F00E-BD23E2A8039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t="14333" r="18156" b="65334"/>
        <a:stretch>
          <a:fillRect/>
        </a:stretch>
      </xdr:blipFill>
      <xdr:spPr bwMode="auto">
        <a:xfrm>
          <a:off x="323850" y="869950"/>
          <a:ext cx="3524250" cy="24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0</xdr:colOff>
      <xdr:row>0</xdr:row>
      <xdr:rowOff>0</xdr:rowOff>
    </xdr:from>
    <xdr:to>
      <xdr:col>18</xdr:col>
      <xdr:colOff>0</xdr:colOff>
      <xdr:row>2</xdr:row>
      <xdr:rowOff>44450</xdr:rowOff>
    </xdr:to>
    <xdr:grpSp>
      <xdr:nvGrpSpPr>
        <xdr:cNvPr id="31050" name="Group 49">
          <a:extLst>
            <a:ext uri="{FF2B5EF4-FFF2-40B4-BE49-F238E27FC236}">
              <a16:creationId xmlns:a16="http://schemas.microsoft.com/office/drawing/2014/main" id="{7C3C7417-7472-B646-D358-0C1C19FCF7BF}"/>
            </a:ext>
          </a:extLst>
        </xdr:cNvPr>
        <xdr:cNvGrpSpPr>
          <a:grpSpLocks/>
        </xdr:cNvGrpSpPr>
      </xdr:nvGrpSpPr>
      <xdr:grpSpPr bwMode="auto">
        <a:xfrm>
          <a:off x="6427304" y="0"/>
          <a:ext cx="5791200" cy="435389"/>
          <a:chOff x="2538" y="0"/>
          <a:chExt cx="592" cy="44"/>
        </a:xfrm>
      </xdr:grpSpPr>
      <xdr:pic>
        <xdr:nvPicPr>
          <xdr:cNvPr id="31101" name="Picture 50" descr="ImagingService">
            <a:extLst>
              <a:ext uri="{FF2B5EF4-FFF2-40B4-BE49-F238E27FC236}">
                <a16:creationId xmlns:a16="http://schemas.microsoft.com/office/drawing/2014/main" id="{C3957CB3-1567-6431-6E36-237AFE82EE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102" name="Picture 51">
            <a:extLst>
              <a:ext uri="{FF2B5EF4-FFF2-40B4-BE49-F238E27FC236}">
                <a16:creationId xmlns:a16="http://schemas.microsoft.com/office/drawing/2014/main" id="{3030AD9E-52D2-9337-9102-C0AB851B95A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10</xdr:col>
      <xdr:colOff>0</xdr:colOff>
      <xdr:row>2</xdr:row>
      <xdr:rowOff>44450</xdr:rowOff>
    </xdr:from>
    <xdr:to>
      <xdr:col>13</xdr:col>
      <xdr:colOff>457200</xdr:colOff>
      <xdr:row>3</xdr:row>
      <xdr:rowOff>158750</xdr:rowOff>
    </xdr:to>
    <xdr:pic>
      <xdr:nvPicPr>
        <xdr:cNvPr id="31051" name="Picture 52" descr="ImagingService">
          <a:extLst>
            <a:ext uri="{FF2B5EF4-FFF2-40B4-BE49-F238E27FC236}">
              <a16:creationId xmlns:a16="http://schemas.microsoft.com/office/drawing/2014/main" id="{A8B8ADEF-5D45-5E47-28DC-3151558C6EA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6572250" y="431800"/>
          <a:ext cx="23812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4</xdr:row>
      <xdr:rowOff>152400</xdr:rowOff>
    </xdr:from>
    <xdr:to>
      <xdr:col>13</xdr:col>
      <xdr:colOff>685800</xdr:colOff>
      <xdr:row>5</xdr:row>
      <xdr:rowOff>158750</xdr:rowOff>
    </xdr:to>
    <xdr:pic>
      <xdr:nvPicPr>
        <xdr:cNvPr id="31052" name="Picture 53" descr="ImagingService">
          <a:extLst>
            <a:ext uri="{FF2B5EF4-FFF2-40B4-BE49-F238E27FC236}">
              <a16:creationId xmlns:a16="http://schemas.microsoft.com/office/drawing/2014/main" id="{DC8791CD-96D7-811D-9AD9-D44991C7B30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t="15666" r="39566" b="66000"/>
        <a:stretch>
          <a:fillRect/>
        </a:stretch>
      </xdr:blipFill>
      <xdr:spPr bwMode="auto">
        <a:xfrm>
          <a:off x="6572250" y="933450"/>
          <a:ext cx="2609850" cy="177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29</xdr:row>
      <xdr:rowOff>171450</xdr:rowOff>
    </xdr:from>
    <xdr:to>
      <xdr:col>13</xdr:col>
      <xdr:colOff>2982</xdr:colOff>
      <xdr:row>30</xdr:row>
      <xdr:rowOff>158750</xdr:rowOff>
    </xdr:to>
    <xdr:pic>
      <xdr:nvPicPr>
        <xdr:cNvPr id="31053" name="Picture 54" descr="ImagingService">
          <a:extLst>
            <a:ext uri="{FF2B5EF4-FFF2-40B4-BE49-F238E27FC236}">
              <a16:creationId xmlns:a16="http://schemas.microsoft.com/office/drawing/2014/main" id="{B73A3730-4805-63D3-E91E-A908D473E9C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t="15001" r="51627" b="67667"/>
        <a:stretch>
          <a:fillRect/>
        </a:stretch>
      </xdr:blipFill>
      <xdr:spPr bwMode="auto">
        <a:xfrm>
          <a:off x="6572250" y="5041900"/>
          <a:ext cx="192405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0</xdr:colOff>
      <xdr:row>0</xdr:row>
      <xdr:rowOff>0</xdr:rowOff>
    </xdr:from>
    <xdr:to>
      <xdr:col>27</xdr:col>
      <xdr:colOff>0</xdr:colOff>
      <xdr:row>2</xdr:row>
      <xdr:rowOff>44450</xdr:rowOff>
    </xdr:to>
    <xdr:grpSp>
      <xdr:nvGrpSpPr>
        <xdr:cNvPr id="31054" name="Group 55">
          <a:extLst>
            <a:ext uri="{FF2B5EF4-FFF2-40B4-BE49-F238E27FC236}">
              <a16:creationId xmlns:a16="http://schemas.microsoft.com/office/drawing/2014/main" id="{9EFFC38C-FB05-27E0-6B53-53FEF23C3D0F}"/>
            </a:ext>
          </a:extLst>
        </xdr:cNvPr>
        <xdr:cNvGrpSpPr>
          <a:grpSpLocks/>
        </xdr:cNvGrpSpPr>
      </xdr:nvGrpSpPr>
      <xdr:grpSpPr bwMode="auto">
        <a:xfrm>
          <a:off x="12536557" y="0"/>
          <a:ext cx="5791200" cy="435389"/>
          <a:chOff x="2538" y="0"/>
          <a:chExt cx="592" cy="44"/>
        </a:xfrm>
      </xdr:grpSpPr>
      <xdr:pic>
        <xdr:nvPicPr>
          <xdr:cNvPr id="31099" name="Picture 56" descr="ImagingService">
            <a:extLst>
              <a:ext uri="{FF2B5EF4-FFF2-40B4-BE49-F238E27FC236}">
                <a16:creationId xmlns:a16="http://schemas.microsoft.com/office/drawing/2014/main" id="{21FA0F0A-0D49-2061-E567-1B725C0551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100" name="Picture 57">
            <a:extLst>
              <a:ext uri="{FF2B5EF4-FFF2-40B4-BE49-F238E27FC236}">
                <a16:creationId xmlns:a16="http://schemas.microsoft.com/office/drawing/2014/main" id="{CEA856A0-F7D8-2BF0-7068-6962EBBA161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19</xdr:col>
      <xdr:colOff>0</xdr:colOff>
      <xdr:row>2</xdr:row>
      <xdr:rowOff>6350</xdr:rowOff>
    </xdr:from>
    <xdr:to>
      <xdr:col>22</xdr:col>
      <xdr:colOff>457200</xdr:colOff>
      <xdr:row>3</xdr:row>
      <xdr:rowOff>158750</xdr:rowOff>
    </xdr:to>
    <xdr:pic>
      <xdr:nvPicPr>
        <xdr:cNvPr id="31055" name="Picture 58" descr="ImagingService">
          <a:extLst>
            <a:ext uri="{FF2B5EF4-FFF2-40B4-BE49-F238E27FC236}">
              <a16:creationId xmlns:a16="http://schemas.microsoft.com/office/drawing/2014/main" id="{7D8B9FCF-15A7-4801-8DE4-4CB2AE26213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12820650" y="393700"/>
          <a:ext cx="2381250" cy="38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0</xdr:colOff>
      <xdr:row>4</xdr:row>
      <xdr:rowOff>69850</xdr:rowOff>
    </xdr:from>
    <xdr:to>
      <xdr:col>22</xdr:col>
      <xdr:colOff>628650</xdr:colOff>
      <xdr:row>5</xdr:row>
      <xdr:rowOff>158750</xdr:rowOff>
    </xdr:to>
    <xdr:pic>
      <xdr:nvPicPr>
        <xdr:cNvPr id="31056" name="Picture 59" descr="ImagingService">
          <a:extLst>
            <a:ext uri="{FF2B5EF4-FFF2-40B4-BE49-F238E27FC236}">
              <a16:creationId xmlns:a16="http://schemas.microsoft.com/office/drawing/2014/main" id="{30D1432D-1C07-23A6-BA4E-BDC3A9B6A46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t="13000" r="35095" b="64000"/>
        <a:stretch>
          <a:fillRect/>
        </a:stretch>
      </xdr:blipFill>
      <xdr:spPr bwMode="auto">
        <a:xfrm>
          <a:off x="12820650" y="850900"/>
          <a:ext cx="25527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28</xdr:col>
      <xdr:colOff>0</xdr:colOff>
      <xdr:row>0</xdr:row>
      <xdr:rowOff>0</xdr:rowOff>
    </xdr:from>
    <xdr:to>
      <xdr:col>36</xdr:col>
      <xdr:colOff>0</xdr:colOff>
      <xdr:row>2</xdr:row>
      <xdr:rowOff>44450</xdr:rowOff>
    </xdr:to>
    <xdr:grpSp>
      <xdr:nvGrpSpPr>
        <xdr:cNvPr id="31057" name="Group 60">
          <a:extLst>
            <a:ext uri="{FF2B5EF4-FFF2-40B4-BE49-F238E27FC236}">
              <a16:creationId xmlns:a16="http://schemas.microsoft.com/office/drawing/2014/main" id="{25B226B8-B76A-DE4C-1010-166FDF656388}"/>
            </a:ext>
          </a:extLst>
        </xdr:cNvPr>
        <xdr:cNvGrpSpPr>
          <a:grpSpLocks/>
        </xdr:cNvGrpSpPr>
      </xdr:nvGrpSpPr>
      <xdr:grpSpPr bwMode="auto">
        <a:xfrm>
          <a:off x="18645809" y="0"/>
          <a:ext cx="5791200" cy="435389"/>
          <a:chOff x="2538" y="0"/>
          <a:chExt cx="592" cy="44"/>
        </a:xfrm>
      </xdr:grpSpPr>
      <xdr:pic>
        <xdr:nvPicPr>
          <xdr:cNvPr id="31097" name="Picture 61" descr="ImagingService">
            <a:extLst>
              <a:ext uri="{FF2B5EF4-FFF2-40B4-BE49-F238E27FC236}">
                <a16:creationId xmlns:a16="http://schemas.microsoft.com/office/drawing/2014/main" id="{F43B840C-1276-4B72-5C77-126B85CEF1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098" name="Picture 62">
            <a:extLst>
              <a:ext uri="{FF2B5EF4-FFF2-40B4-BE49-F238E27FC236}">
                <a16:creationId xmlns:a16="http://schemas.microsoft.com/office/drawing/2014/main" id="{DCA5AC72-236A-6AA4-86C7-AB9279D8A91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37</xdr:col>
      <xdr:colOff>0</xdr:colOff>
      <xdr:row>2</xdr:row>
      <xdr:rowOff>44450</xdr:rowOff>
    </xdr:from>
    <xdr:to>
      <xdr:col>40</xdr:col>
      <xdr:colOff>254000</xdr:colOff>
      <xdr:row>3</xdr:row>
      <xdr:rowOff>158750</xdr:rowOff>
    </xdr:to>
    <xdr:pic>
      <xdr:nvPicPr>
        <xdr:cNvPr id="31058" name="Picture 63" descr="ImagingService">
          <a:extLst>
            <a:ext uri="{FF2B5EF4-FFF2-40B4-BE49-F238E27FC236}">
              <a16:creationId xmlns:a16="http://schemas.microsoft.com/office/drawing/2014/main" id="{A12C7CCE-A31B-7D69-E5DC-A4ED7C66C20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25317450" y="431800"/>
          <a:ext cx="21780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0</xdr:colOff>
      <xdr:row>2</xdr:row>
      <xdr:rowOff>44450</xdr:rowOff>
    </xdr:from>
    <xdr:to>
      <xdr:col>31</xdr:col>
      <xdr:colOff>254000</xdr:colOff>
      <xdr:row>3</xdr:row>
      <xdr:rowOff>158750</xdr:rowOff>
    </xdr:to>
    <xdr:pic>
      <xdr:nvPicPr>
        <xdr:cNvPr id="31059" name="Picture 64" descr="ImagingService">
          <a:extLst>
            <a:ext uri="{FF2B5EF4-FFF2-40B4-BE49-F238E27FC236}">
              <a16:creationId xmlns:a16="http://schemas.microsoft.com/office/drawing/2014/main" id="{E349CEC7-82F0-716A-B8FD-98C5E15067E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19069050" y="431800"/>
          <a:ext cx="21780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717550</xdr:colOff>
      <xdr:row>4</xdr:row>
      <xdr:rowOff>88900</xdr:rowOff>
    </xdr:from>
    <xdr:to>
      <xdr:col>32</xdr:col>
      <xdr:colOff>590550</xdr:colOff>
      <xdr:row>5</xdr:row>
      <xdr:rowOff>158750</xdr:rowOff>
    </xdr:to>
    <xdr:pic>
      <xdr:nvPicPr>
        <xdr:cNvPr id="31060" name="Picture 65" descr="ImagingService">
          <a:extLst>
            <a:ext uri="{FF2B5EF4-FFF2-40B4-BE49-F238E27FC236}">
              <a16:creationId xmlns:a16="http://schemas.microsoft.com/office/drawing/2014/main" id="{CE84D686-BB41-E051-5528-2C8B01FC9BFB}"/>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t="14667" r="19647" b="66667"/>
        <a:stretch>
          <a:fillRect/>
        </a:stretch>
      </xdr:blipFill>
      <xdr:spPr bwMode="auto">
        <a:xfrm>
          <a:off x="19069050" y="869950"/>
          <a:ext cx="3314700" cy="24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0</xdr:colOff>
      <xdr:row>17</xdr:row>
      <xdr:rowOff>152400</xdr:rowOff>
    </xdr:from>
    <xdr:to>
      <xdr:col>39</xdr:col>
      <xdr:colOff>736600</xdr:colOff>
      <xdr:row>18</xdr:row>
      <xdr:rowOff>165100</xdr:rowOff>
    </xdr:to>
    <xdr:pic>
      <xdr:nvPicPr>
        <xdr:cNvPr id="31061" name="Picture 66" descr="ImagingService">
          <a:extLst>
            <a:ext uri="{FF2B5EF4-FFF2-40B4-BE49-F238E27FC236}">
              <a16:creationId xmlns:a16="http://schemas.microsoft.com/office/drawing/2014/main" id="{280C68DA-72C4-E379-9681-C03C097CFDFA}"/>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t="14000" r="58266" b="65334"/>
        <a:stretch>
          <a:fillRect/>
        </a:stretch>
      </xdr:blipFill>
      <xdr:spPr bwMode="auto">
        <a:xfrm>
          <a:off x="25317450" y="3054350"/>
          <a:ext cx="1860550" cy="18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0</xdr:colOff>
      <xdr:row>30</xdr:row>
      <xdr:rowOff>146050</xdr:rowOff>
    </xdr:from>
    <xdr:to>
      <xdr:col>40</xdr:col>
      <xdr:colOff>76200</xdr:colOff>
      <xdr:row>32</xdr:row>
      <xdr:rowOff>276</xdr:rowOff>
    </xdr:to>
    <xdr:pic>
      <xdr:nvPicPr>
        <xdr:cNvPr id="31062" name="Picture 67" descr="ImagingService">
          <a:extLst>
            <a:ext uri="{FF2B5EF4-FFF2-40B4-BE49-F238E27FC236}">
              <a16:creationId xmlns:a16="http://schemas.microsoft.com/office/drawing/2014/main" id="{41A0D906-7394-D804-7834-5466B35E8A55}"/>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t="14667" r="43361" b="65666"/>
        <a:stretch>
          <a:fillRect/>
        </a:stretch>
      </xdr:blipFill>
      <xdr:spPr bwMode="auto">
        <a:xfrm>
          <a:off x="25317450" y="5187950"/>
          <a:ext cx="2000250" cy="18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46</xdr:col>
      <xdr:colOff>0</xdr:colOff>
      <xdr:row>0</xdr:row>
      <xdr:rowOff>0</xdr:rowOff>
    </xdr:from>
    <xdr:to>
      <xdr:col>54</xdr:col>
      <xdr:colOff>0</xdr:colOff>
      <xdr:row>2</xdr:row>
      <xdr:rowOff>44450</xdr:rowOff>
    </xdr:to>
    <xdr:grpSp>
      <xdr:nvGrpSpPr>
        <xdr:cNvPr id="31063" name="Group 68">
          <a:extLst>
            <a:ext uri="{FF2B5EF4-FFF2-40B4-BE49-F238E27FC236}">
              <a16:creationId xmlns:a16="http://schemas.microsoft.com/office/drawing/2014/main" id="{B619CE6A-3B4A-0AA2-A03B-FFB96674403A}"/>
            </a:ext>
          </a:extLst>
        </xdr:cNvPr>
        <xdr:cNvGrpSpPr>
          <a:grpSpLocks/>
        </xdr:cNvGrpSpPr>
      </xdr:nvGrpSpPr>
      <xdr:grpSpPr bwMode="auto">
        <a:xfrm>
          <a:off x="30864313" y="0"/>
          <a:ext cx="5791200" cy="435389"/>
          <a:chOff x="2538" y="0"/>
          <a:chExt cx="592" cy="44"/>
        </a:xfrm>
      </xdr:grpSpPr>
      <xdr:pic>
        <xdr:nvPicPr>
          <xdr:cNvPr id="31095" name="Picture 69" descr="ImagingService">
            <a:extLst>
              <a:ext uri="{FF2B5EF4-FFF2-40B4-BE49-F238E27FC236}">
                <a16:creationId xmlns:a16="http://schemas.microsoft.com/office/drawing/2014/main" id="{AA0EDC60-7884-A769-16A2-3F9B911FBE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096" name="Picture 70">
            <a:extLst>
              <a:ext uri="{FF2B5EF4-FFF2-40B4-BE49-F238E27FC236}">
                <a16:creationId xmlns:a16="http://schemas.microsoft.com/office/drawing/2014/main" id="{8FCB7EC2-2147-2CE3-BE3F-99CE5A309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46</xdr:col>
      <xdr:colOff>0</xdr:colOff>
      <xdr:row>2</xdr:row>
      <xdr:rowOff>44450</xdr:rowOff>
    </xdr:from>
    <xdr:to>
      <xdr:col>49</xdr:col>
      <xdr:colOff>254000</xdr:colOff>
      <xdr:row>3</xdr:row>
      <xdr:rowOff>158750</xdr:rowOff>
    </xdr:to>
    <xdr:pic>
      <xdr:nvPicPr>
        <xdr:cNvPr id="31064" name="Picture 71" descr="ImagingService">
          <a:extLst>
            <a:ext uri="{FF2B5EF4-FFF2-40B4-BE49-F238E27FC236}">
              <a16:creationId xmlns:a16="http://schemas.microsoft.com/office/drawing/2014/main" id="{A9B3B3BA-CEC7-A321-9660-CE6B0C48F7F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31565850" y="431800"/>
          <a:ext cx="21780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46</xdr:col>
      <xdr:colOff>0</xdr:colOff>
      <xdr:row>4</xdr:row>
      <xdr:rowOff>133350</xdr:rowOff>
    </xdr:from>
    <xdr:to>
      <xdr:col>48</xdr:col>
      <xdr:colOff>254000</xdr:colOff>
      <xdr:row>5</xdr:row>
      <xdr:rowOff>158750</xdr:rowOff>
    </xdr:to>
    <xdr:pic>
      <xdr:nvPicPr>
        <xdr:cNvPr id="31065" name="Picture 72" descr="ImagingService">
          <a:extLst>
            <a:ext uri="{FF2B5EF4-FFF2-40B4-BE49-F238E27FC236}">
              <a16:creationId xmlns:a16="http://schemas.microsoft.com/office/drawing/2014/main" id="{06952E6A-7D95-C03B-19AC-239479593AB2}"/>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t="14333" r="64227" b="68001"/>
        <a:stretch>
          <a:fillRect/>
        </a:stretch>
      </xdr:blipFill>
      <xdr:spPr bwMode="auto">
        <a:xfrm>
          <a:off x="31565850" y="914400"/>
          <a:ext cx="1377950" cy="19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55</xdr:col>
      <xdr:colOff>0</xdr:colOff>
      <xdr:row>0</xdr:row>
      <xdr:rowOff>0</xdr:rowOff>
    </xdr:from>
    <xdr:to>
      <xdr:col>63</xdr:col>
      <xdr:colOff>0</xdr:colOff>
      <xdr:row>2</xdr:row>
      <xdr:rowOff>44450</xdr:rowOff>
    </xdr:to>
    <xdr:grpSp>
      <xdr:nvGrpSpPr>
        <xdr:cNvPr id="31066" name="Group 73">
          <a:extLst>
            <a:ext uri="{FF2B5EF4-FFF2-40B4-BE49-F238E27FC236}">
              <a16:creationId xmlns:a16="http://schemas.microsoft.com/office/drawing/2014/main" id="{17FE373D-AA22-D6A7-41E9-8AD744084BA2}"/>
            </a:ext>
          </a:extLst>
        </xdr:cNvPr>
        <xdr:cNvGrpSpPr>
          <a:grpSpLocks/>
        </xdr:cNvGrpSpPr>
      </xdr:nvGrpSpPr>
      <xdr:grpSpPr bwMode="auto">
        <a:xfrm>
          <a:off x="36973565" y="0"/>
          <a:ext cx="5791200" cy="435389"/>
          <a:chOff x="2538" y="0"/>
          <a:chExt cx="592" cy="44"/>
        </a:xfrm>
      </xdr:grpSpPr>
      <xdr:pic>
        <xdr:nvPicPr>
          <xdr:cNvPr id="31093" name="Picture 74" descr="ImagingService">
            <a:extLst>
              <a:ext uri="{FF2B5EF4-FFF2-40B4-BE49-F238E27FC236}">
                <a16:creationId xmlns:a16="http://schemas.microsoft.com/office/drawing/2014/main" id="{0E7FDE5F-50E8-4EEC-8D89-39F474B9EA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094" name="Picture 75">
            <a:extLst>
              <a:ext uri="{FF2B5EF4-FFF2-40B4-BE49-F238E27FC236}">
                <a16:creationId xmlns:a16="http://schemas.microsoft.com/office/drawing/2014/main" id="{F0F8B02F-19DC-C581-787B-1754832793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55</xdr:col>
      <xdr:colOff>0</xdr:colOff>
      <xdr:row>2</xdr:row>
      <xdr:rowOff>44450</xdr:rowOff>
    </xdr:from>
    <xdr:to>
      <xdr:col>58</xdr:col>
      <xdr:colOff>254000</xdr:colOff>
      <xdr:row>3</xdr:row>
      <xdr:rowOff>158750</xdr:rowOff>
    </xdr:to>
    <xdr:pic>
      <xdr:nvPicPr>
        <xdr:cNvPr id="31067" name="Picture 76" descr="ImagingService">
          <a:extLst>
            <a:ext uri="{FF2B5EF4-FFF2-40B4-BE49-F238E27FC236}">
              <a16:creationId xmlns:a16="http://schemas.microsoft.com/office/drawing/2014/main" id="{1E322291-6E0C-937F-EDEB-2B01912FD50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37814250" y="431800"/>
          <a:ext cx="21780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64</xdr:col>
      <xdr:colOff>0</xdr:colOff>
      <xdr:row>0</xdr:row>
      <xdr:rowOff>0</xdr:rowOff>
    </xdr:from>
    <xdr:to>
      <xdr:col>78</xdr:col>
      <xdr:colOff>0</xdr:colOff>
      <xdr:row>2</xdr:row>
      <xdr:rowOff>44450</xdr:rowOff>
    </xdr:to>
    <xdr:grpSp>
      <xdr:nvGrpSpPr>
        <xdr:cNvPr id="31068" name="Group 77">
          <a:extLst>
            <a:ext uri="{FF2B5EF4-FFF2-40B4-BE49-F238E27FC236}">
              <a16:creationId xmlns:a16="http://schemas.microsoft.com/office/drawing/2014/main" id="{CA733051-0EA3-79C6-B9D1-753E839142E0}"/>
            </a:ext>
          </a:extLst>
        </xdr:cNvPr>
        <xdr:cNvGrpSpPr>
          <a:grpSpLocks/>
        </xdr:cNvGrpSpPr>
      </xdr:nvGrpSpPr>
      <xdr:grpSpPr bwMode="auto">
        <a:xfrm>
          <a:off x="43082817" y="0"/>
          <a:ext cx="5791200" cy="435389"/>
          <a:chOff x="2538" y="0"/>
          <a:chExt cx="592" cy="44"/>
        </a:xfrm>
      </xdr:grpSpPr>
      <xdr:pic>
        <xdr:nvPicPr>
          <xdr:cNvPr id="31091" name="Picture 78" descr="ImagingService">
            <a:extLst>
              <a:ext uri="{FF2B5EF4-FFF2-40B4-BE49-F238E27FC236}">
                <a16:creationId xmlns:a16="http://schemas.microsoft.com/office/drawing/2014/main" id="{E70E7C33-F2FD-1EA0-146C-988B8DD8FD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092" name="Picture 79">
            <a:extLst>
              <a:ext uri="{FF2B5EF4-FFF2-40B4-BE49-F238E27FC236}">
                <a16:creationId xmlns:a16="http://schemas.microsoft.com/office/drawing/2014/main" id="{EA0A9D01-89D7-B5E6-D32D-B37E694796D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64</xdr:col>
      <xdr:colOff>0</xdr:colOff>
      <xdr:row>2</xdr:row>
      <xdr:rowOff>44450</xdr:rowOff>
    </xdr:from>
    <xdr:to>
      <xdr:col>68</xdr:col>
      <xdr:colOff>260350</xdr:colOff>
      <xdr:row>3</xdr:row>
      <xdr:rowOff>158750</xdr:rowOff>
    </xdr:to>
    <xdr:pic>
      <xdr:nvPicPr>
        <xdr:cNvPr id="31069" name="Picture 80" descr="ImagingService">
          <a:extLst>
            <a:ext uri="{FF2B5EF4-FFF2-40B4-BE49-F238E27FC236}">
              <a16:creationId xmlns:a16="http://schemas.microsoft.com/office/drawing/2014/main" id="{EA17ADC5-597E-86F3-9842-CAD011848CD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333" r="48645" b="65001"/>
        <a:stretch>
          <a:fillRect/>
        </a:stretch>
      </xdr:blipFill>
      <xdr:spPr bwMode="auto">
        <a:xfrm>
          <a:off x="44062650" y="431800"/>
          <a:ext cx="217170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55</xdr:col>
      <xdr:colOff>0</xdr:colOff>
      <xdr:row>4</xdr:row>
      <xdr:rowOff>6350</xdr:rowOff>
    </xdr:from>
    <xdr:to>
      <xdr:col>59</xdr:col>
      <xdr:colOff>304800</xdr:colOff>
      <xdr:row>5</xdr:row>
      <xdr:rowOff>158750</xdr:rowOff>
    </xdr:to>
    <xdr:pic>
      <xdr:nvPicPr>
        <xdr:cNvPr id="31070" name="Picture 81" descr="ImagingService">
          <a:extLst>
            <a:ext uri="{FF2B5EF4-FFF2-40B4-BE49-F238E27FC236}">
              <a16:creationId xmlns:a16="http://schemas.microsoft.com/office/drawing/2014/main" id="{0689461A-340C-E452-9E9E-C5E0D6C2DBEC}"/>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t="14999" r="17615" b="66335"/>
        <a:stretch>
          <a:fillRect/>
        </a:stretch>
      </xdr:blipFill>
      <xdr:spPr bwMode="auto">
        <a:xfrm>
          <a:off x="37814250" y="787400"/>
          <a:ext cx="30289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55</xdr:col>
      <xdr:colOff>0</xdr:colOff>
      <xdr:row>5</xdr:row>
      <xdr:rowOff>342900</xdr:rowOff>
    </xdr:from>
    <xdr:to>
      <xdr:col>57</xdr:col>
      <xdr:colOff>2981</xdr:colOff>
      <xdr:row>7</xdr:row>
      <xdr:rowOff>0</xdr:rowOff>
    </xdr:to>
    <xdr:pic>
      <xdr:nvPicPr>
        <xdr:cNvPr id="31071" name="Picture 82" descr="ImagingService">
          <a:extLst>
            <a:ext uri="{FF2B5EF4-FFF2-40B4-BE49-F238E27FC236}">
              <a16:creationId xmlns:a16="http://schemas.microsoft.com/office/drawing/2014/main" id="{0C864128-B156-711F-3C82-191FF24EB12A}"/>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t="17334" r="76965" b="66666"/>
        <a:stretch>
          <a:fillRect/>
        </a:stretch>
      </xdr:blipFill>
      <xdr:spPr bwMode="auto">
        <a:xfrm>
          <a:off x="37814250" y="1111250"/>
          <a:ext cx="11239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55</xdr:col>
      <xdr:colOff>0</xdr:colOff>
      <xdr:row>29</xdr:row>
      <xdr:rowOff>298450</xdr:rowOff>
    </xdr:from>
    <xdr:to>
      <xdr:col>58</xdr:col>
      <xdr:colOff>2982</xdr:colOff>
      <xdr:row>31</xdr:row>
      <xdr:rowOff>0</xdr:rowOff>
    </xdr:to>
    <xdr:pic>
      <xdr:nvPicPr>
        <xdr:cNvPr id="31072" name="Picture 83" descr="ImagingService">
          <a:extLst>
            <a:ext uri="{FF2B5EF4-FFF2-40B4-BE49-F238E27FC236}">
              <a16:creationId xmlns:a16="http://schemas.microsoft.com/office/drawing/2014/main" id="{66B9BCFA-FEE0-BDD8-9CAC-4D984E464715}"/>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l="-136" t="16333" r="44174" b="67000"/>
        <a:stretch>
          <a:fillRect/>
        </a:stretch>
      </xdr:blipFill>
      <xdr:spPr bwMode="auto">
        <a:xfrm>
          <a:off x="37814250" y="5041900"/>
          <a:ext cx="192405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64</xdr:col>
      <xdr:colOff>0</xdr:colOff>
      <xdr:row>4</xdr:row>
      <xdr:rowOff>228600</xdr:rowOff>
    </xdr:from>
    <xdr:to>
      <xdr:col>67</xdr:col>
      <xdr:colOff>1656</xdr:colOff>
      <xdr:row>5</xdr:row>
      <xdr:rowOff>158750</xdr:rowOff>
    </xdr:to>
    <xdr:pic>
      <xdr:nvPicPr>
        <xdr:cNvPr id="31073" name="Picture 84" descr="ImagingService">
          <a:extLst>
            <a:ext uri="{FF2B5EF4-FFF2-40B4-BE49-F238E27FC236}">
              <a16:creationId xmlns:a16="http://schemas.microsoft.com/office/drawing/2014/main" id="{36A3082E-C873-A8FA-AC3C-8D5716A945BE}"/>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t="17000" r="54471" b="68668"/>
        <a:stretch>
          <a:fillRect/>
        </a:stretch>
      </xdr:blipFill>
      <xdr:spPr bwMode="auto">
        <a:xfrm>
          <a:off x="44062650" y="952500"/>
          <a:ext cx="151765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1016000</xdr:colOff>
      <xdr:row>0</xdr:row>
      <xdr:rowOff>304800</xdr:rowOff>
    </xdr:from>
    <xdr:to>
      <xdr:col>9</xdr:col>
      <xdr:colOff>2982</xdr:colOff>
      <xdr:row>2</xdr:row>
      <xdr:rowOff>234950</xdr:rowOff>
    </xdr:to>
    <xdr:pic>
      <xdr:nvPicPr>
        <xdr:cNvPr id="31074" name="Picture 97" descr="ImagingService">
          <a:extLst>
            <a:ext uri="{FF2B5EF4-FFF2-40B4-BE49-F238E27FC236}">
              <a16:creationId xmlns:a16="http://schemas.microsoft.com/office/drawing/2014/main" id="{4F4A33F7-BFFC-7FF1-DD19-C21F3D00A9DE}"/>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l="-136" t="14999" r="86044" b="67334"/>
        <a:stretch>
          <a:fillRect/>
        </a:stretch>
      </xdr:blipFill>
      <xdr:spPr bwMode="auto">
        <a:xfrm>
          <a:off x="54483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857250</xdr:colOff>
      <xdr:row>0</xdr:row>
      <xdr:rowOff>323850</xdr:rowOff>
    </xdr:from>
    <xdr:to>
      <xdr:col>18</xdr:col>
      <xdr:colOff>2982</xdr:colOff>
      <xdr:row>2</xdr:row>
      <xdr:rowOff>234950</xdr:rowOff>
    </xdr:to>
    <xdr:pic>
      <xdr:nvPicPr>
        <xdr:cNvPr id="31075" name="Picture 98" descr="ImagingService">
          <a:extLst>
            <a:ext uri="{FF2B5EF4-FFF2-40B4-BE49-F238E27FC236}">
              <a16:creationId xmlns:a16="http://schemas.microsoft.com/office/drawing/2014/main" id="{DE3E755A-B873-ACFA-CBF8-B67AE3CE9981}"/>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l="21138" t="14999" r="64905" b="68001"/>
        <a:stretch>
          <a:fillRect/>
        </a:stretch>
      </xdr:blipFill>
      <xdr:spPr bwMode="auto">
        <a:xfrm>
          <a:off x="116967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901700</xdr:colOff>
      <xdr:row>0</xdr:row>
      <xdr:rowOff>323850</xdr:rowOff>
    </xdr:from>
    <xdr:to>
      <xdr:col>27</xdr:col>
      <xdr:colOff>2981</xdr:colOff>
      <xdr:row>2</xdr:row>
      <xdr:rowOff>234950</xdr:rowOff>
    </xdr:to>
    <xdr:pic>
      <xdr:nvPicPr>
        <xdr:cNvPr id="31076" name="Picture 99" descr="ImagingService">
          <a:extLst>
            <a:ext uri="{FF2B5EF4-FFF2-40B4-BE49-F238E27FC236}">
              <a16:creationId xmlns:a16="http://schemas.microsoft.com/office/drawing/2014/main" id="{12B9C4AD-FB3B-400C-CF5D-6D041B114DB4}"/>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l="38075" t="14999" r="48509" b="68333"/>
        <a:stretch>
          <a:fillRect/>
        </a:stretch>
      </xdr:blipFill>
      <xdr:spPr bwMode="auto">
        <a:xfrm>
          <a:off x="179451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34</xdr:col>
      <xdr:colOff>889000</xdr:colOff>
      <xdr:row>0</xdr:row>
      <xdr:rowOff>361950</xdr:rowOff>
    </xdr:from>
    <xdr:to>
      <xdr:col>36</xdr:col>
      <xdr:colOff>2981</xdr:colOff>
      <xdr:row>2</xdr:row>
      <xdr:rowOff>234950</xdr:rowOff>
    </xdr:to>
    <xdr:pic>
      <xdr:nvPicPr>
        <xdr:cNvPr id="31077" name="Picture 100" descr="ImagingService">
          <a:extLst>
            <a:ext uri="{FF2B5EF4-FFF2-40B4-BE49-F238E27FC236}">
              <a16:creationId xmlns:a16="http://schemas.microsoft.com/office/drawing/2014/main" id="{0BCE4EE2-47D6-14AB-6C04-E0B43313EB5C}"/>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l="54337" t="16110" r="31572" b="68333"/>
        <a:stretch>
          <a:fillRect/>
        </a:stretch>
      </xdr:blipFill>
      <xdr:spPr bwMode="auto">
        <a:xfrm>
          <a:off x="241935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43</xdr:col>
      <xdr:colOff>831850</xdr:colOff>
      <xdr:row>0</xdr:row>
      <xdr:rowOff>342900</xdr:rowOff>
    </xdr:from>
    <xdr:to>
      <xdr:col>45</xdr:col>
      <xdr:colOff>2982</xdr:colOff>
      <xdr:row>2</xdr:row>
      <xdr:rowOff>234950</xdr:rowOff>
    </xdr:to>
    <xdr:pic>
      <xdr:nvPicPr>
        <xdr:cNvPr id="31078" name="Picture 101" descr="ImagingService">
          <a:extLst>
            <a:ext uri="{FF2B5EF4-FFF2-40B4-BE49-F238E27FC236}">
              <a16:creationId xmlns:a16="http://schemas.microsoft.com/office/drawing/2014/main" id="{1766D397-3DED-A1FE-6A12-AD9D006E157B}"/>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l="69241" t="15332" r="17433" b="69093"/>
        <a:stretch>
          <a:fillRect/>
        </a:stretch>
      </xdr:blipFill>
      <xdr:spPr bwMode="auto">
        <a:xfrm>
          <a:off x="304419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52</xdr:col>
      <xdr:colOff>914400</xdr:colOff>
      <xdr:row>0</xdr:row>
      <xdr:rowOff>323850</xdr:rowOff>
    </xdr:from>
    <xdr:to>
      <xdr:col>54</xdr:col>
      <xdr:colOff>2982</xdr:colOff>
      <xdr:row>2</xdr:row>
      <xdr:rowOff>234950</xdr:rowOff>
    </xdr:to>
    <xdr:pic>
      <xdr:nvPicPr>
        <xdr:cNvPr id="31079" name="Picture 102" descr="ImagingService">
          <a:extLst>
            <a:ext uri="{FF2B5EF4-FFF2-40B4-BE49-F238E27FC236}">
              <a16:creationId xmlns:a16="http://schemas.microsoft.com/office/drawing/2014/main" id="{9B9F58FB-3E1D-E6AE-B2F5-F17889DE5C6E}"/>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l="84554" t="14999" r="1761" b="68001"/>
        <a:stretch>
          <a:fillRect/>
        </a:stretch>
      </xdr:blipFill>
      <xdr:spPr bwMode="auto">
        <a:xfrm>
          <a:off x="366903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61</xdr:col>
      <xdr:colOff>889000</xdr:colOff>
      <xdr:row>0</xdr:row>
      <xdr:rowOff>323850</xdr:rowOff>
    </xdr:from>
    <xdr:to>
      <xdr:col>63</xdr:col>
      <xdr:colOff>2982</xdr:colOff>
      <xdr:row>2</xdr:row>
      <xdr:rowOff>234950</xdr:rowOff>
    </xdr:to>
    <xdr:pic>
      <xdr:nvPicPr>
        <xdr:cNvPr id="31080" name="Picture 103" descr="ImagingService">
          <a:extLst>
            <a:ext uri="{FF2B5EF4-FFF2-40B4-BE49-F238E27FC236}">
              <a16:creationId xmlns:a16="http://schemas.microsoft.com/office/drawing/2014/main" id="{63309B48-9611-4E87-74E4-6B92650FA1E2}"/>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t="31334" r="86584" b="52000"/>
        <a:stretch>
          <a:fillRect/>
        </a:stretch>
      </xdr:blipFill>
      <xdr:spPr bwMode="auto">
        <a:xfrm>
          <a:off x="429387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74</xdr:col>
      <xdr:colOff>736600</xdr:colOff>
      <xdr:row>0</xdr:row>
      <xdr:rowOff>361950</xdr:rowOff>
    </xdr:from>
    <xdr:to>
      <xdr:col>78</xdr:col>
      <xdr:colOff>1657</xdr:colOff>
      <xdr:row>3</xdr:row>
      <xdr:rowOff>0</xdr:rowOff>
    </xdr:to>
    <xdr:pic>
      <xdr:nvPicPr>
        <xdr:cNvPr id="31081" name="Picture 104" descr="ImagingService">
          <a:extLst>
            <a:ext uri="{FF2B5EF4-FFF2-40B4-BE49-F238E27FC236}">
              <a16:creationId xmlns:a16="http://schemas.microsoft.com/office/drawing/2014/main" id="{128ED0F2-6561-7DDD-5A59-2A848F890B27}"/>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l="16396" t="31334" r="69241" b="53000"/>
        <a:stretch>
          <a:fillRect/>
        </a:stretch>
      </xdr:blipFill>
      <xdr:spPr bwMode="auto">
        <a:xfrm>
          <a:off x="48729900" y="228600"/>
          <a:ext cx="1181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1504950</xdr:colOff>
      <xdr:row>55</xdr:row>
      <xdr:rowOff>342900</xdr:rowOff>
    </xdr:from>
    <xdr:to>
      <xdr:col>36</xdr:col>
      <xdr:colOff>2981</xdr:colOff>
      <xdr:row>59</xdr:row>
      <xdr:rowOff>158750</xdr:rowOff>
    </xdr:to>
    <xdr:pic>
      <xdr:nvPicPr>
        <xdr:cNvPr id="31082" name="1 Imagen">
          <a:extLst>
            <a:ext uri="{FF2B5EF4-FFF2-40B4-BE49-F238E27FC236}">
              <a16:creationId xmlns:a16="http://schemas.microsoft.com/office/drawing/2014/main" id="{1A18971A-DA64-574D-78E9-9DAEBAB36C18}"/>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3393400" y="9264650"/>
          <a:ext cx="1600200" cy="69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42</xdr:col>
      <xdr:colOff>1511300</xdr:colOff>
      <xdr:row>56</xdr:row>
      <xdr:rowOff>57150</xdr:rowOff>
    </xdr:from>
    <xdr:to>
      <xdr:col>45</xdr:col>
      <xdr:colOff>2982</xdr:colOff>
      <xdr:row>59</xdr:row>
      <xdr:rowOff>158750</xdr:rowOff>
    </xdr:to>
    <xdr:pic>
      <xdr:nvPicPr>
        <xdr:cNvPr id="31083" name="1 Imagen">
          <a:extLst>
            <a:ext uri="{FF2B5EF4-FFF2-40B4-BE49-F238E27FC236}">
              <a16:creationId xmlns:a16="http://schemas.microsoft.com/office/drawing/2014/main" id="{104FF2BE-2106-183E-C1BC-AAA141A4A195}"/>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29641800" y="9321800"/>
          <a:ext cx="1600200" cy="641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51</xdr:col>
      <xdr:colOff>1504950</xdr:colOff>
      <xdr:row>56</xdr:row>
      <xdr:rowOff>25400</xdr:rowOff>
    </xdr:from>
    <xdr:to>
      <xdr:col>54</xdr:col>
      <xdr:colOff>2982</xdr:colOff>
      <xdr:row>59</xdr:row>
      <xdr:rowOff>158750</xdr:rowOff>
    </xdr:to>
    <xdr:pic>
      <xdr:nvPicPr>
        <xdr:cNvPr id="31084" name="1 Imagen">
          <a:extLst>
            <a:ext uri="{FF2B5EF4-FFF2-40B4-BE49-F238E27FC236}">
              <a16:creationId xmlns:a16="http://schemas.microsoft.com/office/drawing/2014/main" id="{BD6C2E9A-F64C-CA88-6825-2DB59484E6CD}"/>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35890200" y="9290050"/>
          <a:ext cx="16002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60</xdr:col>
      <xdr:colOff>1403350</xdr:colOff>
      <xdr:row>56</xdr:row>
      <xdr:rowOff>38100</xdr:rowOff>
    </xdr:from>
    <xdr:to>
      <xdr:col>63</xdr:col>
      <xdr:colOff>2982</xdr:colOff>
      <xdr:row>59</xdr:row>
      <xdr:rowOff>158750</xdr:rowOff>
    </xdr:to>
    <xdr:pic>
      <xdr:nvPicPr>
        <xdr:cNvPr id="31085" name="1 Imagen">
          <a:extLst>
            <a:ext uri="{FF2B5EF4-FFF2-40B4-BE49-F238E27FC236}">
              <a16:creationId xmlns:a16="http://schemas.microsoft.com/office/drawing/2014/main" id="{B438CB88-C19B-7AB1-4632-288A6287A424}"/>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42138600" y="9302750"/>
          <a:ext cx="16002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73</xdr:col>
      <xdr:colOff>431800</xdr:colOff>
      <xdr:row>55</xdr:row>
      <xdr:rowOff>349250</xdr:rowOff>
    </xdr:from>
    <xdr:to>
      <xdr:col>78</xdr:col>
      <xdr:colOff>1657</xdr:colOff>
      <xdr:row>59</xdr:row>
      <xdr:rowOff>158750</xdr:rowOff>
    </xdr:to>
    <xdr:pic>
      <xdr:nvPicPr>
        <xdr:cNvPr id="31086" name="1 Imagen">
          <a:extLst>
            <a:ext uri="{FF2B5EF4-FFF2-40B4-BE49-F238E27FC236}">
              <a16:creationId xmlns:a16="http://schemas.microsoft.com/office/drawing/2014/main" id="{5807394C-AFC7-3AEF-584B-9BDA72FBA02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48336200" y="9264650"/>
          <a:ext cx="1574800" cy="69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1403350</xdr:colOff>
      <xdr:row>56</xdr:row>
      <xdr:rowOff>38100</xdr:rowOff>
    </xdr:from>
    <xdr:to>
      <xdr:col>27</xdr:col>
      <xdr:colOff>2981</xdr:colOff>
      <xdr:row>59</xdr:row>
      <xdr:rowOff>158750</xdr:rowOff>
    </xdr:to>
    <xdr:pic>
      <xdr:nvPicPr>
        <xdr:cNvPr id="31087" name="1 Imagen">
          <a:extLst>
            <a:ext uri="{FF2B5EF4-FFF2-40B4-BE49-F238E27FC236}">
              <a16:creationId xmlns:a16="http://schemas.microsoft.com/office/drawing/2014/main" id="{AE7A2E7E-7A25-0EA0-34D6-F4384E6FD92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7145000" y="9302750"/>
          <a:ext cx="16002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1289050</xdr:colOff>
      <xdr:row>56</xdr:row>
      <xdr:rowOff>63500</xdr:rowOff>
    </xdr:from>
    <xdr:to>
      <xdr:col>18</xdr:col>
      <xdr:colOff>2982</xdr:colOff>
      <xdr:row>60</xdr:row>
      <xdr:rowOff>0</xdr:rowOff>
    </xdr:to>
    <xdr:pic>
      <xdr:nvPicPr>
        <xdr:cNvPr id="31088" name="1 Imagen">
          <a:extLst>
            <a:ext uri="{FF2B5EF4-FFF2-40B4-BE49-F238E27FC236}">
              <a16:creationId xmlns:a16="http://schemas.microsoft.com/office/drawing/2014/main" id="{4235BFBC-B935-F530-D3DC-6C5756811D6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0896600" y="9328150"/>
          <a:ext cx="1600200" cy="63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1441450</xdr:colOff>
      <xdr:row>56</xdr:row>
      <xdr:rowOff>38100</xdr:rowOff>
    </xdr:from>
    <xdr:to>
      <xdr:col>9</xdr:col>
      <xdr:colOff>2982</xdr:colOff>
      <xdr:row>60</xdr:row>
      <xdr:rowOff>0</xdr:rowOff>
    </xdr:to>
    <xdr:pic>
      <xdr:nvPicPr>
        <xdr:cNvPr id="31089" name="1 Imagen">
          <a:extLst>
            <a:ext uri="{FF2B5EF4-FFF2-40B4-BE49-F238E27FC236}">
              <a16:creationId xmlns:a16="http://schemas.microsoft.com/office/drawing/2014/main" id="{99F18AD0-964C-FEE1-00F1-2BDCA711334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4648200" y="9302750"/>
          <a:ext cx="16002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46</xdr:col>
      <xdr:colOff>152400</xdr:colOff>
      <xdr:row>40</xdr:row>
      <xdr:rowOff>19050</xdr:rowOff>
    </xdr:from>
    <xdr:to>
      <xdr:col>54</xdr:col>
      <xdr:colOff>2982</xdr:colOff>
      <xdr:row>55</xdr:row>
      <xdr:rowOff>6350</xdr:rowOff>
    </xdr:to>
    <xdr:pic macro="Macro2">
      <xdr:nvPicPr>
        <xdr:cNvPr id="31090" name="Picture 106">
          <a:extLst>
            <a:ext uri="{FF2B5EF4-FFF2-40B4-BE49-F238E27FC236}">
              <a16:creationId xmlns:a16="http://schemas.microsoft.com/office/drawing/2014/main" id="{1D4FC42F-33BB-641C-8356-0562530AA6FE}"/>
            </a:ext>
          </a:extLst>
        </xdr:cNvPr>
        <xdr:cNvPicPr>
          <a:picLocks noChangeAspect="1" noChangeArrowheads="1"/>
        </xdr:cNvPicPr>
      </xdr:nvPicPr>
      <xdr:blipFill>
        <a:blip xmlns:r="http://schemas.openxmlformats.org/officeDocument/2006/relationships" r:link="rId26">
          <a:extLst>
            <a:ext uri="{28A0092B-C50C-407E-A947-70E740481C1C}">
              <a14:useLocalDpi xmlns:a14="http://schemas.microsoft.com/office/drawing/2010/main" val="0"/>
            </a:ext>
          </a:extLst>
        </a:blip>
        <a:srcRect/>
        <a:stretch>
          <a:fillRect/>
        </a:stretch>
      </xdr:blipFill>
      <xdr:spPr bwMode="auto">
        <a:xfrm>
          <a:off x="31718250" y="6692900"/>
          <a:ext cx="5772150" cy="2419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698500</xdr:colOff>
      <xdr:row>0</xdr:row>
      <xdr:rowOff>0</xdr:rowOff>
    </xdr:from>
    <xdr:to>
      <xdr:col>9</xdr:col>
      <xdr:colOff>0</xdr:colOff>
      <xdr:row>2</xdr:row>
      <xdr:rowOff>158750</xdr:rowOff>
    </xdr:to>
    <xdr:pic>
      <xdr:nvPicPr>
        <xdr:cNvPr id="29080" name="Picture 8" descr="ImagingService">
          <a:extLst>
            <a:ext uri="{FF2B5EF4-FFF2-40B4-BE49-F238E27FC236}">
              <a16:creationId xmlns:a16="http://schemas.microsoft.com/office/drawing/2014/main" id="{4380EDBE-B687-3F0F-E6C8-3CDF8ECBEB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4264" b="64394"/>
        <a:stretch>
          <a:fillRect/>
        </a:stretch>
      </xdr:blipFill>
      <xdr:spPr bwMode="auto">
        <a:xfrm>
          <a:off x="1346200" y="0"/>
          <a:ext cx="490220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2</xdr:col>
      <xdr:colOff>698500</xdr:colOff>
      <xdr:row>2</xdr:row>
      <xdr:rowOff>44450</xdr:rowOff>
    </xdr:to>
    <xdr:pic>
      <xdr:nvPicPr>
        <xdr:cNvPr id="29081" name="Picture 9">
          <a:extLst>
            <a:ext uri="{FF2B5EF4-FFF2-40B4-BE49-F238E27FC236}">
              <a16:creationId xmlns:a16="http://schemas.microsoft.com/office/drawing/2014/main" id="{62699E7D-151A-86A2-1A41-67AD63E173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323850" y="0"/>
          <a:ext cx="10223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0</xdr:colOff>
      <xdr:row>4</xdr:row>
      <xdr:rowOff>0</xdr:rowOff>
    </xdr:from>
    <xdr:to>
      <xdr:col>5</xdr:col>
      <xdr:colOff>488950</xdr:colOff>
      <xdr:row>5</xdr:row>
      <xdr:rowOff>177800</xdr:rowOff>
    </xdr:to>
    <xdr:pic>
      <xdr:nvPicPr>
        <xdr:cNvPr id="29082" name="Picture 11" descr="ImagingService">
          <a:extLst>
            <a:ext uri="{FF2B5EF4-FFF2-40B4-BE49-F238E27FC236}">
              <a16:creationId xmlns:a16="http://schemas.microsoft.com/office/drawing/2014/main" id="{1EEDEB5C-835D-C726-3185-7B2901E1589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14667" r="14363" b="67000"/>
        <a:stretch>
          <a:fillRect/>
        </a:stretch>
      </xdr:blipFill>
      <xdr:spPr bwMode="auto">
        <a:xfrm>
          <a:off x="323850" y="781050"/>
          <a:ext cx="32131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685800</xdr:colOff>
      <xdr:row>6</xdr:row>
      <xdr:rowOff>0</xdr:rowOff>
    </xdr:from>
    <xdr:to>
      <xdr:col>9</xdr:col>
      <xdr:colOff>0</xdr:colOff>
      <xdr:row>8</xdr:row>
      <xdr:rowOff>0</xdr:rowOff>
    </xdr:to>
    <xdr:pic>
      <xdr:nvPicPr>
        <xdr:cNvPr id="29083" name="Picture 12" descr="ImagingService">
          <a:extLst>
            <a:ext uri="{FF2B5EF4-FFF2-40B4-BE49-F238E27FC236}">
              <a16:creationId xmlns:a16="http://schemas.microsoft.com/office/drawing/2014/main" id="{05CF3CFD-9708-377E-5A76-4DA7F5EDCD7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272" t="5667" r="19919" b="83000"/>
        <a:stretch>
          <a:fillRect/>
        </a:stretch>
      </xdr:blipFill>
      <xdr:spPr bwMode="auto">
        <a:xfrm>
          <a:off x="323850" y="1104900"/>
          <a:ext cx="59245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4</xdr:row>
      <xdr:rowOff>50800</xdr:rowOff>
    </xdr:from>
    <xdr:to>
      <xdr:col>12</xdr:col>
      <xdr:colOff>1314450</xdr:colOff>
      <xdr:row>6</xdr:row>
      <xdr:rowOff>0</xdr:rowOff>
    </xdr:to>
    <xdr:pic>
      <xdr:nvPicPr>
        <xdr:cNvPr id="29084" name="Picture 13" descr="ImagingService">
          <a:extLst>
            <a:ext uri="{FF2B5EF4-FFF2-40B4-BE49-F238E27FC236}">
              <a16:creationId xmlns:a16="http://schemas.microsoft.com/office/drawing/2014/main" id="{15EC3644-2978-85FC-D6CD-13AE2FF026C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6000" r="76965" b="83334"/>
        <a:stretch>
          <a:fillRect/>
        </a:stretch>
      </xdr:blipFill>
      <xdr:spPr bwMode="auto">
        <a:xfrm>
          <a:off x="6572250" y="831850"/>
          <a:ext cx="1924050" cy="27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29</xdr:row>
      <xdr:rowOff>76200</xdr:rowOff>
    </xdr:from>
    <xdr:to>
      <xdr:col>13</xdr:col>
      <xdr:colOff>1454150</xdr:colOff>
      <xdr:row>31</xdr:row>
      <xdr:rowOff>0</xdr:rowOff>
    </xdr:to>
    <xdr:pic>
      <xdr:nvPicPr>
        <xdr:cNvPr id="29085" name="Picture 14" descr="ImagingService">
          <a:extLst>
            <a:ext uri="{FF2B5EF4-FFF2-40B4-BE49-F238E27FC236}">
              <a16:creationId xmlns:a16="http://schemas.microsoft.com/office/drawing/2014/main" id="{A74757EB-FE2F-FEAF-8475-A93F0B66405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t="6000" r="65041" b="83665"/>
        <a:stretch>
          <a:fillRect/>
        </a:stretch>
      </xdr:blipFill>
      <xdr:spPr bwMode="auto">
        <a:xfrm>
          <a:off x="6572250" y="4832350"/>
          <a:ext cx="272415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0</xdr:colOff>
      <xdr:row>4</xdr:row>
      <xdr:rowOff>50800</xdr:rowOff>
    </xdr:from>
    <xdr:to>
      <xdr:col>23</xdr:col>
      <xdr:colOff>647700</xdr:colOff>
      <xdr:row>6</xdr:row>
      <xdr:rowOff>0</xdr:rowOff>
    </xdr:to>
    <xdr:pic>
      <xdr:nvPicPr>
        <xdr:cNvPr id="29086" name="Picture 15" descr="ImagingService">
          <a:extLst>
            <a:ext uri="{FF2B5EF4-FFF2-40B4-BE49-F238E27FC236}">
              <a16:creationId xmlns:a16="http://schemas.microsoft.com/office/drawing/2014/main" id="{7525ECA9-C557-5072-EA2B-6CAD1A19A3E9}"/>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t="5667" r="59079" b="83667"/>
        <a:stretch>
          <a:fillRect/>
        </a:stretch>
      </xdr:blipFill>
      <xdr:spPr bwMode="auto">
        <a:xfrm>
          <a:off x="12820650" y="831850"/>
          <a:ext cx="3371850" cy="27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0</xdr:colOff>
      <xdr:row>29</xdr:row>
      <xdr:rowOff>88900</xdr:rowOff>
    </xdr:from>
    <xdr:to>
      <xdr:col>23</xdr:col>
      <xdr:colOff>914400</xdr:colOff>
      <xdr:row>31</xdr:row>
      <xdr:rowOff>0</xdr:rowOff>
    </xdr:to>
    <xdr:pic>
      <xdr:nvPicPr>
        <xdr:cNvPr id="29087" name="Picture 16" descr="ImagingService">
          <a:extLst>
            <a:ext uri="{FF2B5EF4-FFF2-40B4-BE49-F238E27FC236}">
              <a16:creationId xmlns:a16="http://schemas.microsoft.com/office/drawing/2014/main" id="{F9EE92B9-0929-D1B3-BF87-14424F8A07B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t="6334" r="57452" b="83667"/>
        <a:stretch>
          <a:fillRect/>
        </a:stretch>
      </xdr:blipFill>
      <xdr:spPr bwMode="auto">
        <a:xfrm>
          <a:off x="12820650" y="4845050"/>
          <a:ext cx="3524250" cy="23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685800</xdr:colOff>
      <xdr:row>0</xdr:row>
      <xdr:rowOff>0</xdr:rowOff>
    </xdr:from>
    <xdr:to>
      <xdr:col>27</xdr:col>
      <xdr:colOff>0</xdr:colOff>
      <xdr:row>2</xdr:row>
      <xdr:rowOff>82550</xdr:rowOff>
    </xdr:to>
    <xdr:pic>
      <xdr:nvPicPr>
        <xdr:cNvPr id="29088" name="Picture 18" descr="ImagingService">
          <a:extLst>
            <a:ext uri="{FF2B5EF4-FFF2-40B4-BE49-F238E27FC236}">
              <a16:creationId xmlns:a16="http://schemas.microsoft.com/office/drawing/2014/main" id="{461A92EF-C6A0-E9A7-A4DB-228B828DC3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4264" b="65599"/>
        <a:stretch>
          <a:fillRect/>
        </a:stretch>
      </xdr:blipFill>
      <xdr:spPr bwMode="auto">
        <a:xfrm>
          <a:off x="13830300" y="0"/>
          <a:ext cx="4914900" cy="46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0</xdr:colOff>
      <xdr:row>0</xdr:row>
      <xdr:rowOff>0</xdr:rowOff>
    </xdr:from>
    <xdr:to>
      <xdr:col>20</xdr:col>
      <xdr:colOff>698500</xdr:colOff>
      <xdr:row>2</xdr:row>
      <xdr:rowOff>44450</xdr:rowOff>
    </xdr:to>
    <xdr:pic>
      <xdr:nvPicPr>
        <xdr:cNvPr id="29089" name="Picture 19">
          <a:extLst>
            <a:ext uri="{FF2B5EF4-FFF2-40B4-BE49-F238E27FC236}">
              <a16:creationId xmlns:a16="http://schemas.microsoft.com/office/drawing/2014/main" id="{A148DFC6-8737-4BA4-8A42-8BCA79BF1DF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12820650" y="0"/>
          <a:ext cx="10223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698500</xdr:colOff>
      <xdr:row>0</xdr:row>
      <xdr:rowOff>0</xdr:rowOff>
    </xdr:from>
    <xdr:to>
      <xdr:col>18</xdr:col>
      <xdr:colOff>0</xdr:colOff>
      <xdr:row>2</xdr:row>
      <xdr:rowOff>69850</xdr:rowOff>
    </xdr:to>
    <xdr:pic>
      <xdr:nvPicPr>
        <xdr:cNvPr id="29090" name="Picture 22" descr="ImagingService">
          <a:extLst>
            <a:ext uri="{FF2B5EF4-FFF2-40B4-BE49-F238E27FC236}">
              <a16:creationId xmlns:a16="http://schemas.microsoft.com/office/drawing/2014/main" id="{BDF17ED7-978B-678D-8074-7A69C0CA03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936" b="66000"/>
        <a:stretch>
          <a:fillRect/>
        </a:stretch>
      </xdr:blipFill>
      <xdr:spPr bwMode="auto">
        <a:xfrm>
          <a:off x="7594600" y="0"/>
          <a:ext cx="4902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0</xdr:colOff>
      <xdr:row>0</xdr:row>
      <xdr:rowOff>0</xdr:rowOff>
    </xdr:from>
    <xdr:to>
      <xdr:col>11</xdr:col>
      <xdr:colOff>698500</xdr:colOff>
      <xdr:row>2</xdr:row>
      <xdr:rowOff>44450</xdr:rowOff>
    </xdr:to>
    <xdr:pic>
      <xdr:nvPicPr>
        <xdr:cNvPr id="29091" name="Picture 23">
          <a:extLst>
            <a:ext uri="{FF2B5EF4-FFF2-40B4-BE49-F238E27FC236}">
              <a16:creationId xmlns:a16="http://schemas.microsoft.com/office/drawing/2014/main" id="{2A08EDC8-BF2A-72B7-C619-5C9DA101B18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6572250" y="0"/>
          <a:ext cx="10223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0</xdr:colOff>
      <xdr:row>2</xdr:row>
      <xdr:rowOff>6350</xdr:rowOff>
    </xdr:from>
    <xdr:to>
      <xdr:col>4</xdr:col>
      <xdr:colOff>1416050</xdr:colOff>
      <xdr:row>3</xdr:row>
      <xdr:rowOff>209550</xdr:rowOff>
    </xdr:to>
    <xdr:pic>
      <xdr:nvPicPr>
        <xdr:cNvPr id="29092" name="Picture 28" descr="ImagingService">
          <a:extLst>
            <a:ext uri="{FF2B5EF4-FFF2-40B4-BE49-F238E27FC236}">
              <a16:creationId xmlns:a16="http://schemas.microsoft.com/office/drawing/2014/main" id="{CAF224DA-F541-9809-20D7-0F416A85939A}"/>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t="14333" r="40515" b="66000"/>
        <a:stretch>
          <a:fillRect/>
        </a:stretch>
      </xdr:blipFill>
      <xdr:spPr bwMode="auto">
        <a:xfrm>
          <a:off x="323850" y="393700"/>
          <a:ext cx="2724150" cy="38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1111250</xdr:colOff>
      <xdr:row>0</xdr:row>
      <xdr:rowOff>304800</xdr:rowOff>
    </xdr:from>
    <xdr:to>
      <xdr:col>8</xdr:col>
      <xdr:colOff>1454150</xdr:colOff>
      <xdr:row>3</xdr:row>
      <xdr:rowOff>0</xdr:rowOff>
    </xdr:to>
    <xdr:pic>
      <xdr:nvPicPr>
        <xdr:cNvPr id="29093" name="Picture 29" descr="ImagingService">
          <a:extLst>
            <a:ext uri="{FF2B5EF4-FFF2-40B4-BE49-F238E27FC236}">
              <a16:creationId xmlns:a16="http://schemas.microsoft.com/office/drawing/2014/main" id="{1B812751-3949-56AB-466A-97DE7B306E4A}"/>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t="14999" r="86450" b="66667"/>
        <a:stretch>
          <a:fillRect/>
        </a:stretch>
      </xdr:blipFill>
      <xdr:spPr bwMode="auto">
        <a:xfrm>
          <a:off x="54483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xdr:row>
      <xdr:rowOff>44450</xdr:rowOff>
    </xdr:from>
    <xdr:to>
      <xdr:col>13</xdr:col>
      <xdr:colOff>1416050</xdr:colOff>
      <xdr:row>3</xdr:row>
      <xdr:rowOff>228600</xdr:rowOff>
    </xdr:to>
    <xdr:pic>
      <xdr:nvPicPr>
        <xdr:cNvPr id="29094" name="Picture 30" descr="ImagingService">
          <a:extLst>
            <a:ext uri="{FF2B5EF4-FFF2-40B4-BE49-F238E27FC236}">
              <a16:creationId xmlns:a16="http://schemas.microsoft.com/office/drawing/2014/main" id="{3CE7F972-0650-49D1-036C-77339C482A8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t="14333" r="40515" b="66000"/>
        <a:stretch>
          <a:fillRect/>
        </a:stretch>
      </xdr:blipFill>
      <xdr:spPr bwMode="auto">
        <a:xfrm>
          <a:off x="6572250" y="431800"/>
          <a:ext cx="27241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1016000</xdr:colOff>
      <xdr:row>0</xdr:row>
      <xdr:rowOff>323850</xdr:rowOff>
    </xdr:from>
    <xdr:to>
      <xdr:col>17</xdr:col>
      <xdr:colOff>1479550</xdr:colOff>
      <xdr:row>3</xdr:row>
      <xdr:rowOff>6350</xdr:rowOff>
    </xdr:to>
    <xdr:pic>
      <xdr:nvPicPr>
        <xdr:cNvPr id="29095" name="Picture 31" descr="ImagingService">
          <a:extLst>
            <a:ext uri="{FF2B5EF4-FFF2-40B4-BE49-F238E27FC236}">
              <a16:creationId xmlns:a16="http://schemas.microsoft.com/office/drawing/2014/main" id="{BED6342F-23A3-8AA0-F212-F6D05250D635}"/>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t="14999" r="86720" b="67667"/>
        <a:stretch>
          <a:fillRect/>
        </a:stretch>
      </xdr:blipFill>
      <xdr:spPr bwMode="auto">
        <a:xfrm>
          <a:off x="11696700" y="228600"/>
          <a:ext cx="8001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0</xdr:colOff>
      <xdr:row>2</xdr:row>
      <xdr:rowOff>44450</xdr:rowOff>
    </xdr:from>
    <xdr:to>
      <xdr:col>22</xdr:col>
      <xdr:colOff>1416050</xdr:colOff>
      <xdr:row>3</xdr:row>
      <xdr:rowOff>228600</xdr:rowOff>
    </xdr:to>
    <xdr:pic>
      <xdr:nvPicPr>
        <xdr:cNvPr id="29096" name="Picture 32" descr="ImagingService">
          <a:extLst>
            <a:ext uri="{FF2B5EF4-FFF2-40B4-BE49-F238E27FC236}">
              <a16:creationId xmlns:a16="http://schemas.microsoft.com/office/drawing/2014/main" id="{0A320F2F-3CD7-B5BC-AAAC-A83D4AC3D565}"/>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t="14333" r="40515" b="66000"/>
        <a:stretch>
          <a:fillRect/>
        </a:stretch>
      </xdr:blipFill>
      <xdr:spPr bwMode="auto">
        <a:xfrm>
          <a:off x="12820650" y="431800"/>
          <a:ext cx="272415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1028700</xdr:colOff>
      <xdr:row>0</xdr:row>
      <xdr:rowOff>304800</xdr:rowOff>
    </xdr:from>
    <xdr:to>
      <xdr:col>26</xdr:col>
      <xdr:colOff>1416050</xdr:colOff>
      <xdr:row>3</xdr:row>
      <xdr:rowOff>0</xdr:rowOff>
    </xdr:to>
    <xdr:pic>
      <xdr:nvPicPr>
        <xdr:cNvPr id="29097" name="Picture 33" descr="ImagingService">
          <a:extLst>
            <a:ext uri="{FF2B5EF4-FFF2-40B4-BE49-F238E27FC236}">
              <a16:creationId xmlns:a16="http://schemas.microsoft.com/office/drawing/2014/main" id="{57FCEC9F-5504-2340-2A47-7188BB33396F}"/>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t="15334" r="86586" b="67000"/>
        <a:stretch>
          <a:fillRect/>
        </a:stretch>
      </xdr:blipFill>
      <xdr:spPr bwMode="auto">
        <a:xfrm>
          <a:off x="179451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1403350</xdr:colOff>
      <xdr:row>56</xdr:row>
      <xdr:rowOff>0</xdr:rowOff>
    </xdr:from>
    <xdr:to>
      <xdr:col>8</xdr:col>
      <xdr:colOff>1441450</xdr:colOff>
      <xdr:row>59</xdr:row>
      <xdr:rowOff>323850</xdr:rowOff>
    </xdr:to>
    <xdr:pic>
      <xdr:nvPicPr>
        <xdr:cNvPr id="29098" name="1 Imagen">
          <a:extLst>
            <a:ext uri="{FF2B5EF4-FFF2-40B4-BE49-F238E27FC236}">
              <a16:creationId xmlns:a16="http://schemas.microsoft.com/office/drawing/2014/main" id="{FC677CBC-E88B-60D1-4999-A1D83190B23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4648200" y="9048750"/>
          <a:ext cx="1600200" cy="69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1403350</xdr:colOff>
      <xdr:row>56</xdr:row>
      <xdr:rowOff>25400</xdr:rowOff>
    </xdr:from>
    <xdr:to>
      <xdr:col>17</xdr:col>
      <xdr:colOff>1428750</xdr:colOff>
      <xdr:row>59</xdr:row>
      <xdr:rowOff>342900</xdr:rowOff>
    </xdr:to>
    <xdr:pic>
      <xdr:nvPicPr>
        <xdr:cNvPr id="29099" name="1 Imagen">
          <a:extLst>
            <a:ext uri="{FF2B5EF4-FFF2-40B4-BE49-F238E27FC236}">
              <a16:creationId xmlns:a16="http://schemas.microsoft.com/office/drawing/2014/main" id="{33037C1A-7861-87F9-88A3-5664FBBCF4B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896600" y="9074150"/>
          <a:ext cx="16002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1504950</xdr:colOff>
      <xdr:row>55</xdr:row>
      <xdr:rowOff>342900</xdr:rowOff>
    </xdr:from>
    <xdr:to>
      <xdr:col>26</xdr:col>
      <xdr:colOff>1543050</xdr:colOff>
      <xdr:row>59</xdr:row>
      <xdr:rowOff>285750</xdr:rowOff>
    </xdr:to>
    <xdr:pic>
      <xdr:nvPicPr>
        <xdr:cNvPr id="29100" name="1 Imagen">
          <a:extLst>
            <a:ext uri="{FF2B5EF4-FFF2-40B4-BE49-F238E27FC236}">
              <a16:creationId xmlns:a16="http://schemas.microsoft.com/office/drawing/2014/main" id="{DF1CCA48-BADD-9C67-E824-FA0DEE80E6E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7145000" y="9048750"/>
          <a:ext cx="1600200" cy="69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698500</xdr:colOff>
      <xdr:row>0</xdr:row>
      <xdr:rowOff>0</xdr:rowOff>
    </xdr:from>
    <xdr:to>
      <xdr:col>9</xdr:col>
      <xdr:colOff>0</xdr:colOff>
      <xdr:row>2</xdr:row>
      <xdr:rowOff>82550</xdr:rowOff>
    </xdr:to>
    <xdr:pic>
      <xdr:nvPicPr>
        <xdr:cNvPr id="26140" name="Picture 8" descr="ImagingService">
          <a:extLst>
            <a:ext uri="{FF2B5EF4-FFF2-40B4-BE49-F238E27FC236}">
              <a16:creationId xmlns:a16="http://schemas.microsoft.com/office/drawing/2014/main" id="{AC9BB4F5-3F71-99EB-4828-15B69CF66C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4427" b="65599"/>
        <a:stretch>
          <a:fillRect/>
        </a:stretch>
      </xdr:blipFill>
      <xdr:spPr bwMode="auto">
        <a:xfrm>
          <a:off x="1346200" y="0"/>
          <a:ext cx="4902200" cy="46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2</xdr:col>
      <xdr:colOff>736600</xdr:colOff>
      <xdr:row>2</xdr:row>
      <xdr:rowOff>44450</xdr:rowOff>
    </xdr:to>
    <xdr:pic>
      <xdr:nvPicPr>
        <xdr:cNvPr id="26141" name="Picture 9">
          <a:extLst>
            <a:ext uri="{FF2B5EF4-FFF2-40B4-BE49-F238E27FC236}">
              <a16:creationId xmlns:a16="http://schemas.microsoft.com/office/drawing/2014/main" id="{AEC2347A-A3BF-154D-3DC5-6BF08586ACE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323850" y="0"/>
          <a:ext cx="10604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0</xdr:colOff>
      <xdr:row>4</xdr:row>
      <xdr:rowOff>0</xdr:rowOff>
    </xdr:from>
    <xdr:to>
      <xdr:col>3</xdr:col>
      <xdr:colOff>1504950</xdr:colOff>
      <xdr:row>5</xdr:row>
      <xdr:rowOff>292100</xdr:rowOff>
    </xdr:to>
    <xdr:pic>
      <xdr:nvPicPr>
        <xdr:cNvPr id="26142" name="Picture 11" descr="ImagingService">
          <a:extLst>
            <a:ext uri="{FF2B5EF4-FFF2-40B4-BE49-F238E27FC236}">
              <a16:creationId xmlns:a16="http://schemas.microsoft.com/office/drawing/2014/main" id="{62B6A4CE-72F2-6A4D-A5B6-F7AD7E289E0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13333" r="48239" b="64667"/>
        <a:stretch>
          <a:fillRect/>
        </a:stretch>
      </xdr:blipFill>
      <xdr:spPr bwMode="auto">
        <a:xfrm>
          <a:off x="323850" y="781050"/>
          <a:ext cx="19240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698500</xdr:colOff>
      <xdr:row>0</xdr:row>
      <xdr:rowOff>0</xdr:rowOff>
    </xdr:from>
    <xdr:to>
      <xdr:col>18</xdr:col>
      <xdr:colOff>0</xdr:colOff>
      <xdr:row>2</xdr:row>
      <xdr:rowOff>82550</xdr:rowOff>
    </xdr:to>
    <xdr:pic>
      <xdr:nvPicPr>
        <xdr:cNvPr id="26143" name="Picture 13" descr="ImagingService">
          <a:extLst>
            <a:ext uri="{FF2B5EF4-FFF2-40B4-BE49-F238E27FC236}">
              <a16:creationId xmlns:a16="http://schemas.microsoft.com/office/drawing/2014/main" id="{AF94A5BD-F021-7C9C-5773-A1CC26BBCF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4427" b="65599"/>
        <a:stretch>
          <a:fillRect/>
        </a:stretch>
      </xdr:blipFill>
      <xdr:spPr bwMode="auto">
        <a:xfrm>
          <a:off x="7594600" y="0"/>
          <a:ext cx="4902200" cy="46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0</xdr:colOff>
      <xdr:row>0</xdr:row>
      <xdr:rowOff>0</xdr:rowOff>
    </xdr:from>
    <xdr:to>
      <xdr:col>11</xdr:col>
      <xdr:colOff>736600</xdr:colOff>
      <xdr:row>2</xdr:row>
      <xdr:rowOff>44450</xdr:rowOff>
    </xdr:to>
    <xdr:pic>
      <xdr:nvPicPr>
        <xdr:cNvPr id="26144" name="Picture 14">
          <a:extLst>
            <a:ext uri="{FF2B5EF4-FFF2-40B4-BE49-F238E27FC236}">
              <a16:creationId xmlns:a16="http://schemas.microsoft.com/office/drawing/2014/main" id="{127FC4FB-9935-CAF0-254F-49EE2E2827D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6572250" y="0"/>
          <a:ext cx="10604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10</xdr:col>
      <xdr:colOff>0</xdr:colOff>
      <xdr:row>4</xdr:row>
      <xdr:rowOff>0</xdr:rowOff>
    </xdr:from>
    <xdr:to>
      <xdr:col>12</xdr:col>
      <xdr:colOff>857250</xdr:colOff>
      <xdr:row>5</xdr:row>
      <xdr:rowOff>234950</xdr:rowOff>
    </xdr:to>
    <xdr:pic>
      <xdr:nvPicPr>
        <xdr:cNvPr id="26145" name="Picture 16" descr="ImagingService">
          <a:extLst>
            <a:ext uri="{FF2B5EF4-FFF2-40B4-BE49-F238E27FC236}">
              <a16:creationId xmlns:a16="http://schemas.microsoft.com/office/drawing/2014/main" id="{D4683EA5-6548-31A2-75C3-B2B2806EA9C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000" r="56369" b="66000"/>
        <a:stretch>
          <a:fillRect/>
        </a:stretch>
      </xdr:blipFill>
      <xdr:spPr bwMode="auto">
        <a:xfrm>
          <a:off x="6572250" y="781050"/>
          <a:ext cx="19240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xdr:colOff>
      <xdr:row>24</xdr:row>
      <xdr:rowOff>304800</xdr:rowOff>
    </xdr:from>
    <xdr:to>
      <xdr:col>13</xdr:col>
      <xdr:colOff>647700</xdr:colOff>
      <xdr:row>26</xdr:row>
      <xdr:rowOff>222250</xdr:rowOff>
    </xdr:to>
    <xdr:pic>
      <xdr:nvPicPr>
        <xdr:cNvPr id="26146" name="Picture 17" descr="ImagingService">
          <a:extLst>
            <a:ext uri="{FF2B5EF4-FFF2-40B4-BE49-F238E27FC236}">
              <a16:creationId xmlns:a16="http://schemas.microsoft.com/office/drawing/2014/main" id="{673849C4-9B7F-44A0-7F6A-972117DF8934}"/>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14000" r="40379" b="65666"/>
        <a:stretch>
          <a:fillRect/>
        </a:stretch>
      </xdr:blipFill>
      <xdr:spPr bwMode="auto">
        <a:xfrm>
          <a:off x="6610350" y="4210050"/>
          <a:ext cx="253365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xdr:colOff>
      <xdr:row>30</xdr:row>
      <xdr:rowOff>0</xdr:rowOff>
    </xdr:from>
    <xdr:to>
      <xdr:col>13</xdr:col>
      <xdr:colOff>514350</xdr:colOff>
      <xdr:row>31</xdr:row>
      <xdr:rowOff>285750</xdr:rowOff>
    </xdr:to>
    <xdr:pic>
      <xdr:nvPicPr>
        <xdr:cNvPr id="26147" name="Picture 18" descr="ImagingService">
          <a:extLst>
            <a:ext uri="{FF2B5EF4-FFF2-40B4-BE49-F238E27FC236}">
              <a16:creationId xmlns:a16="http://schemas.microsoft.com/office/drawing/2014/main" id="{B8E70CFE-6BDB-A22B-1504-208B49050C9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t="14000" r="42276" b="66000"/>
        <a:stretch>
          <a:fillRect/>
        </a:stretch>
      </xdr:blipFill>
      <xdr:spPr bwMode="auto">
        <a:xfrm>
          <a:off x="6610350" y="5029200"/>
          <a:ext cx="240030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717550</xdr:colOff>
      <xdr:row>36</xdr:row>
      <xdr:rowOff>304800</xdr:rowOff>
    </xdr:from>
    <xdr:to>
      <xdr:col>15</xdr:col>
      <xdr:colOff>711200</xdr:colOff>
      <xdr:row>38</xdr:row>
      <xdr:rowOff>222250</xdr:rowOff>
    </xdr:to>
    <xdr:pic>
      <xdr:nvPicPr>
        <xdr:cNvPr id="26148" name="Picture 19" descr="ImagingService">
          <a:extLst>
            <a:ext uri="{FF2B5EF4-FFF2-40B4-BE49-F238E27FC236}">
              <a16:creationId xmlns:a16="http://schemas.microsoft.com/office/drawing/2014/main" id="{A229C884-4C29-DE4B-B459-4596E89ABFF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l="-272" t="15334" r="4138" b="65938"/>
        <a:stretch>
          <a:fillRect/>
        </a:stretch>
      </xdr:blipFill>
      <xdr:spPr bwMode="auto">
        <a:xfrm>
          <a:off x="6572250" y="6165850"/>
          <a:ext cx="423545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6350</xdr:colOff>
      <xdr:row>42</xdr:row>
      <xdr:rowOff>76200</xdr:rowOff>
    </xdr:from>
    <xdr:to>
      <xdr:col>14</xdr:col>
      <xdr:colOff>1543050</xdr:colOff>
      <xdr:row>43</xdr:row>
      <xdr:rowOff>285750</xdr:rowOff>
    </xdr:to>
    <xdr:pic>
      <xdr:nvPicPr>
        <xdr:cNvPr id="26149" name="Picture 20" descr="ImagingService">
          <a:extLst>
            <a:ext uri="{FF2B5EF4-FFF2-40B4-BE49-F238E27FC236}">
              <a16:creationId xmlns:a16="http://schemas.microsoft.com/office/drawing/2014/main" id="{060B9EB6-7FD4-D538-6107-B3741662FA86}"/>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l="272" t="15334" r="6911" b="66333"/>
        <a:stretch>
          <a:fillRect/>
        </a:stretch>
      </xdr:blipFill>
      <xdr:spPr bwMode="auto">
        <a:xfrm>
          <a:off x="6578600" y="7061200"/>
          <a:ext cx="35179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57150</xdr:colOff>
      <xdr:row>49</xdr:row>
      <xdr:rowOff>165100</xdr:rowOff>
    </xdr:from>
    <xdr:to>
      <xdr:col>13</xdr:col>
      <xdr:colOff>514350</xdr:colOff>
      <xdr:row>50</xdr:row>
      <xdr:rowOff>342900</xdr:rowOff>
    </xdr:to>
    <xdr:pic>
      <xdr:nvPicPr>
        <xdr:cNvPr id="26150" name="Picture 21" descr="ImagingService">
          <a:extLst>
            <a:ext uri="{FF2B5EF4-FFF2-40B4-BE49-F238E27FC236}">
              <a16:creationId xmlns:a16="http://schemas.microsoft.com/office/drawing/2014/main" id="{67D8F128-CDFD-A584-EB42-995F45FD526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t="14667" r="40921" b="67999"/>
        <a:stretch>
          <a:fillRect/>
        </a:stretch>
      </xdr:blipFill>
      <xdr:spPr bwMode="auto">
        <a:xfrm>
          <a:off x="6629400" y="8286750"/>
          <a:ext cx="2381250" cy="165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698500</xdr:colOff>
      <xdr:row>0</xdr:row>
      <xdr:rowOff>0</xdr:rowOff>
    </xdr:from>
    <xdr:to>
      <xdr:col>27</xdr:col>
      <xdr:colOff>0</xdr:colOff>
      <xdr:row>2</xdr:row>
      <xdr:rowOff>120650</xdr:rowOff>
    </xdr:to>
    <xdr:pic>
      <xdr:nvPicPr>
        <xdr:cNvPr id="26151" name="Picture 23" descr="ImagingService">
          <a:extLst>
            <a:ext uri="{FF2B5EF4-FFF2-40B4-BE49-F238E27FC236}">
              <a16:creationId xmlns:a16="http://schemas.microsoft.com/office/drawing/2014/main" id="{D71A40B8-0B07-C21E-C93D-073AD7C82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4264" b="64796"/>
        <a:stretch>
          <a:fillRect/>
        </a:stretch>
      </xdr:blipFill>
      <xdr:spPr bwMode="auto">
        <a:xfrm>
          <a:off x="13843000" y="0"/>
          <a:ext cx="4902200" cy="508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0</xdr:colOff>
      <xdr:row>0</xdr:row>
      <xdr:rowOff>0</xdr:rowOff>
    </xdr:from>
    <xdr:to>
      <xdr:col>20</xdr:col>
      <xdr:colOff>698500</xdr:colOff>
      <xdr:row>2</xdr:row>
      <xdr:rowOff>44450</xdr:rowOff>
    </xdr:to>
    <xdr:pic>
      <xdr:nvPicPr>
        <xdr:cNvPr id="26152" name="Picture 24">
          <a:extLst>
            <a:ext uri="{FF2B5EF4-FFF2-40B4-BE49-F238E27FC236}">
              <a16:creationId xmlns:a16="http://schemas.microsoft.com/office/drawing/2014/main" id="{EC0C969C-13E5-3EEF-2A8A-F34F18E2A76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12820650" y="0"/>
          <a:ext cx="10223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19</xdr:col>
      <xdr:colOff>0</xdr:colOff>
      <xdr:row>4</xdr:row>
      <xdr:rowOff>88900</xdr:rowOff>
    </xdr:from>
    <xdr:to>
      <xdr:col>23</xdr:col>
      <xdr:colOff>1714500</xdr:colOff>
      <xdr:row>5</xdr:row>
      <xdr:rowOff>254000</xdr:rowOff>
    </xdr:to>
    <xdr:pic>
      <xdr:nvPicPr>
        <xdr:cNvPr id="26153" name="Picture 26" descr="ImagingService">
          <a:extLst>
            <a:ext uri="{FF2B5EF4-FFF2-40B4-BE49-F238E27FC236}">
              <a16:creationId xmlns:a16="http://schemas.microsoft.com/office/drawing/2014/main" id="{93BA2023-051E-D847-E631-C91522CD8183}"/>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t="11667" r="22900" b="74333"/>
        <a:stretch>
          <a:fillRect/>
        </a:stretch>
      </xdr:blipFill>
      <xdr:spPr bwMode="auto">
        <a:xfrm>
          <a:off x="12820650" y="869950"/>
          <a:ext cx="3524250" cy="23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6350</xdr:rowOff>
    </xdr:from>
    <xdr:to>
      <xdr:col>5</xdr:col>
      <xdr:colOff>552450</xdr:colOff>
      <xdr:row>3</xdr:row>
      <xdr:rowOff>152400</xdr:rowOff>
    </xdr:to>
    <xdr:pic>
      <xdr:nvPicPr>
        <xdr:cNvPr id="26154" name="Picture 30" descr="ImagingService">
          <a:extLst>
            <a:ext uri="{FF2B5EF4-FFF2-40B4-BE49-F238E27FC236}">
              <a16:creationId xmlns:a16="http://schemas.microsoft.com/office/drawing/2014/main" id="{3AC7BE66-B0C6-E38A-4E2A-E11169C89F7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l="-136" t="14333" r="22900" b="66333"/>
        <a:stretch>
          <a:fillRect/>
        </a:stretch>
      </xdr:blipFill>
      <xdr:spPr bwMode="auto">
        <a:xfrm>
          <a:off x="323850" y="393700"/>
          <a:ext cx="32766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xdr:row>
      <xdr:rowOff>44450</xdr:rowOff>
    </xdr:from>
    <xdr:to>
      <xdr:col>14</xdr:col>
      <xdr:colOff>552450</xdr:colOff>
      <xdr:row>3</xdr:row>
      <xdr:rowOff>171450</xdr:rowOff>
    </xdr:to>
    <xdr:pic>
      <xdr:nvPicPr>
        <xdr:cNvPr id="26155" name="Picture 31" descr="ImagingService">
          <a:extLst>
            <a:ext uri="{FF2B5EF4-FFF2-40B4-BE49-F238E27FC236}">
              <a16:creationId xmlns:a16="http://schemas.microsoft.com/office/drawing/2014/main" id="{C78AD68D-F807-4E9E-054D-347AFC6261ED}"/>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l="-136" t="14333" r="22900" b="66333"/>
        <a:stretch>
          <a:fillRect/>
        </a:stretch>
      </xdr:blipFill>
      <xdr:spPr bwMode="auto">
        <a:xfrm>
          <a:off x="6572250" y="431800"/>
          <a:ext cx="3276600"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0</xdr:colOff>
      <xdr:row>2</xdr:row>
      <xdr:rowOff>0</xdr:rowOff>
    </xdr:from>
    <xdr:to>
      <xdr:col>23</xdr:col>
      <xdr:colOff>552450</xdr:colOff>
      <xdr:row>3</xdr:row>
      <xdr:rowOff>120650</xdr:rowOff>
    </xdr:to>
    <xdr:pic>
      <xdr:nvPicPr>
        <xdr:cNvPr id="26156" name="Picture 32" descr="ImagingService">
          <a:extLst>
            <a:ext uri="{FF2B5EF4-FFF2-40B4-BE49-F238E27FC236}">
              <a16:creationId xmlns:a16="http://schemas.microsoft.com/office/drawing/2014/main" id="{52F0047A-A1F4-C531-9E34-D09913865F26}"/>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l="-136" t="14333" r="22900" b="66333"/>
        <a:stretch>
          <a:fillRect/>
        </a:stretch>
      </xdr:blipFill>
      <xdr:spPr bwMode="auto">
        <a:xfrm>
          <a:off x="12820650" y="387350"/>
          <a:ext cx="3276600" cy="35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971550</xdr:colOff>
      <xdr:row>0</xdr:row>
      <xdr:rowOff>203200</xdr:rowOff>
    </xdr:from>
    <xdr:to>
      <xdr:col>8</xdr:col>
      <xdr:colOff>1454150</xdr:colOff>
      <xdr:row>2</xdr:row>
      <xdr:rowOff>342900</xdr:rowOff>
    </xdr:to>
    <xdr:pic>
      <xdr:nvPicPr>
        <xdr:cNvPr id="26157" name="Picture 33" descr="ImagingService">
          <a:extLst>
            <a:ext uri="{FF2B5EF4-FFF2-40B4-BE49-F238E27FC236}">
              <a16:creationId xmlns:a16="http://schemas.microsoft.com/office/drawing/2014/main" id="{34F504F8-1B86-6ECC-2EF0-54E573DCBA94}"/>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l="-136" t="13667" r="83551" b="67314"/>
        <a:stretch>
          <a:fillRect/>
        </a:stretch>
      </xdr:blipFill>
      <xdr:spPr bwMode="auto">
        <a:xfrm>
          <a:off x="5448300" y="203200"/>
          <a:ext cx="8001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971550</xdr:colOff>
      <xdr:row>0</xdr:row>
      <xdr:rowOff>203200</xdr:rowOff>
    </xdr:from>
    <xdr:to>
      <xdr:col>17</xdr:col>
      <xdr:colOff>1454150</xdr:colOff>
      <xdr:row>2</xdr:row>
      <xdr:rowOff>368300</xdr:rowOff>
    </xdr:to>
    <xdr:pic>
      <xdr:nvPicPr>
        <xdr:cNvPr id="26158" name="Picture 34" descr="ImagingService">
          <a:extLst>
            <a:ext uri="{FF2B5EF4-FFF2-40B4-BE49-F238E27FC236}">
              <a16:creationId xmlns:a16="http://schemas.microsoft.com/office/drawing/2014/main" id="{C6CC3BF1-EE42-EF9D-58D5-626D1088EC5B}"/>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t="13333" r="82918" b="66414"/>
        <a:stretch>
          <a:fillRect/>
        </a:stretch>
      </xdr:blipFill>
      <xdr:spPr bwMode="auto">
        <a:xfrm>
          <a:off x="11696700" y="203200"/>
          <a:ext cx="8001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1066800</xdr:colOff>
      <xdr:row>0</xdr:row>
      <xdr:rowOff>171450</xdr:rowOff>
    </xdr:from>
    <xdr:to>
      <xdr:col>26</xdr:col>
      <xdr:colOff>1504950</xdr:colOff>
      <xdr:row>2</xdr:row>
      <xdr:rowOff>342900</xdr:rowOff>
    </xdr:to>
    <xdr:pic>
      <xdr:nvPicPr>
        <xdr:cNvPr id="26159" name="Picture 35" descr="ImagingService">
          <a:extLst>
            <a:ext uri="{FF2B5EF4-FFF2-40B4-BE49-F238E27FC236}">
              <a16:creationId xmlns:a16="http://schemas.microsoft.com/office/drawing/2014/main" id="{41CCB1DB-7A78-3B41-7BD6-271E0F5604E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l="136" t="14667" r="82791" b="67000"/>
        <a:stretch>
          <a:fillRect/>
        </a:stretch>
      </xdr:blipFill>
      <xdr:spPr bwMode="auto">
        <a:xfrm>
          <a:off x="17945100" y="171450"/>
          <a:ext cx="800100" cy="45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946150</xdr:colOff>
      <xdr:row>56</xdr:row>
      <xdr:rowOff>0</xdr:rowOff>
    </xdr:from>
    <xdr:to>
      <xdr:col>8</xdr:col>
      <xdr:colOff>971550</xdr:colOff>
      <xdr:row>59</xdr:row>
      <xdr:rowOff>266700</xdr:rowOff>
    </xdr:to>
    <xdr:pic>
      <xdr:nvPicPr>
        <xdr:cNvPr id="26160" name="1 Imagen">
          <a:extLst>
            <a:ext uri="{FF2B5EF4-FFF2-40B4-BE49-F238E27FC236}">
              <a16:creationId xmlns:a16="http://schemas.microsoft.com/office/drawing/2014/main" id="{B82DF850-FECE-4104-C564-6F164376A39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4648200" y="9251950"/>
          <a:ext cx="1600200" cy="69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1016000</xdr:colOff>
      <xdr:row>56</xdr:row>
      <xdr:rowOff>38100</xdr:rowOff>
    </xdr:from>
    <xdr:to>
      <xdr:col>17</xdr:col>
      <xdr:colOff>1047750</xdr:colOff>
      <xdr:row>59</xdr:row>
      <xdr:rowOff>311150</xdr:rowOff>
    </xdr:to>
    <xdr:pic>
      <xdr:nvPicPr>
        <xdr:cNvPr id="26161" name="1 Imagen">
          <a:extLst>
            <a:ext uri="{FF2B5EF4-FFF2-40B4-BE49-F238E27FC236}">
              <a16:creationId xmlns:a16="http://schemas.microsoft.com/office/drawing/2014/main" id="{0528872D-3F92-43FF-B1DC-0971C01EBAE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896600" y="9290050"/>
          <a:ext cx="16002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1066800</xdr:colOff>
      <xdr:row>56</xdr:row>
      <xdr:rowOff>38100</xdr:rowOff>
    </xdr:from>
    <xdr:to>
      <xdr:col>26</xdr:col>
      <xdr:colOff>1104900</xdr:colOff>
      <xdr:row>59</xdr:row>
      <xdr:rowOff>311150</xdr:rowOff>
    </xdr:to>
    <xdr:pic>
      <xdr:nvPicPr>
        <xdr:cNvPr id="26162" name="1 Imagen">
          <a:extLst>
            <a:ext uri="{FF2B5EF4-FFF2-40B4-BE49-F238E27FC236}">
              <a16:creationId xmlns:a16="http://schemas.microsoft.com/office/drawing/2014/main" id="{871B0E4D-601A-4C3E-C079-AD1F9566E37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7145000" y="9290050"/>
          <a:ext cx="16002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31750</xdr:rowOff>
    </xdr:from>
    <xdr:to>
      <xdr:col>9</xdr:col>
      <xdr:colOff>0</xdr:colOff>
      <xdr:row>2</xdr:row>
      <xdr:rowOff>82550</xdr:rowOff>
    </xdr:to>
    <xdr:grpSp>
      <xdr:nvGrpSpPr>
        <xdr:cNvPr id="27195" name="Group 5">
          <a:extLst>
            <a:ext uri="{FF2B5EF4-FFF2-40B4-BE49-F238E27FC236}">
              <a16:creationId xmlns:a16="http://schemas.microsoft.com/office/drawing/2014/main" id="{7DB4B555-021D-0786-7E02-151B8F279943}"/>
            </a:ext>
          </a:extLst>
        </xdr:cNvPr>
        <xdr:cNvGrpSpPr>
          <a:grpSpLocks/>
        </xdr:cNvGrpSpPr>
      </xdr:nvGrpSpPr>
      <xdr:grpSpPr bwMode="auto">
        <a:xfrm>
          <a:off x="322729" y="31750"/>
          <a:ext cx="5844989" cy="445247"/>
          <a:chOff x="2538" y="0"/>
          <a:chExt cx="592" cy="44"/>
        </a:xfrm>
      </xdr:grpSpPr>
      <xdr:pic>
        <xdr:nvPicPr>
          <xdr:cNvPr id="27217" name="Picture 6" descr="ImagingService">
            <a:extLst>
              <a:ext uri="{FF2B5EF4-FFF2-40B4-BE49-F238E27FC236}">
                <a16:creationId xmlns:a16="http://schemas.microsoft.com/office/drawing/2014/main" id="{276175BB-A40F-A409-0C9C-3C8A82D3C9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7218" name="Picture 7">
            <a:extLst>
              <a:ext uri="{FF2B5EF4-FFF2-40B4-BE49-F238E27FC236}">
                <a16:creationId xmlns:a16="http://schemas.microsoft.com/office/drawing/2014/main" id="{7480164D-1041-9225-5038-2FD34E6C196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10</xdr:col>
      <xdr:colOff>0</xdr:colOff>
      <xdr:row>0</xdr:row>
      <xdr:rowOff>0</xdr:rowOff>
    </xdr:from>
    <xdr:to>
      <xdr:col>18</xdr:col>
      <xdr:colOff>0</xdr:colOff>
      <xdr:row>2</xdr:row>
      <xdr:rowOff>69850</xdr:rowOff>
    </xdr:to>
    <xdr:grpSp>
      <xdr:nvGrpSpPr>
        <xdr:cNvPr id="27196" name="Group 10">
          <a:extLst>
            <a:ext uri="{FF2B5EF4-FFF2-40B4-BE49-F238E27FC236}">
              <a16:creationId xmlns:a16="http://schemas.microsoft.com/office/drawing/2014/main" id="{C80963D4-397F-E09D-1718-1F7012C35D83}"/>
            </a:ext>
          </a:extLst>
        </xdr:cNvPr>
        <xdr:cNvGrpSpPr>
          <a:grpSpLocks/>
        </xdr:cNvGrpSpPr>
      </xdr:nvGrpSpPr>
      <xdr:grpSpPr bwMode="auto">
        <a:xfrm>
          <a:off x="6490447" y="0"/>
          <a:ext cx="5844988" cy="464297"/>
          <a:chOff x="2538" y="0"/>
          <a:chExt cx="592" cy="44"/>
        </a:xfrm>
      </xdr:grpSpPr>
      <xdr:pic>
        <xdr:nvPicPr>
          <xdr:cNvPr id="27215" name="Picture 11" descr="ImagingService">
            <a:extLst>
              <a:ext uri="{FF2B5EF4-FFF2-40B4-BE49-F238E27FC236}">
                <a16:creationId xmlns:a16="http://schemas.microsoft.com/office/drawing/2014/main" id="{0F063741-98E9-7089-46C5-FD1C327AE8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7216" name="Picture 12">
            <a:extLst>
              <a:ext uri="{FF2B5EF4-FFF2-40B4-BE49-F238E27FC236}">
                <a16:creationId xmlns:a16="http://schemas.microsoft.com/office/drawing/2014/main" id="{8A220D12-879A-ED5A-0AAF-1F113136C1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xdr:col>
      <xdr:colOff>0</xdr:colOff>
      <xdr:row>4</xdr:row>
      <xdr:rowOff>247650</xdr:rowOff>
    </xdr:from>
    <xdr:to>
      <xdr:col>5</xdr:col>
      <xdr:colOff>171450</xdr:colOff>
      <xdr:row>5</xdr:row>
      <xdr:rowOff>342900</xdr:rowOff>
    </xdr:to>
    <xdr:pic>
      <xdr:nvPicPr>
        <xdr:cNvPr id="27197" name="Picture 14" descr="ImagingService">
          <a:extLst>
            <a:ext uri="{FF2B5EF4-FFF2-40B4-BE49-F238E27FC236}">
              <a16:creationId xmlns:a16="http://schemas.microsoft.com/office/drawing/2014/main" id="{7269EDD8-2878-1574-6409-B8A1BE687C6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14333" r="12872" b="68001"/>
        <a:stretch>
          <a:fillRect/>
        </a:stretch>
      </xdr:blipFill>
      <xdr:spPr bwMode="auto">
        <a:xfrm>
          <a:off x="323850" y="946150"/>
          <a:ext cx="289560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9</xdr:row>
      <xdr:rowOff>88900</xdr:rowOff>
    </xdr:from>
    <xdr:to>
      <xdr:col>3</xdr:col>
      <xdr:colOff>711200</xdr:colOff>
      <xdr:row>10</xdr:row>
      <xdr:rowOff>222250</xdr:rowOff>
    </xdr:to>
    <xdr:pic>
      <xdr:nvPicPr>
        <xdr:cNvPr id="27198" name="Picture 15" descr="ImagingService">
          <a:extLst>
            <a:ext uri="{FF2B5EF4-FFF2-40B4-BE49-F238E27FC236}">
              <a16:creationId xmlns:a16="http://schemas.microsoft.com/office/drawing/2014/main" id="{2B3C03E3-7FF1-12AA-F90A-9D19B777F29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999" r="52304" b="66335"/>
        <a:stretch>
          <a:fillRect/>
        </a:stretch>
      </xdr:blipFill>
      <xdr:spPr bwMode="auto">
        <a:xfrm>
          <a:off x="323850" y="1689100"/>
          <a:ext cx="1835150" cy="24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14</xdr:row>
      <xdr:rowOff>88900</xdr:rowOff>
    </xdr:from>
    <xdr:to>
      <xdr:col>4</xdr:col>
      <xdr:colOff>628650</xdr:colOff>
      <xdr:row>15</xdr:row>
      <xdr:rowOff>222250</xdr:rowOff>
    </xdr:to>
    <xdr:pic>
      <xdr:nvPicPr>
        <xdr:cNvPr id="27199" name="Picture 16" descr="ImagingService">
          <a:extLst>
            <a:ext uri="{FF2B5EF4-FFF2-40B4-BE49-F238E27FC236}">
              <a16:creationId xmlns:a16="http://schemas.microsoft.com/office/drawing/2014/main" id="{98E21EF3-3A7F-763D-BB81-1984C2366A8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14999" r="34282" b="67667"/>
        <a:stretch>
          <a:fillRect/>
        </a:stretch>
      </xdr:blipFill>
      <xdr:spPr bwMode="auto">
        <a:xfrm>
          <a:off x="323850" y="2508250"/>
          <a:ext cx="2552700" cy="24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6350</xdr:colOff>
      <xdr:row>19</xdr:row>
      <xdr:rowOff>114300</xdr:rowOff>
    </xdr:from>
    <xdr:to>
      <xdr:col>5</xdr:col>
      <xdr:colOff>857250</xdr:colOff>
      <xdr:row>20</xdr:row>
      <xdr:rowOff>247650</xdr:rowOff>
    </xdr:to>
    <xdr:pic>
      <xdr:nvPicPr>
        <xdr:cNvPr id="27200" name="Picture 17" descr="ImagingService">
          <a:extLst>
            <a:ext uri="{FF2B5EF4-FFF2-40B4-BE49-F238E27FC236}">
              <a16:creationId xmlns:a16="http://schemas.microsoft.com/office/drawing/2014/main" id="{5F21855B-E890-0820-9546-83F18B4345C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t="15334" r="6911" b="67332"/>
        <a:stretch>
          <a:fillRect/>
        </a:stretch>
      </xdr:blipFill>
      <xdr:spPr bwMode="auto">
        <a:xfrm>
          <a:off x="330200" y="3352800"/>
          <a:ext cx="3517900" cy="21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23</xdr:row>
      <xdr:rowOff>0</xdr:rowOff>
    </xdr:from>
    <xdr:to>
      <xdr:col>6</xdr:col>
      <xdr:colOff>711200</xdr:colOff>
      <xdr:row>24</xdr:row>
      <xdr:rowOff>336550</xdr:rowOff>
    </xdr:to>
    <xdr:sp macro="" textlink="">
      <xdr:nvSpPr>
        <xdr:cNvPr id="27201" name="AutoShape 18" descr="ImagingService">
          <a:extLst>
            <a:ext uri="{FF2B5EF4-FFF2-40B4-BE49-F238E27FC236}">
              <a16:creationId xmlns:a16="http://schemas.microsoft.com/office/drawing/2014/main" id="{7998CF9F-9D52-F824-73A3-792211DD0C44}"/>
            </a:ext>
          </a:extLst>
        </xdr:cNvPr>
        <xdr:cNvSpPr>
          <a:spLocks noChangeAspect="1" noChangeArrowheads="1"/>
        </xdr:cNvSpPr>
      </xdr:nvSpPr>
      <xdr:spPr bwMode="auto">
        <a:xfrm>
          <a:off x="3848100" y="3892550"/>
          <a:ext cx="71120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6350</xdr:colOff>
      <xdr:row>24</xdr:row>
      <xdr:rowOff>0</xdr:rowOff>
    </xdr:from>
    <xdr:to>
      <xdr:col>4</xdr:col>
      <xdr:colOff>1333500</xdr:colOff>
      <xdr:row>25</xdr:row>
      <xdr:rowOff>222250</xdr:rowOff>
    </xdr:to>
    <xdr:pic>
      <xdr:nvPicPr>
        <xdr:cNvPr id="27202" name="Picture 19" descr="ImagingService">
          <a:extLst>
            <a:ext uri="{FF2B5EF4-FFF2-40B4-BE49-F238E27FC236}">
              <a16:creationId xmlns:a16="http://schemas.microsoft.com/office/drawing/2014/main" id="{CE980775-AFF2-4B78-32E8-D078CDCEEBC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t="12334" r="21680" b="66666"/>
        <a:stretch>
          <a:fillRect/>
        </a:stretch>
      </xdr:blipFill>
      <xdr:spPr bwMode="auto">
        <a:xfrm>
          <a:off x="330200" y="4057650"/>
          <a:ext cx="271780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6350</xdr:colOff>
      <xdr:row>29</xdr:row>
      <xdr:rowOff>88900</xdr:rowOff>
    </xdr:from>
    <xdr:to>
      <xdr:col>3</xdr:col>
      <xdr:colOff>457200</xdr:colOff>
      <xdr:row>30</xdr:row>
      <xdr:rowOff>222250</xdr:rowOff>
    </xdr:to>
    <xdr:pic>
      <xdr:nvPicPr>
        <xdr:cNvPr id="27203" name="Picture 20" descr="ImagingService">
          <a:extLst>
            <a:ext uri="{FF2B5EF4-FFF2-40B4-BE49-F238E27FC236}">
              <a16:creationId xmlns:a16="http://schemas.microsoft.com/office/drawing/2014/main" id="{84CE9BDC-409B-92D1-51DD-F0F45EAF1B5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t="14999" r="56639" b="67000"/>
        <a:stretch>
          <a:fillRect/>
        </a:stretch>
      </xdr:blipFill>
      <xdr:spPr bwMode="auto">
        <a:xfrm>
          <a:off x="330200" y="4965700"/>
          <a:ext cx="1574800" cy="24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34</xdr:row>
      <xdr:rowOff>76200</xdr:rowOff>
    </xdr:from>
    <xdr:to>
      <xdr:col>2</xdr:col>
      <xdr:colOff>1631950</xdr:colOff>
      <xdr:row>35</xdr:row>
      <xdr:rowOff>234950</xdr:rowOff>
    </xdr:to>
    <xdr:pic>
      <xdr:nvPicPr>
        <xdr:cNvPr id="27204" name="Picture 21" descr="ImagingService">
          <a:extLst>
            <a:ext uri="{FF2B5EF4-FFF2-40B4-BE49-F238E27FC236}">
              <a16:creationId xmlns:a16="http://schemas.microsoft.com/office/drawing/2014/main" id="{39CDFF77-6850-3913-7334-243F43EE8B1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t="14999" r="71951" b="68001"/>
        <a:stretch>
          <a:fillRect/>
        </a:stretch>
      </xdr:blipFill>
      <xdr:spPr bwMode="auto">
        <a:xfrm>
          <a:off x="381000" y="5772150"/>
          <a:ext cx="10668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6350</xdr:colOff>
      <xdr:row>39</xdr:row>
      <xdr:rowOff>114300</xdr:rowOff>
    </xdr:from>
    <xdr:to>
      <xdr:col>5</xdr:col>
      <xdr:colOff>1016000</xdr:colOff>
      <xdr:row>40</xdr:row>
      <xdr:rowOff>285750</xdr:rowOff>
    </xdr:to>
    <xdr:pic>
      <xdr:nvPicPr>
        <xdr:cNvPr id="27205" name="Picture 22" descr="ImagingService">
          <a:extLst>
            <a:ext uri="{FF2B5EF4-FFF2-40B4-BE49-F238E27FC236}">
              <a16:creationId xmlns:a16="http://schemas.microsoft.com/office/drawing/2014/main" id="{10FF26F2-1192-95D0-7E0D-54D5031E454D}"/>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t="15334" r="10704" b="67999"/>
        <a:stretch>
          <a:fillRect/>
        </a:stretch>
      </xdr:blipFill>
      <xdr:spPr bwMode="auto">
        <a:xfrm>
          <a:off x="330200" y="6610350"/>
          <a:ext cx="3517900" cy="21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6350</xdr:colOff>
      <xdr:row>44</xdr:row>
      <xdr:rowOff>76200</xdr:rowOff>
    </xdr:from>
    <xdr:to>
      <xdr:col>2</xdr:col>
      <xdr:colOff>1581150</xdr:colOff>
      <xdr:row>45</xdr:row>
      <xdr:rowOff>234950</xdr:rowOff>
    </xdr:to>
    <xdr:pic>
      <xdr:nvPicPr>
        <xdr:cNvPr id="27206" name="Picture 23" descr="ImagingService">
          <a:extLst>
            <a:ext uri="{FF2B5EF4-FFF2-40B4-BE49-F238E27FC236}">
              <a16:creationId xmlns:a16="http://schemas.microsoft.com/office/drawing/2014/main" id="{34F555D4-3CF9-05C2-F1F5-8A1816F98638}"/>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t="14999" r="71138" b="67667"/>
        <a:stretch>
          <a:fillRect/>
        </a:stretch>
      </xdr:blipFill>
      <xdr:spPr bwMode="auto">
        <a:xfrm>
          <a:off x="330200" y="7391400"/>
          <a:ext cx="11176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6350</xdr:colOff>
      <xdr:row>49</xdr:row>
      <xdr:rowOff>114300</xdr:rowOff>
    </xdr:from>
    <xdr:to>
      <xdr:col>4</xdr:col>
      <xdr:colOff>1104900</xdr:colOff>
      <xdr:row>50</xdr:row>
      <xdr:rowOff>285750</xdr:rowOff>
    </xdr:to>
    <xdr:pic>
      <xdr:nvPicPr>
        <xdr:cNvPr id="27207" name="Picture 24" descr="ImagingService">
          <a:extLst>
            <a:ext uri="{FF2B5EF4-FFF2-40B4-BE49-F238E27FC236}">
              <a16:creationId xmlns:a16="http://schemas.microsoft.com/office/drawing/2014/main" id="{7F3C7568-3082-142E-097D-EF85AA23A57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l="-406" t="14999" r="33469" b="68001"/>
        <a:stretch>
          <a:fillRect/>
        </a:stretch>
      </xdr:blipFill>
      <xdr:spPr bwMode="auto">
        <a:xfrm>
          <a:off x="330200" y="8229600"/>
          <a:ext cx="27178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4</xdr:row>
      <xdr:rowOff>114300</xdr:rowOff>
    </xdr:from>
    <xdr:to>
      <xdr:col>13</xdr:col>
      <xdr:colOff>590550</xdr:colOff>
      <xdr:row>5</xdr:row>
      <xdr:rowOff>234950</xdr:rowOff>
    </xdr:to>
    <xdr:pic>
      <xdr:nvPicPr>
        <xdr:cNvPr id="27208" name="Picture 26" descr="ImagingService">
          <a:extLst>
            <a:ext uri="{FF2B5EF4-FFF2-40B4-BE49-F238E27FC236}">
              <a16:creationId xmlns:a16="http://schemas.microsoft.com/office/drawing/2014/main" id="{9D3B7AFF-DF11-11E4-2E0F-90E701BAC153}"/>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l="-272" t="15666" r="27507" b="66000"/>
        <a:stretch>
          <a:fillRect/>
        </a:stretch>
      </xdr:blipFill>
      <xdr:spPr bwMode="auto">
        <a:xfrm>
          <a:off x="6572250" y="895350"/>
          <a:ext cx="25146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69850</xdr:rowOff>
    </xdr:from>
    <xdr:to>
      <xdr:col>5</xdr:col>
      <xdr:colOff>647700</xdr:colOff>
      <xdr:row>3</xdr:row>
      <xdr:rowOff>234950</xdr:rowOff>
    </xdr:to>
    <xdr:pic>
      <xdr:nvPicPr>
        <xdr:cNvPr id="27209" name="Picture 27" descr="ImagingService">
          <a:extLst>
            <a:ext uri="{FF2B5EF4-FFF2-40B4-BE49-F238E27FC236}">
              <a16:creationId xmlns:a16="http://schemas.microsoft.com/office/drawing/2014/main" id="{92780055-5CE1-3C73-4713-4159A33E3E79}"/>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t="14999" r="35229" b="67334"/>
        <a:stretch>
          <a:fillRect/>
        </a:stretch>
      </xdr:blipFill>
      <xdr:spPr bwMode="auto">
        <a:xfrm>
          <a:off x="323850" y="457200"/>
          <a:ext cx="33718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xdr:row>
      <xdr:rowOff>6350</xdr:rowOff>
    </xdr:from>
    <xdr:to>
      <xdr:col>14</xdr:col>
      <xdr:colOff>647700</xdr:colOff>
      <xdr:row>3</xdr:row>
      <xdr:rowOff>196850</xdr:rowOff>
    </xdr:to>
    <xdr:pic>
      <xdr:nvPicPr>
        <xdr:cNvPr id="27210" name="Picture 28" descr="ImagingService">
          <a:extLst>
            <a:ext uri="{FF2B5EF4-FFF2-40B4-BE49-F238E27FC236}">
              <a16:creationId xmlns:a16="http://schemas.microsoft.com/office/drawing/2014/main" id="{289499B9-DE1B-E15C-BF10-98EA59E6B303}"/>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t="14999" r="35229" b="67334"/>
        <a:stretch>
          <a:fillRect/>
        </a:stretch>
      </xdr:blipFill>
      <xdr:spPr bwMode="auto">
        <a:xfrm>
          <a:off x="6572250" y="393700"/>
          <a:ext cx="3371850" cy="38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857250</xdr:colOff>
      <xdr:row>0</xdr:row>
      <xdr:rowOff>304800</xdr:rowOff>
    </xdr:from>
    <xdr:to>
      <xdr:col>8</xdr:col>
      <xdr:colOff>1568450</xdr:colOff>
      <xdr:row>3</xdr:row>
      <xdr:rowOff>25400</xdr:rowOff>
    </xdr:to>
    <xdr:pic>
      <xdr:nvPicPr>
        <xdr:cNvPr id="27211" name="Picture 29" descr="ImagingService">
          <a:extLst>
            <a:ext uri="{FF2B5EF4-FFF2-40B4-BE49-F238E27FC236}">
              <a16:creationId xmlns:a16="http://schemas.microsoft.com/office/drawing/2014/main" id="{9AE9D4A9-85F5-32F2-A17C-1C8C759645E4}"/>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t="14000" r="83333" b="66667"/>
        <a:stretch>
          <a:fillRect/>
        </a:stretch>
      </xdr:blipFill>
      <xdr:spPr bwMode="auto">
        <a:xfrm>
          <a:off x="5448300" y="228600"/>
          <a:ext cx="8001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647700</xdr:colOff>
      <xdr:row>0</xdr:row>
      <xdr:rowOff>361950</xdr:rowOff>
    </xdr:from>
    <xdr:to>
      <xdr:col>17</xdr:col>
      <xdr:colOff>1543050</xdr:colOff>
      <xdr:row>3</xdr:row>
      <xdr:rowOff>0</xdr:rowOff>
    </xdr:to>
    <xdr:pic>
      <xdr:nvPicPr>
        <xdr:cNvPr id="27212" name="Picture 30" descr="ImagingService">
          <a:extLst>
            <a:ext uri="{FF2B5EF4-FFF2-40B4-BE49-F238E27FC236}">
              <a16:creationId xmlns:a16="http://schemas.microsoft.com/office/drawing/2014/main" id="{F4094A19-680F-B62E-CA17-BAC2BC9EDC35}"/>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t="15334" r="82927" b="67332"/>
        <a:stretch>
          <a:fillRect/>
        </a:stretch>
      </xdr:blipFill>
      <xdr:spPr bwMode="auto">
        <a:xfrm>
          <a:off x="11544300" y="228600"/>
          <a:ext cx="9525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914400</xdr:colOff>
      <xdr:row>56</xdr:row>
      <xdr:rowOff>6350</xdr:rowOff>
    </xdr:from>
    <xdr:to>
      <xdr:col>8</xdr:col>
      <xdr:colOff>946150</xdr:colOff>
      <xdr:row>59</xdr:row>
      <xdr:rowOff>266700</xdr:rowOff>
    </xdr:to>
    <xdr:pic>
      <xdr:nvPicPr>
        <xdr:cNvPr id="27213" name="1 Imagen">
          <a:extLst>
            <a:ext uri="{FF2B5EF4-FFF2-40B4-BE49-F238E27FC236}">
              <a16:creationId xmlns:a16="http://schemas.microsoft.com/office/drawing/2014/main" id="{2DE372BF-26D8-5549-D9A9-8122D27FE59D}"/>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4648200" y="9239250"/>
          <a:ext cx="16002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984250</xdr:colOff>
      <xdr:row>56</xdr:row>
      <xdr:rowOff>25400</xdr:rowOff>
    </xdr:from>
    <xdr:to>
      <xdr:col>17</xdr:col>
      <xdr:colOff>1028700</xdr:colOff>
      <xdr:row>59</xdr:row>
      <xdr:rowOff>266700</xdr:rowOff>
    </xdr:to>
    <xdr:pic>
      <xdr:nvPicPr>
        <xdr:cNvPr id="27214" name="1 Imagen">
          <a:extLst>
            <a:ext uri="{FF2B5EF4-FFF2-40B4-BE49-F238E27FC236}">
              <a16:creationId xmlns:a16="http://schemas.microsoft.com/office/drawing/2014/main" id="{9211EC38-EF57-FC2D-65C3-F67B1574335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896600" y="9258300"/>
          <a:ext cx="16002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0</xdr:rowOff>
    </xdr:from>
    <xdr:to>
      <xdr:col>9</xdr:col>
      <xdr:colOff>0</xdr:colOff>
      <xdr:row>2</xdr:row>
      <xdr:rowOff>69850</xdr:rowOff>
    </xdr:to>
    <xdr:grpSp>
      <xdr:nvGrpSpPr>
        <xdr:cNvPr id="10774" name="Group 3">
          <a:extLst>
            <a:ext uri="{FF2B5EF4-FFF2-40B4-BE49-F238E27FC236}">
              <a16:creationId xmlns:a16="http://schemas.microsoft.com/office/drawing/2014/main" id="{98CF5BA5-228B-C78C-C9C8-30D91CA407BB}"/>
            </a:ext>
          </a:extLst>
        </xdr:cNvPr>
        <xdr:cNvGrpSpPr>
          <a:grpSpLocks/>
        </xdr:cNvGrpSpPr>
      </xdr:nvGrpSpPr>
      <xdr:grpSpPr bwMode="auto">
        <a:xfrm>
          <a:off x="320040" y="0"/>
          <a:ext cx="5814060" cy="458470"/>
          <a:chOff x="2538" y="0"/>
          <a:chExt cx="592" cy="44"/>
        </a:xfrm>
      </xdr:grpSpPr>
      <xdr:pic>
        <xdr:nvPicPr>
          <xdr:cNvPr id="10780" name="Picture 4" descr="ImagingService">
            <a:extLst>
              <a:ext uri="{FF2B5EF4-FFF2-40B4-BE49-F238E27FC236}">
                <a16:creationId xmlns:a16="http://schemas.microsoft.com/office/drawing/2014/main" id="{B8F3EFC5-C1F4-981E-54CC-960CAB1B40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0781" name="Picture 5">
            <a:extLst>
              <a:ext uri="{FF2B5EF4-FFF2-40B4-BE49-F238E27FC236}">
                <a16:creationId xmlns:a16="http://schemas.microsoft.com/office/drawing/2014/main" id="{BB3F4152-9EFB-AA7C-50D5-5ABF487FFC9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xdr:col>
      <xdr:colOff>6350</xdr:colOff>
      <xdr:row>6</xdr:row>
      <xdr:rowOff>6350</xdr:rowOff>
    </xdr:from>
    <xdr:to>
      <xdr:col>3</xdr:col>
      <xdr:colOff>1657350</xdr:colOff>
      <xdr:row>7</xdr:row>
      <xdr:rowOff>152400</xdr:rowOff>
    </xdr:to>
    <xdr:pic>
      <xdr:nvPicPr>
        <xdr:cNvPr id="10775" name="Picture 7" descr="ImagingService">
          <a:extLst>
            <a:ext uri="{FF2B5EF4-FFF2-40B4-BE49-F238E27FC236}">
              <a16:creationId xmlns:a16="http://schemas.microsoft.com/office/drawing/2014/main" id="{79DDFA7D-D2B5-8DAB-426F-F8A93E63BEE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16333" r="50813" b="68666"/>
        <a:stretch>
          <a:fillRect/>
        </a:stretch>
      </xdr:blipFill>
      <xdr:spPr bwMode="auto">
        <a:xfrm>
          <a:off x="330200" y="2832100"/>
          <a:ext cx="19177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50800</xdr:colOff>
      <xdr:row>4</xdr:row>
      <xdr:rowOff>685800</xdr:rowOff>
    </xdr:from>
    <xdr:to>
      <xdr:col>8</xdr:col>
      <xdr:colOff>241300</xdr:colOff>
      <xdr:row>5</xdr:row>
      <xdr:rowOff>1485900</xdr:rowOff>
    </xdr:to>
    <xdr:pic>
      <xdr:nvPicPr>
        <xdr:cNvPr id="10776" name="Picture 9" descr="ImagingService">
          <a:extLst>
            <a:ext uri="{FF2B5EF4-FFF2-40B4-BE49-F238E27FC236}">
              <a16:creationId xmlns:a16="http://schemas.microsoft.com/office/drawing/2014/main" id="{3744B5AB-6E03-EC93-05A8-C639CB333E0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b="53334"/>
        <a:stretch>
          <a:fillRect/>
        </a:stretch>
      </xdr:blipFill>
      <xdr:spPr bwMode="auto">
        <a:xfrm>
          <a:off x="698500" y="1390650"/>
          <a:ext cx="4991100" cy="1435100"/>
        </a:xfrm>
        <a:prstGeom prst="rect">
          <a:avLst/>
        </a:prstGeom>
        <a:solidFill>
          <a:srgbClr val="CD005E"/>
        </a:solidFill>
        <a:ln w="28575">
          <a:solidFill>
            <a:srgbClr val="CD005E"/>
          </a:solidFill>
          <a:prstDash val="sysDot"/>
          <a:miter lim="800000"/>
          <a:headEnd/>
          <a:tailEnd/>
        </a:ln>
      </xdr:spPr>
    </xdr:pic>
    <xdr:clientData/>
  </xdr:twoCellAnchor>
  <xdr:twoCellAnchor editAs="oneCell">
    <xdr:from>
      <xdr:col>1</xdr:col>
      <xdr:colOff>0</xdr:colOff>
      <xdr:row>2</xdr:row>
      <xdr:rowOff>44450</xdr:rowOff>
    </xdr:from>
    <xdr:to>
      <xdr:col>6</xdr:col>
      <xdr:colOff>368300</xdr:colOff>
      <xdr:row>3</xdr:row>
      <xdr:rowOff>285750</xdr:rowOff>
    </xdr:to>
    <xdr:pic>
      <xdr:nvPicPr>
        <xdr:cNvPr id="10777" name="Picture 10" descr="ImagingService">
          <a:extLst>
            <a:ext uri="{FF2B5EF4-FFF2-40B4-BE49-F238E27FC236}">
              <a16:creationId xmlns:a16="http://schemas.microsoft.com/office/drawing/2014/main" id="{C063D748-E369-AA4C-866B-F3E5948E1EC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15334" r="22765" b="66667"/>
        <a:stretch>
          <a:fillRect/>
        </a:stretch>
      </xdr:blipFill>
      <xdr:spPr bwMode="auto">
        <a:xfrm>
          <a:off x="323850" y="431800"/>
          <a:ext cx="3892550" cy="425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1314450</xdr:colOff>
      <xdr:row>0</xdr:row>
      <xdr:rowOff>323850</xdr:rowOff>
    </xdr:from>
    <xdr:to>
      <xdr:col>8</xdr:col>
      <xdr:colOff>1568450</xdr:colOff>
      <xdr:row>2</xdr:row>
      <xdr:rowOff>381000</xdr:rowOff>
    </xdr:to>
    <xdr:pic>
      <xdr:nvPicPr>
        <xdr:cNvPr id="10778" name="Picture 11" descr="ImagingService">
          <a:extLst>
            <a:ext uri="{FF2B5EF4-FFF2-40B4-BE49-F238E27FC236}">
              <a16:creationId xmlns:a16="http://schemas.microsoft.com/office/drawing/2014/main" id="{8E1D0B35-60F8-8833-5603-170537A7164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t="14333" r="84959" b="68001"/>
        <a:stretch>
          <a:fillRect/>
        </a:stretch>
      </xdr:blipFill>
      <xdr:spPr bwMode="auto">
        <a:xfrm>
          <a:off x="54483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1104900</xdr:colOff>
      <xdr:row>39</xdr:row>
      <xdr:rowOff>6350</xdr:rowOff>
    </xdr:from>
    <xdr:to>
      <xdr:col>8</xdr:col>
      <xdr:colOff>1111250</xdr:colOff>
      <xdr:row>42</xdr:row>
      <xdr:rowOff>254000</xdr:rowOff>
    </xdr:to>
    <xdr:pic>
      <xdr:nvPicPr>
        <xdr:cNvPr id="10779" name="1 Imagen">
          <a:extLst>
            <a:ext uri="{FF2B5EF4-FFF2-40B4-BE49-F238E27FC236}">
              <a16:creationId xmlns:a16="http://schemas.microsoft.com/office/drawing/2014/main" id="{1F34521C-50AA-A666-420D-5B7575CBBD8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648200" y="9169400"/>
          <a:ext cx="16002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44</xdr:row>
      <xdr:rowOff>0</xdr:rowOff>
    </xdr:from>
    <xdr:to>
      <xdr:col>3</xdr:col>
      <xdr:colOff>0</xdr:colOff>
      <xdr:row>44</xdr:row>
      <xdr:rowOff>0</xdr:rowOff>
    </xdr:to>
    <xdr:pic>
      <xdr:nvPicPr>
        <xdr:cNvPr id="33843" name="Picture 7" descr="Sintesis">
          <a:extLst>
            <a:ext uri="{FF2B5EF4-FFF2-40B4-BE49-F238E27FC236}">
              <a16:creationId xmlns:a16="http://schemas.microsoft.com/office/drawing/2014/main" id="{D19A2054-F46F-5D4A-3B2C-2C58487690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 y="8051800"/>
          <a:ext cx="19240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704850</xdr:colOff>
      <xdr:row>0</xdr:row>
      <xdr:rowOff>0</xdr:rowOff>
    </xdr:from>
    <xdr:to>
      <xdr:col>7</xdr:col>
      <xdr:colOff>0</xdr:colOff>
      <xdr:row>2</xdr:row>
      <xdr:rowOff>82550</xdr:rowOff>
    </xdr:to>
    <xdr:pic>
      <xdr:nvPicPr>
        <xdr:cNvPr id="33844" name="Picture 13" descr="ImagingService">
          <a:extLst>
            <a:ext uri="{FF2B5EF4-FFF2-40B4-BE49-F238E27FC236}">
              <a16:creationId xmlns:a16="http://schemas.microsoft.com/office/drawing/2014/main" id="{24B94B96-81BE-8736-E8D0-D33752797AB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8034" b="65599"/>
        <a:stretch>
          <a:fillRect/>
        </a:stretch>
      </xdr:blipFill>
      <xdr:spPr bwMode="auto">
        <a:xfrm>
          <a:off x="1352550" y="0"/>
          <a:ext cx="4972050" cy="46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2</xdr:col>
      <xdr:colOff>704850</xdr:colOff>
      <xdr:row>2</xdr:row>
      <xdr:rowOff>44450</xdr:rowOff>
    </xdr:to>
    <xdr:pic>
      <xdr:nvPicPr>
        <xdr:cNvPr id="33845" name="Picture 14">
          <a:extLst>
            <a:ext uri="{FF2B5EF4-FFF2-40B4-BE49-F238E27FC236}">
              <a16:creationId xmlns:a16="http://schemas.microsoft.com/office/drawing/2014/main" id="{297F0174-017D-12C8-3BD1-5A4C816822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323850" y="0"/>
          <a:ext cx="102870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8</xdr:col>
      <xdr:colOff>0</xdr:colOff>
      <xdr:row>0</xdr:row>
      <xdr:rowOff>0</xdr:rowOff>
    </xdr:from>
    <xdr:to>
      <xdr:col>15</xdr:col>
      <xdr:colOff>0</xdr:colOff>
      <xdr:row>2</xdr:row>
      <xdr:rowOff>69850</xdr:rowOff>
    </xdr:to>
    <xdr:grpSp>
      <xdr:nvGrpSpPr>
        <xdr:cNvPr id="33846" name="Group 16">
          <a:extLst>
            <a:ext uri="{FF2B5EF4-FFF2-40B4-BE49-F238E27FC236}">
              <a16:creationId xmlns:a16="http://schemas.microsoft.com/office/drawing/2014/main" id="{4339933C-46DE-EEA8-D7BF-ABE3B8FED12D}"/>
            </a:ext>
          </a:extLst>
        </xdr:cNvPr>
        <xdr:cNvGrpSpPr>
          <a:grpSpLocks/>
        </xdr:cNvGrpSpPr>
      </xdr:nvGrpSpPr>
      <xdr:grpSpPr bwMode="auto">
        <a:xfrm>
          <a:off x="6544235" y="0"/>
          <a:ext cx="5943600" cy="464297"/>
          <a:chOff x="2538" y="0"/>
          <a:chExt cx="592" cy="44"/>
        </a:xfrm>
      </xdr:grpSpPr>
      <xdr:pic>
        <xdr:nvPicPr>
          <xdr:cNvPr id="33857" name="Picture 17" descr="ImagingService">
            <a:extLst>
              <a:ext uri="{FF2B5EF4-FFF2-40B4-BE49-F238E27FC236}">
                <a16:creationId xmlns:a16="http://schemas.microsoft.com/office/drawing/2014/main" id="{F002FDED-B61C-91FB-661D-64ADB876E57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858" name="Picture 18">
            <a:extLst>
              <a:ext uri="{FF2B5EF4-FFF2-40B4-BE49-F238E27FC236}">
                <a16:creationId xmlns:a16="http://schemas.microsoft.com/office/drawing/2014/main" id="{84A7408B-DC44-2C09-5B43-6404180F7EA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2</xdr:col>
      <xdr:colOff>844550</xdr:colOff>
      <xdr:row>4</xdr:row>
      <xdr:rowOff>520700</xdr:rowOff>
    </xdr:from>
    <xdr:to>
      <xdr:col>5</xdr:col>
      <xdr:colOff>1746250</xdr:colOff>
      <xdr:row>6</xdr:row>
      <xdr:rowOff>508000</xdr:rowOff>
    </xdr:to>
    <xdr:pic>
      <xdr:nvPicPr>
        <xdr:cNvPr id="33847" name="Picture 20" descr="ImagingService">
          <a:extLst>
            <a:ext uri="{FF2B5EF4-FFF2-40B4-BE49-F238E27FC236}">
              <a16:creationId xmlns:a16="http://schemas.microsoft.com/office/drawing/2014/main" id="{D1E25E2E-97D2-F5F6-1D94-EE84CD95969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b="52000"/>
        <a:stretch>
          <a:fillRect/>
        </a:stretch>
      </xdr:blipFill>
      <xdr:spPr bwMode="auto">
        <a:xfrm>
          <a:off x="1492250" y="1314450"/>
          <a:ext cx="3371850" cy="679450"/>
        </a:xfrm>
        <a:prstGeom prst="rect">
          <a:avLst/>
        </a:prstGeom>
        <a:solidFill>
          <a:srgbClr val="CD005E"/>
        </a:solidFill>
        <a:ln w="28575" algn="ctr">
          <a:solidFill>
            <a:srgbClr val="CD005E"/>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10</xdr:col>
      <xdr:colOff>565150</xdr:colOff>
      <xdr:row>4</xdr:row>
      <xdr:rowOff>520700</xdr:rowOff>
    </xdr:from>
    <xdr:to>
      <xdr:col>13</xdr:col>
      <xdr:colOff>1492250</xdr:colOff>
      <xdr:row>6</xdr:row>
      <xdr:rowOff>508000</xdr:rowOff>
    </xdr:to>
    <xdr:pic>
      <xdr:nvPicPr>
        <xdr:cNvPr id="33848" name="Picture 21" descr="ImagingService">
          <a:extLst>
            <a:ext uri="{FF2B5EF4-FFF2-40B4-BE49-F238E27FC236}">
              <a16:creationId xmlns:a16="http://schemas.microsoft.com/office/drawing/2014/main" id="{78A967AC-5E7F-B9B5-FCFC-C917ABCFDFD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b="51334"/>
        <a:stretch>
          <a:fillRect/>
        </a:stretch>
      </xdr:blipFill>
      <xdr:spPr bwMode="auto">
        <a:xfrm>
          <a:off x="7861300" y="1314450"/>
          <a:ext cx="3575050" cy="679450"/>
        </a:xfrm>
        <a:prstGeom prst="rect">
          <a:avLst/>
        </a:prstGeom>
        <a:solidFill>
          <a:srgbClr val="CD005E"/>
        </a:solidFill>
        <a:ln w="28575" algn="ctr">
          <a:solidFill>
            <a:srgbClr val="CD005E"/>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6350</xdr:colOff>
      <xdr:row>6</xdr:row>
      <xdr:rowOff>990600</xdr:rowOff>
    </xdr:from>
    <xdr:to>
      <xdr:col>3</xdr:col>
      <xdr:colOff>215900</xdr:colOff>
      <xdr:row>7</xdr:row>
      <xdr:rowOff>0</xdr:rowOff>
    </xdr:to>
    <xdr:pic>
      <xdr:nvPicPr>
        <xdr:cNvPr id="33849" name="Picture 22" descr="ImagingService">
          <a:extLst>
            <a:ext uri="{FF2B5EF4-FFF2-40B4-BE49-F238E27FC236}">
              <a16:creationId xmlns:a16="http://schemas.microsoft.com/office/drawing/2014/main" id="{3A143537-DAC5-3AAA-71D0-5CF5F5FF2C2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t="16000" r="38618" b="68001"/>
        <a:stretch>
          <a:fillRect/>
        </a:stretch>
      </xdr:blipFill>
      <xdr:spPr bwMode="auto">
        <a:xfrm>
          <a:off x="330200" y="2133600"/>
          <a:ext cx="21336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6350</xdr:colOff>
      <xdr:row>6</xdr:row>
      <xdr:rowOff>952500</xdr:rowOff>
    </xdr:from>
    <xdr:to>
      <xdr:col>11</xdr:col>
      <xdr:colOff>114300</xdr:colOff>
      <xdr:row>7</xdr:row>
      <xdr:rowOff>0</xdr:rowOff>
    </xdr:to>
    <xdr:pic>
      <xdr:nvPicPr>
        <xdr:cNvPr id="33850" name="Picture 23" descr="ImagingService">
          <a:extLst>
            <a:ext uri="{FF2B5EF4-FFF2-40B4-BE49-F238E27FC236}">
              <a16:creationId xmlns:a16="http://schemas.microsoft.com/office/drawing/2014/main" id="{AE4AC625-52BC-8AAC-0308-0F99106333B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t="14333" r="28998" b="68001"/>
        <a:stretch>
          <a:fillRect/>
        </a:stretch>
      </xdr:blipFill>
      <xdr:spPr bwMode="auto">
        <a:xfrm>
          <a:off x="6654800" y="2133600"/>
          <a:ext cx="23558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44450</xdr:rowOff>
    </xdr:from>
    <xdr:to>
      <xdr:col>5</xdr:col>
      <xdr:colOff>349250</xdr:colOff>
      <xdr:row>3</xdr:row>
      <xdr:rowOff>285750</xdr:rowOff>
    </xdr:to>
    <xdr:pic>
      <xdr:nvPicPr>
        <xdr:cNvPr id="33851" name="Picture 26" descr="ImagingService">
          <a:extLst>
            <a:ext uri="{FF2B5EF4-FFF2-40B4-BE49-F238E27FC236}">
              <a16:creationId xmlns:a16="http://schemas.microsoft.com/office/drawing/2014/main" id="{1DD55CD8-C6FD-72DD-9774-77656A2669E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t="15334" r="22765" b="66667"/>
        <a:stretch>
          <a:fillRect/>
        </a:stretch>
      </xdr:blipFill>
      <xdr:spPr bwMode="auto">
        <a:xfrm>
          <a:off x="323850" y="431800"/>
          <a:ext cx="387350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889000</xdr:colOff>
      <xdr:row>0</xdr:row>
      <xdr:rowOff>285750</xdr:rowOff>
    </xdr:from>
    <xdr:to>
      <xdr:col>6</xdr:col>
      <xdr:colOff>2908300</xdr:colOff>
      <xdr:row>2</xdr:row>
      <xdr:rowOff>342900</xdr:rowOff>
    </xdr:to>
    <xdr:pic>
      <xdr:nvPicPr>
        <xdr:cNvPr id="33852" name="Picture 27" descr="ImagingService">
          <a:extLst>
            <a:ext uri="{FF2B5EF4-FFF2-40B4-BE49-F238E27FC236}">
              <a16:creationId xmlns:a16="http://schemas.microsoft.com/office/drawing/2014/main" id="{EB09A70B-C322-8E04-6190-0D4F543527B9}"/>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t="14000" r="84688" b="67334"/>
        <a:stretch>
          <a:fillRect/>
        </a:stretch>
      </xdr:blipFill>
      <xdr:spPr bwMode="auto">
        <a:xfrm>
          <a:off x="5753100" y="228600"/>
          <a:ext cx="5715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0</xdr:colOff>
      <xdr:row>2</xdr:row>
      <xdr:rowOff>44450</xdr:rowOff>
    </xdr:from>
    <xdr:to>
      <xdr:col>12</xdr:col>
      <xdr:colOff>1416050</xdr:colOff>
      <xdr:row>3</xdr:row>
      <xdr:rowOff>285750</xdr:rowOff>
    </xdr:to>
    <xdr:pic>
      <xdr:nvPicPr>
        <xdr:cNvPr id="33853" name="Picture 28" descr="ImagingService">
          <a:extLst>
            <a:ext uri="{FF2B5EF4-FFF2-40B4-BE49-F238E27FC236}">
              <a16:creationId xmlns:a16="http://schemas.microsoft.com/office/drawing/2014/main" id="{DC258D09-FC64-B1DD-D2E4-D5F9C78D5C7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t="15334" r="22765" b="66667"/>
        <a:stretch>
          <a:fillRect/>
        </a:stretch>
      </xdr:blipFill>
      <xdr:spPr bwMode="auto">
        <a:xfrm>
          <a:off x="6648450" y="431800"/>
          <a:ext cx="384810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336550</xdr:colOff>
      <xdr:row>0</xdr:row>
      <xdr:rowOff>260350</xdr:rowOff>
    </xdr:from>
    <xdr:to>
      <xdr:col>14</xdr:col>
      <xdr:colOff>2419350</xdr:colOff>
      <xdr:row>2</xdr:row>
      <xdr:rowOff>330200</xdr:rowOff>
    </xdr:to>
    <xdr:pic>
      <xdr:nvPicPr>
        <xdr:cNvPr id="33854" name="Picture 29" descr="ImagingService">
          <a:extLst>
            <a:ext uri="{FF2B5EF4-FFF2-40B4-BE49-F238E27FC236}">
              <a16:creationId xmlns:a16="http://schemas.microsoft.com/office/drawing/2014/main" id="{588EBE1D-F45D-94FA-CB42-7B946268417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l="26016" t="14333" r="58672" b="67667"/>
        <a:stretch>
          <a:fillRect/>
        </a:stretch>
      </xdr:blipFill>
      <xdr:spPr bwMode="auto">
        <a:xfrm>
          <a:off x="11772900" y="228600"/>
          <a:ext cx="9144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1282700</xdr:colOff>
      <xdr:row>50</xdr:row>
      <xdr:rowOff>25400</xdr:rowOff>
    </xdr:from>
    <xdr:to>
      <xdr:col>6</xdr:col>
      <xdr:colOff>2654300</xdr:colOff>
      <xdr:row>54</xdr:row>
      <xdr:rowOff>25400</xdr:rowOff>
    </xdr:to>
    <xdr:pic>
      <xdr:nvPicPr>
        <xdr:cNvPr id="33855" name="1 Imagen">
          <a:extLst>
            <a:ext uri="{FF2B5EF4-FFF2-40B4-BE49-F238E27FC236}">
              <a16:creationId xmlns:a16="http://schemas.microsoft.com/office/drawing/2014/main" id="{A1C11289-0282-5BFC-3F2F-75ADFE1B6F9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864100" y="9029700"/>
          <a:ext cx="1460500" cy="63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609600</xdr:colOff>
      <xdr:row>50</xdr:row>
      <xdr:rowOff>6350</xdr:rowOff>
    </xdr:from>
    <xdr:to>
      <xdr:col>14</xdr:col>
      <xdr:colOff>2127250</xdr:colOff>
      <xdr:row>54</xdr:row>
      <xdr:rowOff>6350</xdr:rowOff>
    </xdr:to>
    <xdr:pic>
      <xdr:nvPicPr>
        <xdr:cNvPr id="33856" name="1 Imagen">
          <a:extLst>
            <a:ext uri="{FF2B5EF4-FFF2-40B4-BE49-F238E27FC236}">
              <a16:creationId xmlns:a16="http://schemas.microsoft.com/office/drawing/2014/main" id="{1AC72ADB-256E-F4E5-732A-6FF2D44A6B9B}"/>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1106150" y="9010650"/>
          <a:ext cx="1581150" cy="63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679450</xdr:colOff>
      <xdr:row>0</xdr:row>
      <xdr:rowOff>0</xdr:rowOff>
    </xdr:from>
    <xdr:to>
      <xdr:col>9</xdr:col>
      <xdr:colOff>0</xdr:colOff>
      <xdr:row>2</xdr:row>
      <xdr:rowOff>82550</xdr:rowOff>
    </xdr:to>
    <xdr:pic>
      <xdr:nvPicPr>
        <xdr:cNvPr id="11734" name="Picture 5" descr="ImagingService">
          <a:extLst>
            <a:ext uri="{FF2B5EF4-FFF2-40B4-BE49-F238E27FC236}">
              <a16:creationId xmlns:a16="http://schemas.microsoft.com/office/drawing/2014/main" id="{6F36446A-F6A8-4CCB-3E87-70EBD44798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8034" b="65599"/>
        <a:stretch>
          <a:fillRect/>
        </a:stretch>
      </xdr:blipFill>
      <xdr:spPr bwMode="auto">
        <a:xfrm>
          <a:off x="1327150" y="0"/>
          <a:ext cx="4654550" cy="46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2</xdr:col>
      <xdr:colOff>679450</xdr:colOff>
      <xdr:row>2</xdr:row>
      <xdr:rowOff>44450</xdr:rowOff>
    </xdr:to>
    <xdr:pic>
      <xdr:nvPicPr>
        <xdr:cNvPr id="11735" name="Picture 6">
          <a:extLst>
            <a:ext uri="{FF2B5EF4-FFF2-40B4-BE49-F238E27FC236}">
              <a16:creationId xmlns:a16="http://schemas.microsoft.com/office/drawing/2014/main" id="{E61C941E-9692-5C71-6681-E28BECED26D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323850" y="0"/>
          <a:ext cx="100330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0</xdr:colOff>
      <xdr:row>6</xdr:row>
      <xdr:rowOff>133350</xdr:rowOff>
    </xdr:from>
    <xdr:to>
      <xdr:col>5</xdr:col>
      <xdr:colOff>4856</xdr:colOff>
      <xdr:row>7</xdr:row>
      <xdr:rowOff>163830</xdr:rowOff>
    </xdr:to>
    <xdr:pic>
      <xdr:nvPicPr>
        <xdr:cNvPr id="11736" name="Picture 9" descr="ImagingService">
          <a:extLst>
            <a:ext uri="{FF2B5EF4-FFF2-40B4-BE49-F238E27FC236}">
              <a16:creationId xmlns:a16="http://schemas.microsoft.com/office/drawing/2014/main" id="{1C669850-D0B3-4FE9-F1FE-9EAEC8CE577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15334" r="21274" b="68666"/>
        <a:stretch>
          <a:fillRect/>
        </a:stretch>
      </xdr:blipFill>
      <xdr:spPr bwMode="auto">
        <a:xfrm>
          <a:off x="323850" y="2266950"/>
          <a:ext cx="26098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1371600</xdr:colOff>
      <xdr:row>4</xdr:row>
      <xdr:rowOff>304800</xdr:rowOff>
    </xdr:from>
    <xdr:to>
      <xdr:col>8</xdr:col>
      <xdr:colOff>6125</xdr:colOff>
      <xdr:row>5</xdr:row>
      <xdr:rowOff>774700</xdr:rowOff>
    </xdr:to>
    <xdr:pic>
      <xdr:nvPicPr>
        <xdr:cNvPr id="11737" name="Picture 10" descr="ImagingService">
          <a:extLst>
            <a:ext uri="{FF2B5EF4-FFF2-40B4-BE49-F238E27FC236}">
              <a16:creationId xmlns:a16="http://schemas.microsoft.com/office/drawing/2014/main" id="{F224CEDF-6C45-2022-65F2-A69936500A8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b="52000"/>
        <a:stretch>
          <a:fillRect/>
        </a:stretch>
      </xdr:blipFill>
      <xdr:spPr bwMode="auto">
        <a:xfrm>
          <a:off x="1409700" y="1098550"/>
          <a:ext cx="3810000" cy="1003300"/>
        </a:xfrm>
        <a:prstGeom prst="rect">
          <a:avLst/>
        </a:prstGeom>
        <a:solidFill>
          <a:srgbClr val="CD005E"/>
        </a:solidFill>
        <a:ln w="28575" algn="ctr">
          <a:solidFill>
            <a:srgbClr val="CD005E"/>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0</xdr:colOff>
      <xdr:row>2</xdr:row>
      <xdr:rowOff>6350</xdr:rowOff>
    </xdr:from>
    <xdr:to>
      <xdr:col>6</xdr:col>
      <xdr:colOff>368300</xdr:colOff>
      <xdr:row>3</xdr:row>
      <xdr:rowOff>168910</xdr:rowOff>
    </xdr:to>
    <xdr:pic>
      <xdr:nvPicPr>
        <xdr:cNvPr id="11738" name="Picture 11" descr="ImagingService">
          <a:extLst>
            <a:ext uri="{FF2B5EF4-FFF2-40B4-BE49-F238E27FC236}">
              <a16:creationId xmlns:a16="http://schemas.microsoft.com/office/drawing/2014/main" id="{1F250549-A43E-81C6-9BB5-D17DB3D0E2F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15334" r="22765" b="66667"/>
        <a:stretch>
          <a:fillRect/>
        </a:stretch>
      </xdr:blipFill>
      <xdr:spPr bwMode="auto">
        <a:xfrm>
          <a:off x="323850" y="393700"/>
          <a:ext cx="374015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1123950</xdr:colOff>
      <xdr:row>0</xdr:row>
      <xdr:rowOff>323850</xdr:rowOff>
    </xdr:from>
    <xdr:to>
      <xdr:col>9</xdr:col>
      <xdr:colOff>3586</xdr:colOff>
      <xdr:row>3</xdr:row>
      <xdr:rowOff>598</xdr:rowOff>
    </xdr:to>
    <xdr:pic>
      <xdr:nvPicPr>
        <xdr:cNvPr id="11739" name="Picture 12" descr="ImagingService">
          <a:extLst>
            <a:ext uri="{FF2B5EF4-FFF2-40B4-BE49-F238E27FC236}">
              <a16:creationId xmlns:a16="http://schemas.microsoft.com/office/drawing/2014/main" id="{0BA131D2-A3C5-4D87-A243-4404BC00B52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51761" t="14000" r="32791" b="67332"/>
        <a:stretch>
          <a:fillRect/>
        </a:stretch>
      </xdr:blipFill>
      <xdr:spPr bwMode="auto">
        <a:xfrm>
          <a:off x="5219700" y="228600"/>
          <a:ext cx="7620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749300</xdr:colOff>
      <xdr:row>46</xdr:row>
      <xdr:rowOff>6350</xdr:rowOff>
    </xdr:from>
    <xdr:to>
      <xdr:col>9</xdr:col>
      <xdr:colOff>6126</xdr:colOff>
      <xdr:row>49</xdr:row>
      <xdr:rowOff>170180</xdr:rowOff>
    </xdr:to>
    <xdr:pic>
      <xdr:nvPicPr>
        <xdr:cNvPr id="11740" name="1 Imagen">
          <a:extLst>
            <a:ext uri="{FF2B5EF4-FFF2-40B4-BE49-F238E27FC236}">
              <a16:creationId xmlns:a16="http://schemas.microsoft.com/office/drawing/2014/main" id="{1DABF248-16FF-5566-9B4A-0965985C4F9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445000" y="8832850"/>
          <a:ext cx="15367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685800</xdr:colOff>
      <xdr:row>0</xdr:row>
      <xdr:rowOff>0</xdr:rowOff>
    </xdr:from>
    <xdr:to>
      <xdr:col>9</xdr:col>
      <xdr:colOff>0</xdr:colOff>
      <xdr:row>2</xdr:row>
      <xdr:rowOff>88900</xdr:rowOff>
    </xdr:to>
    <xdr:pic>
      <xdr:nvPicPr>
        <xdr:cNvPr id="3541" name="Picture 3" descr="ImagingService">
          <a:extLst>
            <a:ext uri="{FF2B5EF4-FFF2-40B4-BE49-F238E27FC236}">
              <a16:creationId xmlns:a16="http://schemas.microsoft.com/office/drawing/2014/main" id="{73B79472-441D-7C36-801A-E409CEADB8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6333" r="18034" b="65599"/>
        <a:stretch>
          <a:fillRect/>
        </a:stretch>
      </xdr:blipFill>
      <xdr:spPr bwMode="auto">
        <a:xfrm>
          <a:off x="1333500" y="0"/>
          <a:ext cx="491490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2</xdr:col>
      <xdr:colOff>698500</xdr:colOff>
      <xdr:row>2</xdr:row>
      <xdr:rowOff>44450</xdr:rowOff>
    </xdr:to>
    <xdr:pic>
      <xdr:nvPicPr>
        <xdr:cNvPr id="3542" name="Picture 4">
          <a:extLst>
            <a:ext uri="{FF2B5EF4-FFF2-40B4-BE49-F238E27FC236}">
              <a16:creationId xmlns:a16="http://schemas.microsoft.com/office/drawing/2014/main" id="{92D2A618-0F9C-5746-4024-C4C65116D7B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676" t="52605" r="45215" b="36588"/>
        <a:stretch>
          <a:fillRect/>
        </a:stretch>
      </xdr:blipFill>
      <xdr:spPr bwMode="auto">
        <a:xfrm>
          <a:off x="323850" y="0"/>
          <a:ext cx="1022350" cy="431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596900</xdr:colOff>
      <xdr:row>4</xdr:row>
      <xdr:rowOff>304800</xdr:rowOff>
    </xdr:from>
    <xdr:to>
      <xdr:col>8</xdr:col>
      <xdr:colOff>609600</xdr:colOff>
      <xdr:row>5</xdr:row>
      <xdr:rowOff>317500</xdr:rowOff>
    </xdr:to>
    <xdr:pic>
      <xdr:nvPicPr>
        <xdr:cNvPr id="3543" name="Picture 6" descr="ImagingService">
          <a:extLst>
            <a:ext uri="{FF2B5EF4-FFF2-40B4-BE49-F238E27FC236}">
              <a16:creationId xmlns:a16="http://schemas.microsoft.com/office/drawing/2014/main" id="{AC36F23F-EC27-91B3-B3DF-E72394BCDD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b="70334"/>
        <a:stretch>
          <a:fillRect/>
        </a:stretch>
      </xdr:blipFill>
      <xdr:spPr bwMode="auto">
        <a:xfrm>
          <a:off x="647700" y="1092200"/>
          <a:ext cx="5410200" cy="552450"/>
        </a:xfrm>
        <a:prstGeom prst="rect">
          <a:avLst/>
        </a:prstGeom>
        <a:solidFill>
          <a:srgbClr val="CD005E"/>
        </a:solidFill>
        <a:ln w="28575" algn="ctr">
          <a:solidFill>
            <a:srgbClr val="CD005E"/>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0</xdr:colOff>
      <xdr:row>6</xdr:row>
      <xdr:rowOff>596900</xdr:rowOff>
    </xdr:from>
    <xdr:to>
      <xdr:col>3</xdr:col>
      <xdr:colOff>783590</xdr:colOff>
      <xdr:row>7</xdr:row>
      <xdr:rowOff>5080</xdr:rowOff>
    </xdr:to>
    <xdr:pic>
      <xdr:nvPicPr>
        <xdr:cNvPr id="3544" name="Picture 7" descr="ImagingService">
          <a:extLst>
            <a:ext uri="{FF2B5EF4-FFF2-40B4-BE49-F238E27FC236}">
              <a16:creationId xmlns:a16="http://schemas.microsoft.com/office/drawing/2014/main" id="{7E814E25-5BC0-EC69-3A1D-AF1D56F5BD6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4999" r="50000" b="67334"/>
        <a:stretch>
          <a:fillRect/>
        </a:stretch>
      </xdr:blipFill>
      <xdr:spPr bwMode="auto">
        <a:xfrm>
          <a:off x="323850" y="2127250"/>
          <a:ext cx="19240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31750</xdr:rowOff>
    </xdr:from>
    <xdr:to>
      <xdr:col>6</xdr:col>
      <xdr:colOff>361950</xdr:colOff>
      <xdr:row>4</xdr:row>
      <xdr:rowOff>0</xdr:rowOff>
    </xdr:to>
    <xdr:pic>
      <xdr:nvPicPr>
        <xdr:cNvPr id="3545" name="Picture 10" descr="ImagingService">
          <a:extLst>
            <a:ext uri="{FF2B5EF4-FFF2-40B4-BE49-F238E27FC236}">
              <a16:creationId xmlns:a16="http://schemas.microsoft.com/office/drawing/2014/main" id="{4ACA45ED-E3C1-20BF-C5DA-5CEBEA72D2E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15334" r="22765" b="66667"/>
        <a:stretch>
          <a:fillRect/>
        </a:stretch>
      </xdr:blipFill>
      <xdr:spPr bwMode="auto">
        <a:xfrm>
          <a:off x="323850" y="419100"/>
          <a:ext cx="3886200" cy="36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1384300</xdr:colOff>
      <xdr:row>0</xdr:row>
      <xdr:rowOff>285750</xdr:rowOff>
    </xdr:from>
    <xdr:to>
      <xdr:col>8</xdr:col>
      <xdr:colOff>781050</xdr:colOff>
      <xdr:row>3</xdr:row>
      <xdr:rowOff>0</xdr:rowOff>
    </xdr:to>
    <xdr:pic>
      <xdr:nvPicPr>
        <xdr:cNvPr id="3546" name="Picture 11" descr="ImagingService">
          <a:extLst>
            <a:ext uri="{FF2B5EF4-FFF2-40B4-BE49-F238E27FC236}">
              <a16:creationId xmlns:a16="http://schemas.microsoft.com/office/drawing/2014/main" id="{2827CF3A-A2CA-E5D6-0E8B-9ADA1E19F44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73442" t="13333" r="11789" b="68668"/>
        <a:stretch>
          <a:fillRect/>
        </a:stretch>
      </xdr:blipFill>
      <xdr:spPr bwMode="auto">
        <a:xfrm>
          <a:off x="5448300" y="228600"/>
          <a:ext cx="800100" cy="38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984250</xdr:colOff>
      <xdr:row>51</xdr:row>
      <xdr:rowOff>6350</xdr:rowOff>
    </xdr:from>
    <xdr:to>
      <xdr:col>9</xdr:col>
      <xdr:colOff>2540</xdr:colOff>
      <xdr:row>55</xdr:row>
      <xdr:rowOff>2540</xdr:rowOff>
    </xdr:to>
    <xdr:pic>
      <xdr:nvPicPr>
        <xdr:cNvPr id="3547" name="1 Imagen">
          <a:extLst>
            <a:ext uri="{FF2B5EF4-FFF2-40B4-BE49-F238E27FC236}">
              <a16:creationId xmlns:a16="http://schemas.microsoft.com/office/drawing/2014/main" id="{0E2FFADA-4457-16A9-8EC1-823C60B6587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648200" y="9163050"/>
          <a:ext cx="16002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4</xdr:row>
      <xdr:rowOff>215900</xdr:rowOff>
    </xdr:from>
    <xdr:to>
      <xdr:col>5</xdr:col>
      <xdr:colOff>747</xdr:colOff>
      <xdr:row>6</xdr:row>
      <xdr:rowOff>0</xdr:rowOff>
    </xdr:to>
    <xdr:pic>
      <xdr:nvPicPr>
        <xdr:cNvPr id="32003" name="Picture 20" descr="ImagingService">
          <a:extLst>
            <a:ext uri="{FF2B5EF4-FFF2-40B4-BE49-F238E27FC236}">
              <a16:creationId xmlns:a16="http://schemas.microsoft.com/office/drawing/2014/main" id="{3C175799-7FA0-34ED-05CE-A3A2666818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9945" b="83000"/>
        <a:stretch>
          <a:fillRect/>
        </a:stretch>
      </xdr:blipFill>
      <xdr:spPr bwMode="auto">
        <a:xfrm>
          <a:off x="323850" y="1009650"/>
          <a:ext cx="2724150" cy="15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171450</xdr:colOff>
      <xdr:row>5</xdr:row>
      <xdr:rowOff>0</xdr:rowOff>
    </xdr:from>
    <xdr:to>
      <xdr:col>14</xdr:col>
      <xdr:colOff>747</xdr:colOff>
      <xdr:row>6</xdr:row>
      <xdr:rowOff>165100</xdr:rowOff>
    </xdr:to>
    <xdr:pic>
      <xdr:nvPicPr>
        <xdr:cNvPr id="32004" name="Picture 25" descr="ImagingService">
          <a:extLst>
            <a:ext uri="{FF2B5EF4-FFF2-40B4-BE49-F238E27FC236}">
              <a16:creationId xmlns:a16="http://schemas.microsoft.com/office/drawing/2014/main" id="{59F1342C-2690-1383-44A6-218CFECEA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9945" b="83000"/>
        <a:stretch>
          <a:fillRect/>
        </a:stretch>
      </xdr:blipFill>
      <xdr:spPr bwMode="auto">
        <a:xfrm>
          <a:off x="6743700" y="1009650"/>
          <a:ext cx="25527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4</xdr:row>
      <xdr:rowOff>260350</xdr:rowOff>
    </xdr:from>
    <xdr:to>
      <xdr:col>23</xdr:col>
      <xdr:colOff>747</xdr:colOff>
      <xdr:row>6</xdr:row>
      <xdr:rowOff>38100</xdr:rowOff>
    </xdr:to>
    <xdr:pic>
      <xdr:nvPicPr>
        <xdr:cNvPr id="32005" name="Picture 30" descr="ImagingService">
          <a:extLst>
            <a:ext uri="{FF2B5EF4-FFF2-40B4-BE49-F238E27FC236}">
              <a16:creationId xmlns:a16="http://schemas.microsoft.com/office/drawing/2014/main" id="{7DA2264A-DCF8-539C-FA71-19C34B8300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9945" b="83000"/>
        <a:stretch>
          <a:fillRect/>
        </a:stretch>
      </xdr:blipFill>
      <xdr:spPr bwMode="auto">
        <a:xfrm>
          <a:off x="12992100" y="1009650"/>
          <a:ext cx="2552700" cy="19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171450</xdr:colOff>
      <xdr:row>4</xdr:row>
      <xdr:rowOff>260350</xdr:rowOff>
    </xdr:from>
    <xdr:to>
      <xdr:col>32</xdr:col>
      <xdr:colOff>747</xdr:colOff>
      <xdr:row>6</xdr:row>
      <xdr:rowOff>38100</xdr:rowOff>
    </xdr:to>
    <xdr:pic>
      <xdr:nvPicPr>
        <xdr:cNvPr id="32006" name="Picture 35" descr="ImagingService">
          <a:extLst>
            <a:ext uri="{FF2B5EF4-FFF2-40B4-BE49-F238E27FC236}">
              <a16:creationId xmlns:a16="http://schemas.microsoft.com/office/drawing/2014/main" id="{67056F4E-D75F-B27A-5E2B-CA3BEFFD81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9945" b="83000"/>
        <a:stretch>
          <a:fillRect/>
        </a:stretch>
      </xdr:blipFill>
      <xdr:spPr bwMode="auto">
        <a:xfrm>
          <a:off x="19240500" y="1009650"/>
          <a:ext cx="2552700" cy="19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254000</xdr:colOff>
      <xdr:row>4</xdr:row>
      <xdr:rowOff>285750</xdr:rowOff>
    </xdr:from>
    <xdr:to>
      <xdr:col>41</xdr:col>
      <xdr:colOff>747</xdr:colOff>
      <xdr:row>6</xdr:row>
      <xdr:rowOff>57150</xdr:rowOff>
    </xdr:to>
    <xdr:pic>
      <xdr:nvPicPr>
        <xdr:cNvPr id="32007" name="Picture 40" descr="ImagingService">
          <a:extLst>
            <a:ext uri="{FF2B5EF4-FFF2-40B4-BE49-F238E27FC236}">
              <a16:creationId xmlns:a16="http://schemas.microsoft.com/office/drawing/2014/main" id="{0D7A9E40-B686-6D65-4D80-EF642C891F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9945" b="83000"/>
        <a:stretch>
          <a:fillRect/>
        </a:stretch>
      </xdr:blipFill>
      <xdr:spPr bwMode="auto">
        <a:xfrm>
          <a:off x="25571450" y="1009650"/>
          <a:ext cx="2470150" cy="21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46</xdr:col>
      <xdr:colOff>0</xdr:colOff>
      <xdr:row>4</xdr:row>
      <xdr:rowOff>260350</xdr:rowOff>
    </xdr:from>
    <xdr:to>
      <xdr:col>50</xdr:col>
      <xdr:colOff>747</xdr:colOff>
      <xdr:row>6</xdr:row>
      <xdr:rowOff>38100</xdr:rowOff>
    </xdr:to>
    <xdr:pic>
      <xdr:nvPicPr>
        <xdr:cNvPr id="32008" name="Picture 45" descr="ImagingService">
          <a:extLst>
            <a:ext uri="{FF2B5EF4-FFF2-40B4-BE49-F238E27FC236}">
              <a16:creationId xmlns:a16="http://schemas.microsoft.com/office/drawing/2014/main" id="{C3242839-F808-AF1F-B300-FC398B3BC2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9945" b="83000"/>
        <a:stretch>
          <a:fillRect/>
        </a:stretch>
      </xdr:blipFill>
      <xdr:spPr bwMode="auto">
        <a:xfrm>
          <a:off x="31565850" y="1009650"/>
          <a:ext cx="2724150" cy="19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55</xdr:col>
      <xdr:colOff>0</xdr:colOff>
      <xdr:row>4</xdr:row>
      <xdr:rowOff>260350</xdr:rowOff>
    </xdr:from>
    <xdr:to>
      <xdr:col>58</xdr:col>
      <xdr:colOff>438150</xdr:colOff>
      <xdr:row>6</xdr:row>
      <xdr:rowOff>38100</xdr:rowOff>
    </xdr:to>
    <xdr:pic>
      <xdr:nvPicPr>
        <xdr:cNvPr id="32009" name="Picture 50" descr="ImagingService">
          <a:extLst>
            <a:ext uri="{FF2B5EF4-FFF2-40B4-BE49-F238E27FC236}">
              <a16:creationId xmlns:a16="http://schemas.microsoft.com/office/drawing/2014/main" id="{53097FFD-A37A-5807-C87C-FAF04C29E9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9945" b="83000"/>
        <a:stretch>
          <a:fillRect/>
        </a:stretch>
      </xdr:blipFill>
      <xdr:spPr bwMode="auto">
        <a:xfrm>
          <a:off x="37826950" y="1009650"/>
          <a:ext cx="2654300" cy="19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9</xdr:col>
      <xdr:colOff>0</xdr:colOff>
      <xdr:row>2</xdr:row>
      <xdr:rowOff>69850</xdr:rowOff>
    </xdr:to>
    <xdr:grpSp>
      <xdr:nvGrpSpPr>
        <xdr:cNvPr id="32010" name="Group 84">
          <a:extLst>
            <a:ext uri="{FF2B5EF4-FFF2-40B4-BE49-F238E27FC236}">
              <a16:creationId xmlns:a16="http://schemas.microsoft.com/office/drawing/2014/main" id="{E5FE250D-5C46-4E87-C6DB-D39A2CBCABA1}"/>
            </a:ext>
          </a:extLst>
        </xdr:cNvPr>
        <xdr:cNvGrpSpPr>
          <a:grpSpLocks/>
        </xdr:cNvGrpSpPr>
      </xdr:nvGrpSpPr>
      <xdr:grpSpPr bwMode="auto">
        <a:xfrm>
          <a:off x="319548" y="0"/>
          <a:ext cx="5825613" cy="463140"/>
          <a:chOff x="2538" y="0"/>
          <a:chExt cx="592" cy="44"/>
        </a:xfrm>
      </xdr:grpSpPr>
      <xdr:pic>
        <xdr:nvPicPr>
          <xdr:cNvPr id="32050" name="Picture 85" descr="ImagingService">
            <a:extLst>
              <a:ext uri="{FF2B5EF4-FFF2-40B4-BE49-F238E27FC236}">
                <a16:creationId xmlns:a16="http://schemas.microsoft.com/office/drawing/2014/main" id="{A4843F41-1C2F-2B50-E671-88D211C96AB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2051" name="Picture 86">
            <a:extLst>
              <a:ext uri="{FF2B5EF4-FFF2-40B4-BE49-F238E27FC236}">
                <a16:creationId xmlns:a16="http://schemas.microsoft.com/office/drawing/2014/main" id="{42795CE2-CDCF-8D1A-F64D-F441A601A26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xdr:col>
      <xdr:colOff>0</xdr:colOff>
      <xdr:row>2</xdr:row>
      <xdr:rowOff>44450</xdr:rowOff>
    </xdr:from>
    <xdr:to>
      <xdr:col>6</xdr:col>
      <xdr:colOff>361950</xdr:colOff>
      <xdr:row>4</xdr:row>
      <xdr:rowOff>3266</xdr:rowOff>
    </xdr:to>
    <xdr:pic>
      <xdr:nvPicPr>
        <xdr:cNvPr id="32011" name="Picture 87" descr="ImagingService">
          <a:extLst>
            <a:ext uri="{FF2B5EF4-FFF2-40B4-BE49-F238E27FC236}">
              <a16:creationId xmlns:a16="http://schemas.microsoft.com/office/drawing/2014/main" id="{71DEF434-5B2C-37CC-289B-A45A102AAFE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23850" y="431800"/>
          <a:ext cx="38862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1168400</xdr:colOff>
      <xdr:row>0</xdr:row>
      <xdr:rowOff>285750</xdr:rowOff>
    </xdr:from>
    <xdr:to>
      <xdr:col>9</xdr:col>
      <xdr:colOff>747</xdr:colOff>
      <xdr:row>3</xdr:row>
      <xdr:rowOff>3362</xdr:rowOff>
    </xdr:to>
    <xdr:pic>
      <xdr:nvPicPr>
        <xdr:cNvPr id="32012" name="Picture 88" descr="ImagingService">
          <a:extLst>
            <a:ext uri="{FF2B5EF4-FFF2-40B4-BE49-F238E27FC236}">
              <a16:creationId xmlns:a16="http://schemas.microsoft.com/office/drawing/2014/main" id="{12A0022E-9ABB-0C4C-0F19-AE7F4D2E8C5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272" t="15334" r="84282" b="67999"/>
        <a:stretch>
          <a:fillRect/>
        </a:stretch>
      </xdr:blipFill>
      <xdr:spPr bwMode="auto">
        <a:xfrm>
          <a:off x="54483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0</xdr:colOff>
      <xdr:row>0</xdr:row>
      <xdr:rowOff>0</xdr:rowOff>
    </xdr:from>
    <xdr:to>
      <xdr:col>18</xdr:col>
      <xdr:colOff>0</xdr:colOff>
      <xdr:row>2</xdr:row>
      <xdr:rowOff>69850</xdr:rowOff>
    </xdr:to>
    <xdr:grpSp>
      <xdr:nvGrpSpPr>
        <xdr:cNvPr id="32013" name="Group 89">
          <a:extLst>
            <a:ext uri="{FF2B5EF4-FFF2-40B4-BE49-F238E27FC236}">
              <a16:creationId xmlns:a16="http://schemas.microsoft.com/office/drawing/2014/main" id="{BBF76152-6E8F-7C73-EA86-B7D2404C42A9}"/>
            </a:ext>
          </a:extLst>
        </xdr:cNvPr>
        <xdr:cNvGrpSpPr>
          <a:grpSpLocks/>
        </xdr:cNvGrpSpPr>
      </xdr:nvGrpSpPr>
      <xdr:grpSpPr bwMode="auto">
        <a:xfrm>
          <a:off x="6464710" y="0"/>
          <a:ext cx="5825613" cy="463140"/>
          <a:chOff x="2538" y="0"/>
          <a:chExt cx="592" cy="44"/>
        </a:xfrm>
      </xdr:grpSpPr>
      <xdr:pic>
        <xdr:nvPicPr>
          <xdr:cNvPr id="32048" name="Picture 90" descr="ImagingService">
            <a:extLst>
              <a:ext uri="{FF2B5EF4-FFF2-40B4-BE49-F238E27FC236}">
                <a16:creationId xmlns:a16="http://schemas.microsoft.com/office/drawing/2014/main" id="{C3F597C9-19ED-045C-B2ED-02CD28BBB9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2049" name="Picture 91">
            <a:extLst>
              <a:ext uri="{FF2B5EF4-FFF2-40B4-BE49-F238E27FC236}">
                <a16:creationId xmlns:a16="http://schemas.microsoft.com/office/drawing/2014/main" id="{7EB22028-21F2-16AF-12E7-EE5149C6E69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19</xdr:col>
      <xdr:colOff>0</xdr:colOff>
      <xdr:row>0</xdr:row>
      <xdr:rowOff>0</xdr:rowOff>
    </xdr:from>
    <xdr:to>
      <xdr:col>27</xdr:col>
      <xdr:colOff>0</xdr:colOff>
      <xdr:row>2</xdr:row>
      <xdr:rowOff>69850</xdr:rowOff>
    </xdr:to>
    <xdr:grpSp>
      <xdr:nvGrpSpPr>
        <xdr:cNvPr id="32014" name="Group 92">
          <a:extLst>
            <a:ext uri="{FF2B5EF4-FFF2-40B4-BE49-F238E27FC236}">
              <a16:creationId xmlns:a16="http://schemas.microsoft.com/office/drawing/2014/main" id="{9C05750E-423A-A71C-2DB8-F926347FB9BB}"/>
            </a:ext>
          </a:extLst>
        </xdr:cNvPr>
        <xdr:cNvGrpSpPr>
          <a:grpSpLocks/>
        </xdr:cNvGrpSpPr>
      </xdr:nvGrpSpPr>
      <xdr:grpSpPr bwMode="auto">
        <a:xfrm>
          <a:off x="12609871" y="0"/>
          <a:ext cx="5825613" cy="463140"/>
          <a:chOff x="2538" y="0"/>
          <a:chExt cx="592" cy="44"/>
        </a:xfrm>
      </xdr:grpSpPr>
      <xdr:pic>
        <xdr:nvPicPr>
          <xdr:cNvPr id="32046" name="Picture 93" descr="ImagingService">
            <a:extLst>
              <a:ext uri="{FF2B5EF4-FFF2-40B4-BE49-F238E27FC236}">
                <a16:creationId xmlns:a16="http://schemas.microsoft.com/office/drawing/2014/main" id="{FBEDDD17-07BF-C8E3-6601-A301FBCACC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2047" name="Picture 94">
            <a:extLst>
              <a:ext uri="{FF2B5EF4-FFF2-40B4-BE49-F238E27FC236}">
                <a16:creationId xmlns:a16="http://schemas.microsoft.com/office/drawing/2014/main" id="{6707D947-6AEF-4027-8B82-13427D42C88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28</xdr:col>
      <xdr:colOff>0</xdr:colOff>
      <xdr:row>0</xdr:row>
      <xdr:rowOff>0</xdr:rowOff>
    </xdr:from>
    <xdr:to>
      <xdr:col>36</xdr:col>
      <xdr:colOff>0</xdr:colOff>
      <xdr:row>2</xdr:row>
      <xdr:rowOff>69850</xdr:rowOff>
    </xdr:to>
    <xdr:grpSp>
      <xdr:nvGrpSpPr>
        <xdr:cNvPr id="32015" name="Group 95">
          <a:extLst>
            <a:ext uri="{FF2B5EF4-FFF2-40B4-BE49-F238E27FC236}">
              <a16:creationId xmlns:a16="http://schemas.microsoft.com/office/drawing/2014/main" id="{B61186BC-D4FD-0092-4DF5-0CE0C77F57B9}"/>
            </a:ext>
          </a:extLst>
        </xdr:cNvPr>
        <xdr:cNvGrpSpPr>
          <a:grpSpLocks/>
        </xdr:cNvGrpSpPr>
      </xdr:nvGrpSpPr>
      <xdr:grpSpPr bwMode="auto">
        <a:xfrm>
          <a:off x="18755032" y="0"/>
          <a:ext cx="5825613" cy="463140"/>
          <a:chOff x="2538" y="0"/>
          <a:chExt cx="592" cy="44"/>
        </a:xfrm>
      </xdr:grpSpPr>
      <xdr:pic>
        <xdr:nvPicPr>
          <xdr:cNvPr id="32044" name="Picture 96" descr="ImagingService">
            <a:extLst>
              <a:ext uri="{FF2B5EF4-FFF2-40B4-BE49-F238E27FC236}">
                <a16:creationId xmlns:a16="http://schemas.microsoft.com/office/drawing/2014/main" id="{0228AAE3-4C77-ECC2-10CE-F0D2DC6B347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2045" name="Picture 97">
            <a:extLst>
              <a:ext uri="{FF2B5EF4-FFF2-40B4-BE49-F238E27FC236}">
                <a16:creationId xmlns:a16="http://schemas.microsoft.com/office/drawing/2014/main" id="{EAE60FA3-D119-A444-3B0C-30679C45871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37</xdr:col>
      <xdr:colOff>0</xdr:colOff>
      <xdr:row>0</xdr:row>
      <xdr:rowOff>0</xdr:rowOff>
    </xdr:from>
    <xdr:to>
      <xdr:col>45</xdr:col>
      <xdr:colOff>0</xdr:colOff>
      <xdr:row>2</xdr:row>
      <xdr:rowOff>69850</xdr:rowOff>
    </xdr:to>
    <xdr:grpSp>
      <xdr:nvGrpSpPr>
        <xdr:cNvPr id="32016" name="Group 98">
          <a:extLst>
            <a:ext uri="{FF2B5EF4-FFF2-40B4-BE49-F238E27FC236}">
              <a16:creationId xmlns:a16="http://schemas.microsoft.com/office/drawing/2014/main" id="{581A38E1-F90F-0C56-5EBD-EB183C7CE684}"/>
            </a:ext>
          </a:extLst>
        </xdr:cNvPr>
        <xdr:cNvGrpSpPr>
          <a:grpSpLocks/>
        </xdr:cNvGrpSpPr>
      </xdr:nvGrpSpPr>
      <xdr:grpSpPr bwMode="auto">
        <a:xfrm>
          <a:off x="24900194" y="0"/>
          <a:ext cx="5825612" cy="463140"/>
          <a:chOff x="2538" y="0"/>
          <a:chExt cx="592" cy="44"/>
        </a:xfrm>
      </xdr:grpSpPr>
      <xdr:pic>
        <xdr:nvPicPr>
          <xdr:cNvPr id="32042" name="Picture 99" descr="ImagingService">
            <a:extLst>
              <a:ext uri="{FF2B5EF4-FFF2-40B4-BE49-F238E27FC236}">
                <a16:creationId xmlns:a16="http://schemas.microsoft.com/office/drawing/2014/main" id="{AEB2C3E4-0413-0EB7-BA46-7A6AC79F723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2043" name="Picture 100">
            <a:extLst>
              <a:ext uri="{FF2B5EF4-FFF2-40B4-BE49-F238E27FC236}">
                <a16:creationId xmlns:a16="http://schemas.microsoft.com/office/drawing/2014/main" id="{565C7EFB-9965-6B4C-F242-8870D23129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46</xdr:col>
      <xdr:colOff>0</xdr:colOff>
      <xdr:row>0</xdr:row>
      <xdr:rowOff>0</xdr:rowOff>
    </xdr:from>
    <xdr:to>
      <xdr:col>54</xdr:col>
      <xdr:colOff>0</xdr:colOff>
      <xdr:row>2</xdr:row>
      <xdr:rowOff>69850</xdr:rowOff>
    </xdr:to>
    <xdr:grpSp>
      <xdr:nvGrpSpPr>
        <xdr:cNvPr id="32017" name="Group 101">
          <a:extLst>
            <a:ext uri="{FF2B5EF4-FFF2-40B4-BE49-F238E27FC236}">
              <a16:creationId xmlns:a16="http://schemas.microsoft.com/office/drawing/2014/main" id="{BB6EE532-EFBE-9120-4BEF-357AA6E5B63A}"/>
            </a:ext>
          </a:extLst>
        </xdr:cNvPr>
        <xdr:cNvGrpSpPr>
          <a:grpSpLocks/>
        </xdr:cNvGrpSpPr>
      </xdr:nvGrpSpPr>
      <xdr:grpSpPr bwMode="auto">
        <a:xfrm>
          <a:off x="31045355" y="0"/>
          <a:ext cx="5842000" cy="463140"/>
          <a:chOff x="2538" y="0"/>
          <a:chExt cx="592" cy="44"/>
        </a:xfrm>
      </xdr:grpSpPr>
      <xdr:pic>
        <xdr:nvPicPr>
          <xdr:cNvPr id="32040" name="Picture 102" descr="ImagingService">
            <a:extLst>
              <a:ext uri="{FF2B5EF4-FFF2-40B4-BE49-F238E27FC236}">
                <a16:creationId xmlns:a16="http://schemas.microsoft.com/office/drawing/2014/main" id="{7DE3468B-2FCB-2661-81FD-058FFE1CE3F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2041" name="Picture 103">
            <a:extLst>
              <a:ext uri="{FF2B5EF4-FFF2-40B4-BE49-F238E27FC236}">
                <a16:creationId xmlns:a16="http://schemas.microsoft.com/office/drawing/2014/main" id="{639AD72E-662B-5026-88F7-8F5052FCF9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10</xdr:col>
      <xdr:colOff>0</xdr:colOff>
      <xdr:row>2</xdr:row>
      <xdr:rowOff>44450</xdr:rowOff>
    </xdr:from>
    <xdr:to>
      <xdr:col>15</xdr:col>
      <xdr:colOff>361950</xdr:colOff>
      <xdr:row>4</xdr:row>
      <xdr:rowOff>3266</xdr:rowOff>
    </xdr:to>
    <xdr:pic>
      <xdr:nvPicPr>
        <xdr:cNvPr id="32018" name="Picture 107" descr="ImagingService">
          <a:extLst>
            <a:ext uri="{FF2B5EF4-FFF2-40B4-BE49-F238E27FC236}">
              <a16:creationId xmlns:a16="http://schemas.microsoft.com/office/drawing/2014/main" id="{F8FA4C12-5659-6EEC-9FF2-ABF3694DCBA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6572250" y="431800"/>
          <a:ext cx="38862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0</xdr:colOff>
      <xdr:row>2</xdr:row>
      <xdr:rowOff>44450</xdr:rowOff>
    </xdr:from>
    <xdr:to>
      <xdr:col>24</xdr:col>
      <xdr:colOff>361950</xdr:colOff>
      <xdr:row>4</xdr:row>
      <xdr:rowOff>3266</xdr:rowOff>
    </xdr:to>
    <xdr:pic>
      <xdr:nvPicPr>
        <xdr:cNvPr id="32019" name="Picture 108" descr="ImagingService">
          <a:extLst>
            <a:ext uri="{FF2B5EF4-FFF2-40B4-BE49-F238E27FC236}">
              <a16:creationId xmlns:a16="http://schemas.microsoft.com/office/drawing/2014/main" id="{4259FC2A-5FF3-C287-4717-38730090533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12820650" y="431800"/>
          <a:ext cx="38862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0</xdr:colOff>
      <xdr:row>2</xdr:row>
      <xdr:rowOff>44450</xdr:rowOff>
    </xdr:from>
    <xdr:to>
      <xdr:col>33</xdr:col>
      <xdr:colOff>361950</xdr:colOff>
      <xdr:row>4</xdr:row>
      <xdr:rowOff>3266</xdr:rowOff>
    </xdr:to>
    <xdr:pic>
      <xdr:nvPicPr>
        <xdr:cNvPr id="32020" name="Picture 109" descr="ImagingService">
          <a:extLst>
            <a:ext uri="{FF2B5EF4-FFF2-40B4-BE49-F238E27FC236}">
              <a16:creationId xmlns:a16="http://schemas.microsoft.com/office/drawing/2014/main" id="{91B4A305-4BDF-0F78-F7FA-2579B286C3F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19069050" y="431800"/>
          <a:ext cx="38862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0</xdr:colOff>
      <xdr:row>2</xdr:row>
      <xdr:rowOff>44450</xdr:rowOff>
    </xdr:from>
    <xdr:to>
      <xdr:col>42</xdr:col>
      <xdr:colOff>361950</xdr:colOff>
      <xdr:row>4</xdr:row>
      <xdr:rowOff>3266</xdr:rowOff>
    </xdr:to>
    <xdr:pic>
      <xdr:nvPicPr>
        <xdr:cNvPr id="32021" name="Picture 110" descr="ImagingService">
          <a:extLst>
            <a:ext uri="{FF2B5EF4-FFF2-40B4-BE49-F238E27FC236}">
              <a16:creationId xmlns:a16="http://schemas.microsoft.com/office/drawing/2014/main" id="{431989EB-0979-8A76-6D5D-4315B714F58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25317450" y="431800"/>
          <a:ext cx="38862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46</xdr:col>
      <xdr:colOff>0</xdr:colOff>
      <xdr:row>2</xdr:row>
      <xdr:rowOff>44450</xdr:rowOff>
    </xdr:from>
    <xdr:to>
      <xdr:col>51</xdr:col>
      <xdr:colOff>361950</xdr:colOff>
      <xdr:row>4</xdr:row>
      <xdr:rowOff>3266</xdr:rowOff>
    </xdr:to>
    <xdr:pic>
      <xdr:nvPicPr>
        <xdr:cNvPr id="32022" name="Picture 111" descr="ImagingService">
          <a:extLst>
            <a:ext uri="{FF2B5EF4-FFF2-40B4-BE49-F238E27FC236}">
              <a16:creationId xmlns:a16="http://schemas.microsoft.com/office/drawing/2014/main" id="{735598AD-8D34-E3E7-F696-5FF86EA7E3F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1565850" y="431800"/>
          <a:ext cx="38862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55</xdr:col>
      <xdr:colOff>0</xdr:colOff>
      <xdr:row>2</xdr:row>
      <xdr:rowOff>44450</xdr:rowOff>
    </xdr:from>
    <xdr:to>
      <xdr:col>59</xdr:col>
      <xdr:colOff>806450</xdr:colOff>
      <xdr:row>4</xdr:row>
      <xdr:rowOff>3266</xdr:rowOff>
    </xdr:to>
    <xdr:pic>
      <xdr:nvPicPr>
        <xdr:cNvPr id="32023" name="Picture 112" descr="ImagingService">
          <a:extLst>
            <a:ext uri="{FF2B5EF4-FFF2-40B4-BE49-F238E27FC236}">
              <a16:creationId xmlns:a16="http://schemas.microsoft.com/office/drawing/2014/main" id="{6AF44E55-DA60-BF2F-D240-FFB0ABA9909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7826950" y="431800"/>
          <a:ext cx="41148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1111250</xdr:colOff>
      <xdr:row>0</xdr:row>
      <xdr:rowOff>285750</xdr:rowOff>
    </xdr:from>
    <xdr:to>
      <xdr:col>18</xdr:col>
      <xdr:colOff>747</xdr:colOff>
      <xdr:row>3</xdr:row>
      <xdr:rowOff>3362</xdr:rowOff>
    </xdr:to>
    <xdr:pic>
      <xdr:nvPicPr>
        <xdr:cNvPr id="32024" name="Picture 113" descr="ImagingService">
          <a:extLst>
            <a:ext uri="{FF2B5EF4-FFF2-40B4-BE49-F238E27FC236}">
              <a16:creationId xmlns:a16="http://schemas.microsoft.com/office/drawing/2014/main" id="{215AF912-BEC9-F836-F535-401E1AF5FA7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272" t="15334" r="84282" b="67999"/>
        <a:stretch>
          <a:fillRect/>
        </a:stretch>
      </xdr:blipFill>
      <xdr:spPr bwMode="auto">
        <a:xfrm>
          <a:off x="116967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1111250</xdr:colOff>
      <xdr:row>0</xdr:row>
      <xdr:rowOff>285750</xdr:rowOff>
    </xdr:from>
    <xdr:to>
      <xdr:col>27</xdr:col>
      <xdr:colOff>747</xdr:colOff>
      <xdr:row>3</xdr:row>
      <xdr:rowOff>3362</xdr:rowOff>
    </xdr:to>
    <xdr:pic>
      <xdr:nvPicPr>
        <xdr:cNvPr id="32025" name="Picture 114" descr="ImagingService">
          <a:extLst>
            <a:ext uri="{FF2B5EF4-FFF2-40B4-BE49-F238E27FC236}">
              <a16:creationId xmlns:a16="http://schemas.microsoft.com/office/drawing/2014/main" id="{E12513F1-877D-6BEA-2398-68EBA52C6F4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272" t="15334" r="84282" b="67999"/>
        <a:stretch>
          <a:fillRect/>
        </a:stretch>
      </xdr:blipFill>
      <xdr:spPr bwMode="auto">
        <a:xfrm>
          <a:off x="179451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34</xdr:col>
      <xdr:colOff>1111250</xdr:colOff>
      <xdr:row>0</xdr:row>
      <xdr:rowOff>260350</xdr:rowOff>
    </xdr:from>
    <xdr:to>
      <xdr:col>36</xdr:col>
      <xdr:colOff>747</xdr:colOff>
      <xdr:row>3</xdr:row>
      <xdr:rowOff>3362</xdr:rowOff>
    </xdr:to>
    <xdr:pic>
      <xdr:nvPicPr>
        <xdr:cNvPr id="32026" name="Picture 115" descr="ImagingService">
          <a:extLst>
            <a:ext uri="{FF2B5EF4-FFF2-40B4-BE49-F238E27FC236}">
              <a16:creationId xmlns:a16="http://schemas.microsoft.com/office/drawing/2014/main" id="{2BA21856-0164-5D25-B5E7-484B6D48476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272" t="15334" r="84282" b="67999"/>
        <a:stretch>
          <a:fillRect/>
        </a:stretch>
      </xdr:blipFill>
      <xdr:spPr bwMode="auto">
        <a:xfrm>
          <a:off x="241935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43</xdr:col>
      <xdr:colOff>1111250</xdr:colOff>
      <xdr:row>0</xdr:row>
      <xdr:rowOff>285750</xdr:rowOff>
    </xdr:from>
    <xdr:to>
      <xdr:col>45</xdr:col>
      <xdr:colOff>747</xdr:colOff>
      <xdr:row>3</xdr:row>
      <xdr:rowOff>3362</xdr:rowOff>
    </xdr:to>
    <xdr:pic>
      <xdr:nvPicPr>
        <xdr:cNvPr id="32027" name="Picture 116" descr="ImagingService">
          <a:extLst>
            <a:ext uri="{FF2B5EF4-FFF2-40B4-BE49-F238E27FC236}">
              <a16:creationId xmlns:a16="http://schemas.microsoft.com/office/drawing/2014/main" id="{5C1B5DBC-CF55-C9B0-5F2C-41242229C57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272" t="15334" r="84282" b="67999"/>
        <a:stretch>
          <a:fillRect/>
        </a:stretch>
      </xdr:blipFill>
      <xdr:spPr bwMode="auto">
        <a:xfrm>
          <a:off x="3044190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52</xdr:col>
      <xdr:colOff>1193800</xdr:colOff>
      <xdr:row>0</xdr:row>
      <xdr:rowOff>260350</xdr:rowOff>
    </xdr:from>
    <xdr:to>
      <xdr:col>53</xdr:col>
      <xdr:colOff>791210</xdr:colOff>
      <xdr:row>3</xdr:row>
      <xdr:rowOff>3362</xdr:rowOff>
    </xdr:to>
    <xdr:pic>
      <xdr:nvPicPr>
        <xdr:cNvPr id="32028" name="Picture 117" descr="ImagingService">
          <a:extLst>
            <a:ext uri="{FF2B5EF4-FFF2-40B4-BE49-F238E27FC236}">
              <a16:creationId xmlns:a16="http://schemas.microsoft.com/office/drawing/2014/main" id="{9B9659B7-CACB-646D-A02D-3E99DFDA6A9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272" t="15334" r="84282" b="67999"/>
        <a:stretch>
          <a:fillRect/>
        </a:stretch>
      </xdr:blipFill>
      <xdr:spPr bwMode="auto">
        <a:xfrm>
          <a:off x="36696650" y="228600"/>
          <a:ext cx="80645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55</xdr:col>
      <xdr:colOff>0</xdr:colOff>
      <xdr:row>0</xdr:row>
      <xdr:rowOff>0</xdr:rowOff>
    </xdr:from>
    <xdr:to>
      <xdr:col>62</xdr:col>
      <xdr:colOff>0</xdr:colOff>
      <xdr:row>2</xdr:row>
      <xdr:rowOff>69850</xdr:rowOff>
    </xdr:to>
    <xdr:grpSp>
      <xdr:nvGrpSpPr>
        <xdr:cNvPr id="32029" name="Group 128">
          <a:extLst>
            <a:ext uri="{FF2B5EF4-FFF2-40B4-BE49-F238E27FC236}">
              <a16:creationId xmlns:a16="http://schemas.microsoft.com/office/drawing/2014/main" id="{7DFAEC29-566F-8A3A-A44E-D6239E904E80}"/>
            </a:ext>
          </a:extLst>
        </xdr:cNvPr>
        <xdr:cNvGrpSpPr>
          <a:grpSpLocks/>
        </xdr:cNvGrpSpPr>
      </xdr:nvGrpSpPr>
      <xdr:grpSpPr bwMode="auto">
        <a:xfrm>
          <a:off x="37206903" y="0"/>
          <a:ext cx="5809226" cy="463140"/>
          <a:chOff x="2538" y="0"/>
          <a:chExt cx="592" cy="44"/>
        </a:xfrm>
      </xdr:grpSpPr>
      <xdr:pic>
        <xdr:nvPicPr>
          <xdr:cNvPr id="32038" name="Picture 129" descr="ImagingService">
            <a:extLst>
              <a:ext uri="{FF2B5EF4-FFF2-40B4-BE49-F238E27FC236}">
                <a16:creationId xmlns:a16="http://schemas.microsoft.com/office/drawing/2014/main" id="{36607A08-0D6D-FB63-DD79-20318C96E8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2039" name="Picture 130">
            <a:extLst>
              <a:ext uri="{FF2B5EF4-FFF2-40B4-BE49-F238E27FC236}">
                <a16:creationId xmlns:a16="http://schemas.microsoft.com/office/drawing/2014/main" id="{CD67C46E-BAFB-96FD-0FB1-A6E250E98EF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60</xdr:col>
      <xdr:colOff>914400</xdr:colOff>
      <xdr:row>0</xdr:row>
      <xdr:rowOff>285750</xdr:rowOff>
    </xdr:from>
    <xdr:to>
      <xdr:col>62</xdr:col>
      <xdr:colOff>747</xdr:colOff>
      <xdr:row>3</xdr:row>
      <xdr:rowOff>3362</xdr:rowOff>
    </xdr:to>
    <xdr:pic>
      <xdr:nvPicPr>
        <xdr:cNvPr id="32030" name="Picture 131" descr="ImagingService">
          <a:extLst>
            <a:ext uri="{FF2B5EF4-FFF2-40B4-BE49-F238E27FC236}">
              <a16:creationId xmlns:a16="http://schemas.microsoft.com/office/drawing/2014/main" id="{94CB92D5-EC78-6CA4-7D25-EFA8E3D4830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272" t="15334" r="84282" b="67999"/>
        <a:stretch>
          <a:fillRect/>
        </a:stretch>
      </xdr:blipFill>
      <xdr:spPr bwMode="auto">
        <a:xfrm>
          <a:off x="42932350" y="228600"/>
          <a:ext cx="8001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876300</xdr:colOff>
      <xdr:row>54</xdr:row>
      <xdr:rowOff>25400</xdr:rowOff>
    </xdr:from>
    <xdr:to>
      <xdr:col>9</xdr:col>
      <xdr:colOff>747</xdr:colOff>
      <xdr:row>58</xdr:row>
      <xdr:rowOff>1867</xdr:rowOff>
    </xdr:to>
    <xdr:pic>
      <xdr:nvPicPr>
        <xdr:cNvPr id="32031" name="1 Imagen">
          <a:extLst>
            <a:ext uri="{FF2B5EF4-FFF2-40B4-BE49-F238E27FC236}">
              <a16:creationId xmlns:a16="http://schemas.microsoft.com/office/drawing/2014/main" id="{EE225E0D-8A21-F379-DD20-ADDB73DE741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648200" y="9036050"/>
          <a:ext cx="16002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914400</xdr:colOff>
      <xdr:row>54</xdr:row>
      <xdr:rowOff>6350</xdr:rowOff>
    </xdr:from>
    <xdr:to>
      <xdr:col>18</xdr:col>
      <xdr:colOff>747</xdr:colOff>
      <xdr:row>58</xdr:row>
      <xdr:rowOff>1867</xdr:rowOff>
    </xdr:to>
    <xdr:pic>
      <xdr:nvPicPr>
        <xdr:cNvPr id="32032" name="1 Imagen">
          <a:extLst>
            <a:ext uri="{FF2B5EF4-FFF2-40B4-BE49-F238E27FC236}">
              <a16:creationId xmlns:a16="http://schemas.microsoft.com/office/drawing/2014/main" id="{14F493B8-81BB-50DC-C56D-496F9A40C95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896600" y="9017000"/>
          <a:ext cx="16002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958850</xdr:colOff>
      <xdr:row>54</xdr:row>
      <xdr:rowOff>25400</xdr:rowOff>
    </xdr:from>
    <xdr:to>
      <xdr:col>27</xdr:col>
      <xdr:colOff>747</xdr:colOff>
      <xdr:row>58</xdr:row>
      <xdr:rowOff>1867</xdr:rowOff>
    </xdr:to>
    <xdr:pic>
      <xdr:nvPicPr>
        <xdr:cNvPr id="32033" name="1 Imagen">
          <a:extLst>
            <a:ext uri="{FF2B5EF4-FFF2-40B4-BE49-F238E27FC236}">
              <a16:creationId xmlns:a16="http://schemas.microsoft.com/office/drawing/2014/main" id="{E04B9A54-AAE9-DCC8-90B7-9DCC892B96F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7145000" y="9036050"/>
          <a:ext cx="16002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914400</xdr:colOff>
      <xdr:row>54</xdr:row>
      <xdr:rowOff>6350</xdr:rowOff>
    </xdr:from>
    <xdr:to>
      <xdr:col>36</xdr:col>
      <xdr:colOff>747</xdr:colOff>
      <xdr:row>58</xdr:row>
      <xdr:rowOff>1867</xdr:rowOff>
    </xdr:to>
    <xdr:pic>
      <xdr:nvPicPr>
        <xdr:cNvPr id="32034" name="1 Imagen">
          <a:extLst>
            <a:ext uri="{FF2B5EF4-FFF2-40B4-BE49-F238E27FC236}">
              <a16:creationId xmlns:a16="http://schemas.microsoft.com/office/drawing/2014/main" id="{9EFE59DB-D39D-AE5C-EFBF-FB61F1618EA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393400" y="9017000"/>
          <a:ext cx="16002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42</xdr:col>
      <xdr:colOff>711200</xdr:colOff>
      <xdr:row>54</xdr:row>
      <xdr:rowOff>25400</xdr:rowOff>
    </xdr:from>
    <xdr:to>
      <xdr:col>44</xdr:col>
      <xdr:colOff>749300</xdr:colOff>
      <xdr:row>58</xdr:row>
      <xdr:rowOff>1867</xdr:rowOff>
    </xdr:to>
    <xdr:pic>
      <xdr:nvPicPr>
        <xdr:cNvPr id="32035" name="1 Imagen">
          <a:extLst>
            <a:ext uri="{FF2B5EF4-FFF2-40B4-BE49-F238E27FC236}">
              <a16:creationId xmlns:a16="http://schemas.microsoft.com/office/drawing/2014/main" id="{03CE3BFD-3855-607B-EC4A-C769630959F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9552900" y="9036050"/>
          <a:ext cx="16383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51</xdr:col>
      <xdr:colOff>736600</xdr:colOff>
      <xdr:row>54</xdr:row>
      <xdr:rowOff>6350</xdr:rowOff>
    </xdr:from>
    <xdr:to>
      <xdr:col>53</xdr:col>
      <xdr:colOff>768350</xdr:colOff>
      <xdr:row>58</xdr:row>
      <xdr:rowOff>1867</xdr:rowOff>
    </xdr:to>
    <xdr:pic>
      <xdr:nvPicPr>
        <xdr:cNvPr id="32036" name="1 Imagen">
          <a:extLst>
            <a:ext uri="{FF2B5EF4-FFF2-40B4-BE49-F238E27FC236}">
              <a16:creationId xmlns:a16="http://schemas.microsoft.com/office/drawing/2014/main" id="{C61C430E-7551-F9C5-8229-874C9CD11B1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35826700" y="9017000"/>
          <a:ext cx="16383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1365250</xdr:colOff>
      <xdr:row>54</xdr:row>
      <xdr:rowOff>6350</xdr:rowOff>
    </xdr:from>
    <xdr:to>
      <xdr:col>62</xdr:col>
      <xdr:colOff>747</xdr:colOff>
      <xdr:row>58</xdr:row>
      <xdr:rowOff>1867</xdr:rowOff>
    </xdr:to>
    <xdr:pic>
      <xdr:nvPicPr>
        <xdr:cNvPr id="32037" name="1 Imagen">
          <a:extLst>
            <a:ext uri="{FF2B5EF4-FFF2-40B4-BE49-F238E27FC236}">
              <a16:creationId xmlns:a16="http://schemas.microsoft.com/office/drawing/2014/main" id="{88E6143D-80EF-B675-2B88-31C94128BAE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2227500" y="9017000"/>
          <a:ext cx="150495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488950</xdr:colOff>
      <xdr:row>6</xdr:row>
      <xdr:rowOff>50800</xdr:rowOff>
    </xdr:from>
    <xdr:to>
      <xdr:col>15</xdr:col>
      <xdr:colOff>598</xdr:colOff>
      <xdr:row>7</xdr:row>
      <xdr:rowOff>25400</xdr:rowOff>
    </xdr:to>
    <xdr:pic>
      <xdr:nvPicPr>
        <xdr:cNvPr id="23492" name="Picture 43" descr="ImagingService">
          <a:extLst>
            <a:ext uri="{FF2B5EF4-FFF2-40B4-BE49-F238E27FC236}">
              <a16:creationId xmlns:a16="http://schemas.microsoft.com/office/drawing/2014/main" id="{9D7820C6-E46F-4653-62AC-D8E8244338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83667"/>
        <a:stretch>
          <a:fillRect/>
        </a:stretch>
      </xdr:blipFill>
      <xdr:spPr bwMode="auto">
        <a:xfrm>
          <a:off x="323850" y="1162050"/>
          <a:ext cx="5848350" cy="342900"/>
        </a:xfrm>
        <a:prstGeom prst="rect">
          <a:avLst/>
        </a:prstGeom>
        <a:solidFill>
          <a:srgbClr val="CD005E"/>
        </a:solidFill>
        <a:ln w="28575" algn="ctr">
          <a:solidFill>
            <a:srgbClr val="CD005E"/>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0</xdr:colOff>
      <xdr:row>0</xdr:row>
      <xdr:rowOff>0</xdr:rowOff>
    </xdr:from>
    <xdr:to>
      <xdr:col>15</xdr:col>
      <xdr:colOff>0</xdr:colOff>
      <xdr:row>2</xdr:row>
      <xdr:rowOff>69850</xdr:rowOff>
    </xdr:to>
    <xdr:grpSp>
      <xdr:nvGrpSpPr>
        <xdr:cNvPr id="23493" name="Group 66">
          <a:extLst>
            <a:ext uri="{FF2B5EF4-FFF2-40B4-BE49-F238E27FC236}">
              <a16:creationId xmlns:a16="http://schemas.microsoft.com/office/drawing/2014/main" id="{995D5226-4284-680D-BC9D-7135A9895B29}"/>
            </a:ext>
          </a:extLst>
        </xdr:cNvPr>
        <xdr:cNvGrpSpPr>
          <a:grpSpLocks/>
        </xdr:cNvGrpSpPr>
      </xdr:nvGrpSpPr>
      <xdr:grpSpPr bwMode="auto">
        <a:xfrm>
          <a:off x="322729" y="0"/>
          <a:ext cx="5737412" cy="464297"/>
          <a:chOff x="2538" y="0"/>
          <a:chExt cx="592" cy="44"/>
        </a:xfrm>
      </xdr:grpSpPr>
      <xdr:pic>
        <xdr:nvPicPr>
          <xdr:cNvPr id="23519" name="Picture 67" descr="ImagingService">
            <a:extLst>
              <a:ext uri="{FF2B5EF4-FFF2-40B4-BE49-F238E27FC236}">
                <a16:creationId xmlns:a16="http://schemas.microsoft.com/office/drawing/2014/main" id="{8AB0FC29-EF78-5CDE-A53D-E65391C063B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520" name="Picture 68">
            <a:extLst>
              <a:ext uri="{FF2B5EF4-FFF2-40B4-BE49-F238E27FC236}">
                <a16:creationId xmlns:a16="http://schemas.microsoft.com/office/drawing/2014/main" id="{0B1E529B-7CD9-02AE-BFC6-724D96AD1C8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xdr:col>
      <xdr:colOff>0</xdr:colOff>
      <xdr:row>2</xdr:row>
      <xdr:rowOff>0</xdr:rowOff>
    </xdr:from>
    <xdr:to>
      <xdr:col>9</xdr:col>
      <xdr:colOff>342900</xdr:colOff>
      <xdr:row>4</xdr:row>
      <xdr:rowOff>1868</xdr:rowOff>
    </xdr:to>
    <xdr:pic>
      <xdr:nvPicPr>
        <xdr:cNvPr id="23494" name="Picture 69" descr="ImagingService">
          <a:extLst>
            <a:ext uri="{FF2B5EF4-FFF2-40B4-BE49-F238E27FC236}">
              <a16:creationId xmlns:a16="http://schemas.microsoft.com/office/drawing/2014/main" id="{3FE48A58-4167-4D76-1388-A69BBEB3C1E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23850" y="387350"/>
          <a:ext cx="382905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xdr:row>
      <xdr:rowOff>0</xdr:rowOff>
    </xdr:from>
    <xdr:to>
      <xdr:col>5</xdr:col>
      <xdr:colOff>114300</xdr:colOff>
      <xdr:row>6</xdr:row>
      <xdr:rowOff>747</xdr:rowOff>
    </xdr:to>
    <xdr:pic>
      <xdr:nvPicPr>
        <xdr:cNvPr id="23495" name="Picture 70">
          <a:extLst>
            <a:ext uri="{FF2B5EF4-FFF2-40B4-BE49-F238E27FC236}">
              <a16:creationId xmlns:a16="http://schemas.microsoft.com/office/drawing/2014/main" id="{BAC1CD89-A254-6763-B553-98FA18E930CD}"/>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3850" y="781050"/>
          <a:ext cx="202565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304800</xdr:colOff>
      <xdr:row>0</xdr:row>
      <xdr:rowOff>323850</xdr:rowOff>
    </xdr:from>
    <xdr:to>
      <xdr:col>15</xdr:col>
      <xdr:colOff>598</xdr:colOff>
      <xdr:row>3</xdr:row>
      <xdr:rowOff>3362</xdr:rowOff>
    </xdr:to>
    <xdr:pic>
      <xdr:nvPicPr>
        <xdr:cNvPr id="23496" name="Picture 71" descr="ImagingService">
          <a:extLst>
            <a:ext uri="{FF2B5EF4-FFF2-40B4-BE49-F238E27FC236}">
              <a16:creationId xmlns:a16="http://schemas.microsoft.com/office/drawing/2014/main" id="{28C6B9B4-73DE-F9A8-04C5-E4212BDAB3F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25880" t="14999" r="58943" b="68001"/>
        <a:stretch>
          <a:fillRect/>
        </a:stretch>
      </xdr:blipFill>
      <xdr:spPr bwMode="auto">
        <a:xfrm>
          <a:off x="5295900" y="228600"/>
          <a:ext cx="8763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31</xdr:col>
      <xdr:colOff>0</xdr:colOff>
      <xdr:row>0</xdr:row>
      <xdr:rowOff>0</xdr:rowOff>
    </xdr:from>
    <xdr:to>
      <xdr:col>45</xdr:col>
      <xdr:colOff>0</xdr:colOff>
      <xdr:row>2</xdr:row>
      <xdr:rowOff>69850</xdr:rowOff>
    </xdr:to>
    <xdr:grpSp>
      <xdr:nvGrpSpPr>
        <xdr:cNvPr id="23497" name="Group 75">
          <a:extLst>
            <a:ext uri="{FF2B5EF4-FFF2-40B4-BE49-F238E27FC236}">
              <a16:creationId xmlns:a16="http://schemas.microsoft.com/office/drawing/2014/main" id="{DD49F91D-1A6F-645D-9301-7C6DD4FFAB14}"/>
            </a:ext>
          </a:extLst>
        </xdr:cNvPr>
        <xdr:cNvGrpSpPr>
          <a:grpSpLocks/>
        </xdr:cNvGrpSpPr>
      </xdr:nvGrpSpPr>
      <xdr:grpSpPr bwMode="auto">
        <a:xfrm>
          <a:off x="12443012" y="0"/>
          <a:ext cx="5737412" cy="464297"/>
          <a:chOff x="2538" y="0"/>
          <a:chExt cx="592" cy="44"/>
        </a:xfrm>
      </xdr:grpSpPr>
      <xdr:pic>
        <xdr:nvPicPr>
          <xdr:cNvPr id="23517" name="Picture 76" descr="ImagingService">
            <a:extLst>
              <a:ext uri="{FF2B5EF4-FFF2-40B4-BE49-F238E27FC236}">
                <a16:creationId xmlns:a16="http://schemas.microsoft.com/office/drawing/2014/main" id="{332A14CB-411D-7552-8DE8-C9F265F1EC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518" name="Picture 77">
            <a:extLst>
              <a:ext uri="{FF2B5EF4-FFF2-40B4-BE49-F238E27FC236}">
                <a16:creationId xmlns:a16="http://schemas.microsoft.com/office/drawing/2014/main" id="{EDA2FA01-9884-B234-0327-449FBF20BD1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46</xdr:col>
      <xdr:colOff>0</xdr:colOff>
      <xdr:row>0</xdr:row>
      <xdr:rowOff>0</xdr:rowOff>
    </xdr:from>
    <xdr:to>
      <xdr:col>59</xdr:col>
      <xdr:colOff>876300</xdr:colOff>
      <xdr:row>2</xdr:row>
      <xdr:rowOff>69850</xdr:rowOff>
    </xdr:to>
    <xdr:grpSp>
      <xdr:nvGrpSpPr>
        <xdr:cNvPr id="23498" name="Group 78">
          <a:extLst>
            <a:ext uri="{FF2B5EF4-FFF2-40B4-BE49-F238E27FC236}">
              <a16:creationId xmlns:a16="http://schemas.microsoft.com/office/drawing/2014/main" id="{68B76673-6AF9-E97D-BB53-5D563C102401}"/>
            </a:ext>
          </a:extLst>
        </xdr:cNvPr>
        <xdr:cNvGrpSpPr>
          <a:grpSpLocks/>
        </xdr:cNvGrpSpPr>
      </xdr:nvGrpSpPr>
      <xdr:grpSpPr bwMode="auto">
        <a:xfrm>
          <a:off x="18503153" y="0"/>
          <a:ext cx="6188785" cy="464297"/>
          <a:chOff x="2538" y="0"/>
          <a:chExt cx="592" cy="44"/>
        </a:xfrm>
      </xdr:grpSpPr>
      <xdr:pic>
        <xdr:nvPicPr>
          <xdr:cNvPr id="23515" name="Picture 79" descr="ImagingService">
            <a:extLst>
              <a:ext uri="{FF2B5EF4-FFF2-40B4-BE49-F238E27FC236}">
                <a16:creationId xmlns:a16="http://schemas.microsoft.com/office/drawing/2014/main" id="{9504C8CA-4719-C10A-4582-3C63510C4B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516" name="Picture 80">
            <a:extLst>
              <a:ext uri="{FF2B5EF4-FFF2-40B4-BE49-F238E27FC236}">
                <a16:creationId xmlns:a16="http://schemas.microsoft.com/office/drawing/2014/main" id="{BE307F05-AA0B-0C1F-6C16-B6CDDE6B0DB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16</xdr:col>
      <xdr:colOff>0</xdr:colOff>
      <xdr:row>0</xdr:row>
      <xdr:rowOff>0</xdr:rowOff>
    </xdr:from>
    <xdr:to>
      <xdr:col>30</xdr:col>
      <xdr:colOff>0</xdr:colOff>
      <xdr:row>2</xdr:row>
      <xdr:rowOff>69850</xdr:rowOff>
    </xdr:to>
    <xdr:grpSp>
      <xdr:nvGrpSpPr>
        <xdr:cNvPr id="23499" name="Group 81">
          <a:extLst>
            <a:ext uri="{FF2B5EF4-FFF2-40B4-BE49-F238E27FC236}">
              <a16:creationId xmlns:a16="http://schemas.microsoft.com/office/drawing/2014/main" id="{A7F0986F-CF5D-3EA5-6918-3CF4D669FEE8}"/>
            </a:ext>
          </a:extLst>
        </xdr:cNvPr>
        <xdr:cNvGrpSpPr>
          <a:grpSpLocks/>
        </xdr:cNvGrpSpPr>
      </xdr:nvGrpSpPr>
      <xdr:grpSpPr bwMode="auto">
        <a:xfrm>
          <a:off x="6382871" y="0"/>
          <a:ext cx="5737411" cy="464297"/>
          <a:chOff x="2538" y="0"/>
          <a:chExt cx="592" cy="44"/>
        </a:xfrm>
      </xdr:grpSpPr>
      <xdr:pic>
        <xdr:nvPicPr>
          <xdr:cNvPr id="23513" name="Picture 82" descr="ImagingService">
            <a:extLst>
              <a:ext uri="{FF2B5EF4-FFF2-40B4-BE49-F238E27FC236}">
                <a16:creationId xmlns:a16="http://schemas.microsoft.com/office/drawing/2014/main" id="{B8995383-5ABC-B837-7F7D-43CE6BA8BE2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514" name="Picture 83">
            <a:extLst>
              <a:ext uri="{FF2B5EF4-FFF2-40B4-BE49-F238E27FC236}">
                <a16:creationId xmlns:a16="http://schemas.microsoft.com/office/drawing/2014/main" id="{2CCAF55A-5F12-4A71-53C9-8BD9F4E1AD3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27</xdr:col>
      <xdr:colOff>304800</xdr:colOff>
      <xdr:row>0</xdr:row>
      <xdr:rowOff>304800</xdr:rowOff>
    </xdr:from>
    <xdr:to>
      <xdr:col>30</xdr:col>
      <xdr:colOff>598</xdr:colOff>
      <xdr:row>3</xdr:row>
      <xdr:rowOff>3362</xdr:rowOff>
    </xdr:to>
    <xdr:pic>
      <xdr:nvPicPr>
        <xdr:cNvPr id="23500" name="Picture 84" descr="ImagingService">
          <a:extLst>
            <a:ext uri="{FF2B5EF4-FFF2-40B4-BE49-F238E27FC236}">
              <a16:creationId xmlns:a16="http://schemas.microsoft.com/office/drawing/2014/main" id="{84D3695A-1BC9-36FB-59AD-5007B032B6A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25880" t="14999" r="58943" b="68001"/>
        <a:stretch>
          <a:fillRect/>
        </a:stretch>
      </xdr:blipFill>
      <xdr:spPr bwMode="auto">
        <a:xfrm>
          <a:off x="11468100" y="228600"/>
          <a:ext cx="8763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42</xdr:col>
      <xdr:colOff>304800</xdr:colOff>
      <xdr:row>0</xdr:row>
      <xdr:rowOff>285750</xdr:rowOff>
    </xdr:from>
    <xdr:to>
      <xdr:col>45</xdr:col>
      <xdr:colOff>597</xdr:colOff>
      <xdr:row>3</xdr:row>
      <xdr:rowOff>3362</xdr:rowOff>
    </xdr:to>
    <xdr:pic>
      <xdr:nvPicPr>
        <xdr:cNvPr id="23501" name="Picture 85" descr="ImagingService">
          <a:extLst>
            <a:ext uri="{FF2B5EF4-FFF2-40B4-BE49-F238E27FC236}">
              <a16:creationId xmlns:a16="http://schemas.microsoft.com/office/drawing/2014/main" id="{2CA7827C-3364-1B25-40CB-A117344631B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25880" t="14999" r="58943" b="68001"/>
        <a:stretch>
          <a:fillRect/>
        </a:stretch>
      </xdr:blipFill>
      <xdr:spPr bwMode="auto">
        <a:xfrm>
          <a:off x="17640300" y="228600"/>
          <a:ext cx="8763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57</xdr:col>
      <xdr:colOff>304800</xdr:colOff>
      <xdr:row>0</xdr:row>
      <xdr:rowOff>285750</xdr:rowOff>
    </xdr:from>
    <xdr:to>
      <xdr:col>59</xdr:col>
      <xdr:colOff>139700</xdr:colOff>
      <xdr:row>3</xdr:row>
      <xdr:rowOff>3362</xdr:rowOff>
    </xdr:to>
    <xdr:pic>
      <xdr:nvPicPr>
        <xdr:cNvPr id="23502" name="Picture 86" descr="ImagingService">
          <a:extLst>
            <a:ext uri="{FF2B5EF4-FFF2-40B4-BE49-F238E27FC236}">
              <a16:creationId xmlns:a16="http://schemas.microsoft.com/office/drawing/2014/main" id="{DABF67C4-7F58-F13A-35FB-D6FB9991FE7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25880" t="14999" r="58943" b="68001"/>
        <a:stretch>
          <a:fillRect/>
        </a:stretch>
      </xdr:blipFill>
      <xdr:spPr bwMode="auto">
        <a:xfrm>
          <a:off x="23818850" y="228600"/>
          <a:ext cx="8763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0</xdr:colOff>
      <xdr:row>2</xdr:row>
      <xdr:rowOff>0</xdr:rowOff>
    </xdr:from>
    <xdr:to>
      <xdr:col>24</xdr:col>
      <xdr:colOff>342900</xdr:colOff>
      <xdr:row>4</xdr:row>
      <xdr:rowOff>1868</xdr:rowOff>
    </xdr:to>
    <xdr:pic>
      <xdr:nvPicPr>
        <xdr:cNvPr id="23503" name="Picture 87" descr="ImagingService">
          <a:extLst>
            <a:ext uri="{FF2B5EF4-FFF2-40B4-BE49-F238E27FC236}">
              <a16:creationId xmlns:a16="http://schemas.microsoft.com/office/drawing/2014/main" id="{6F5071CF-DFD2-2ABB-81E0-F1AF483E0B5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6496050" y="387350"/>
          <a:ext cx="382905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0</xdr:colOff>
      <xdr:row>2</xdr:row>
      <xdr:rowOff>0</xdr:rowOff>
    </xdr:from>
    <xdr:to>
      <xdr:col>39</xdr:col>
      <xdr:colOff>342900</xdr:colOff>
      <xdr:row>4</xdr:row>
      <xdr:rowOff>1868</xdr:rowOff>
    </xdr:to>
    <xdr:pic>
      <xdr:nvPicPr>
        <xdr:cNvPr id="23504" name="Picture 88" descr="ImagingService">
          <a:extLst>
            <a:ext uri="{FF2B5EF4-FFF2-40B4-BE49-F238E27FC236}">
              <a16:creationId xmlns:a16="http://schemas.microsoft.com/office/drawing/2014/main" id="{837AFC1A-208A-15AA-4567-072C8138A96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12668250" y="387350"/>
          <a:ext cx="382905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46</xdr:col>
      <xdr:colOff>0</xdr:colOff>
      <xdr:row>2</xdr:row>
      <xdr:rowOff>0</xdr:rowOff>
    </xdr:from>
    <xdr:to>
      <xdr:col>54</xdr:col>
      <xdr:colOff>336550</xdr:colOff>
      <xdr:row>4</xdr:row>
      <xdr:rowOff>1868</xdr:rowOff>
    </xdr:to>
    <xdr:pic>
      <xdr:nvPicPr>
        <xdr:cNvPr id="23505" name="Picture 89" descr="ImagingService">
          <a:extLst>
            <a:ext uri="{FF2B5EF4-FFF2-40B4-BE49-F238E27FC236}">
              <a16:creationId xmlns:a16="http://schemas.microsoft.com/office/drawing/2014/main" id="{D9188D26-2798-61EF-BB7A-B733E2DF143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18840450" y="387350"/>
          <a:ext cx="382905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0</xdr:colOff>
      <xdr:row>4</xdr:row>
      <xdr:rowOff>0</xdr:rowOff>
    </xdr:from>
    <xdr:to>
      <xdr:col>20</xdr:col>
      <xdr:colOff>114300</xdr:colOff>
      <xdr:row>6</xdr:row>
      <xdr:rowOff>747</xdr:rowOff>
    </xdr:to>
    <xdr:pic>
      <xdr:nvPicPr>
        <xdr:cNvPr id="23506" name="Picture 91">
          <a:extLst>
            <a:ext uri="{FF2B5EF4-FFF2-40B4-BE49-F238E27FC236}">
              <a16:creationId xmlns:a16="http://schemas.microsoft.com/office/drawing/2014/main" id="{D528A5E2-FACB-25C0-E707-15E15F7A58B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96050" y="781050"/>
          <a:ext cx="202565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0</xdr:colOff>
      <xdr:row>4</xdr:row>
      <xdr:rowOff>0</xdr:rowOff>
    </xdr:from>
    <xdr:to>
      <xdr:col>35</xdr:col>
      <xdr:colOff>114300</xdr:colOff>
      <xdr:row>6</xdr:row>
      <xdr:rowOff>747</xdr:rowOff>
    </xdr:to>
    <xdr:pic>
      <xdr:nvPicPr>
        <xdr:cNvPr id="23507" name="Picture 92">
          <a:extLst>
            <a:ext uri="{FF2B5EF4-FFF2-40B4-BE49-F238E27FC236}">
              <a16:creationId xmlns:a16="http://schemas.microsoft.com/office/drawing/2014/main" id="{DF95B9D5-E812-23E8-571A-E1347B0C2EB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668250" y="781050"/>
          <a:ext cx="202565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46</xdr:col>
      <xdr:colOff>0</xdr:colOff>
      <xdr:row>4</xdr:row>
      <xdr:rowOff>0</xdr:rowOff>
    </xdr:from>
    <xdr:to>
      <xdr:col>50</xdr:col>
      <xdr:colOff>88900</xdr:colOff>
      <xdr:row>6</xdr:row>
      <xdr:rowOff>747</xdr:rowOff>
    </xdr:to>
    <xdr:pic>
      <xdr:nvPicPr>
        <xdr:cNvPr id="23508" name="Picture 94">
          <a:extLst>
            <a:ext uri="{FF2B5EF4-FFF2-40B4-BE49-F238E27FC236}">
              <a16:creationId xmlns:a16="http://schemas.microsoft.com/office/drawing/2014/main" id="{C897D505-F493-F944-8BFA-5392B3345FE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8840450" y="781050"/>
          <a:ext cx="2006600" cy="33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800100</xdr:colOff>
      <xdr:row>55</xdr:row>
      <xdr:rowOff>6350</xdr:rowOff>
    </xdr:from>
    <xdr:to>
      <xdr:col>29</xdr:col>
      <xdr:colOff>50800</xdr:colOff>
      <xdr:row>59</xdr:row>
      <xdr:rowOff>1867</xdr:rowOff>
    </xdr:to>
    <xdr:pic>
      <xdr:nvPicPr>
        <xdr:cNvPr id="23509" name="1 Imagen">
          <a:extLst>
            <a:ext uri="{FF2B5EF4-FFF2-40B4-BE49-F238E27FC236}">
              <a16:creationId xmlns:a16="http://schemas.microsoft.com/office/drawing/2014/main" id="{09C9F32A-086E-7662-5BE1-E10088E873B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375900" y="9366250"/>
          <a:ext cx="16256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0</xdr:colOff>
      <xdr:row>55</xdr:row>
      <xdr:rowOff>6350</xdr:rowOff>
    </xdr:from>
    <xdr:to>
      <xdr:col>44</xdr:col>
      <xdr:colOff>88900</xdr:colOff>
      <xdr:row>59</xdr:row>
      <xdr:rowOff>1867</xdr:rowOff>
    </xdr:to>
    <xdr:pic>
      <xdr:nvPicPr>
        <xdr:cNvPr id="23510" name="1 Imagen">
          <a:extLst>
            <a:ext uri="{FF2B5EF4-FFF2-40B4-BE49-F238E27FC236}">
              <a16:creationId xmlns:a16="http://schemas.microsoft.com/office/drawing/2014/main" id="{46505A71-207E-1196-FAC8-90C1E11E74F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6548100" y="9366250"/>
          <a:ext cx="16637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54</xdr:col>
      <xdr:colOff>876300</xdr:colOff>
      <xdr:row>55</xdr:row>
      <xdr:rowOff>6350</xdr:rowOff>
    </xdr:from>
    <xdr:to>
      <xdr:col>58</xdr:col>
      <xdr:colOff>473635</xdr:colOff>
      <xdr:row>59</xdr:row>
      <xdr:rowOff>1867</xdr:rowOff>
    </xdr:to>
    <xdr:pic>
      <xdr:nvPicPr>
        <xdr:cNvPr id="23511" name="1 Imagen">
          <a:extLst>
            <a:ext uri="{FF2B5EF4-FFF2-40B4-BE49-F238E27FC236}">
              <a16:creationId xmlns:a16="http://schemas.microsoft.com/office/drawing/2014/main" id="{FB59E6D4-9A3A-4154-9A8D-1042345FDAA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2726650" y="9366250"/>
          <a:ext cx="16510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857250</xdr:colOff>
      <xdr:row>55</xdr:row>
      <xdr:rowOff>6350</xdr:rowOff>
    </xdr:from>
    <xdr:to>
      <xdr:col>14</xdr:col>
      <xdr:colOff>146050</xdr:colOff>
      <xdr:row>59</xdr:row>
      <xdr:rowOff>1867</xdr:rowOff>
    </xdr:to>
    <xdr:pic>
      <xdr:nvPicPr>
        <xdr:cNvPr id="23512" name="1 Imagen">
          <a:extLst>
            <a:ext uri="{FF2B5EF4-FFF2-40B4-BE49-F238E27FC236}">
              <a16:creationId xmlns:a16="http://schemas.microsoft.com/office/drawing/2014/main" id="{E238D9A5-439F-B234-E8D0-D81A3707635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203700" y="9366250"/>
          <a:ext cx="172085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6350</xdr:colOff>
      <xdr:row>3</xdr:row>
      <xdr:rowOff>488950</xdr:rowOff>
    </xdr:from>
    <xdr:to>
      <xdr:col>3</xdr:col>
      <xdr:colOff>533400</xdr:colOff>
      <xdr:row>6</xdr:row>
      <xdr:rowOff>0</xdr:rowOff>
    </xdr:to>
    <xdr:pic>
      <xdr:nvPicPr>
        <xdr:cNvPr id="33061" name="Picture 31" descr="ImagingService">
          <a:extLst>
            <a:ext uri="{FF2B5EF4-FFF2-40B4-BE49-F238E27FC236}">
              <a16:creationId xmlns:a16="http://schemas.microsoft.com/office/drawing/2014/main" id="{059B030E-7350-113A-CE72-AF6AE30BC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7751" b="82333"/>
        <a:stretch>
          <a:fillRect/>
        </a:stretch>
      </xdr:blipFill>
      <xdr:spPr bwMode="auto">
        <a:xfrm>
          <a:off x="330200" y="850900"/>
          <a:ext cx="161290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4</xdr:row>
      <xdr:rowOff>0</xdr:rowOff>
    </xdr:from>
    <xdr:to>
      <xdr:col>12</xdr:col>
      <xdr:colOff>514350</xdr:colOff>
      <xdr:row>6</xdr:row>
      <xdr:rowOff>0</xdr:rowOff>
    </xdr:to>
    <xdr:pic>
      <xdr:nvPicPr>
        <xdr:cNvPr id="33062" name="Picture 37" descr="ImagingService">
          <a:extLst>
            <a:ext uri="{FF2B5EF4-FFF2-40B4-BE49-F238E27FC236}">
              <a16:creationId xmlns:a16="http://schemas.microsoft.com/office/drawing/2014/main" id="{D8D6CB6E-8F5E-5F0A-DC75-19919E986B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7751" b="82333"/>
        <a:stretch>
          <a:fillRect/>
        </a:stretch>
      </xdr:blipFill>
      <xdr:spPr bwMode="auto">
        <a:xfrm>
          <a:off x="6515100" y="850900"/>
          <a:ext cx="160020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6350</xdr:colOff>
      <xdr:row>4</xdr:row>
      <xdr:rowOff>6350</xdr:rowOff>
    </xdr:from>
    <xdr:to>
      <xdr:col>21</xdr:col>
      <xdr:colOff>533400</xdr:colOff>
      <xdr:row>6</xdr:row>
      <xdr:rowOff>0</xdr:rowOff>
    </xdr:to>
    <xdr:pic>
      <xdr:nvPicPr>
        <xdr:cNvPr id="33063" name="Picture 43" descr="ImagingService">
          <a:extLst>
            <a:ext uri="{FF2B5EF4-FFF2-40B4-BE49-F238E27FC236}">
              <a16:creationId xmlns:a16="http://schemas.microsoft.com/office/drawing/2014/main" id="{79A5E5B2-3829-7FF7-C7E3-DF67E5F93C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7751" b="82333"/>
        <a:stretch>
          <a:fillRect/>
        </a:stretch>
      </xdr:blipFill>
      <xdr:spPr bwMode="auto">
        <a:xfrm>
          <a:off x="12712700" y="857250"/>
          <a:ext cx="1612900" cy="311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0</xdr:colOff>
      <xdr:row>4</xdr:row>
      <xdr:rowOff>6350</xdr:rowOff>
    </xdr:from>
    <xdr:to>
      <xdr:col>30</xdr:col>
      <xdr:colOff>514350</xdr:colOff>
      <xdr:row>6</xdr:row>
      <xdr:rowOff>0</xdr:rowOff>
    </xdr:to>
    <xdr:pic>
      <xdr:nvPicPr>
        <xdr:cNvPr id="33064" name="Picture 49" descr="ImagingService">
          <a:extLst>
            <a:ext uri="{FF2B5EF4-FFF2-40B4-BE49-F238E27FC236}">
              <a16:creationId xmlns:a16="http://schemas.microsoft.com/office/drawing/2014/main" id="{2C946632-90E3-6FC7-9521-926EB382E0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7751" b="82333"/>
        <a:stretch>
          <a:fillRect/>
        </a:stretch>
      </xdr:blipFill>
      <xdr:spPr bwMode="auto">
        <a:xfrm>
          <a:off x="18897600" y="857250"/>
          <a:ext cx="1600200" cy="311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0</xdr:colOff>
      <xdr:row>4</xdr:row>
      <xdr:rowOff>6350</xdr:rowOff>
    </xdr:from>
    <xdr:to>
      <xdr:col>39</xdr:col>
      <xdr:colOff>514350</xdr:colOff>
      <xdr:row>6</xdr:row>
      <xdr:rowOff>0</xdr:rowOff>
    </xdr:to>
    <xdr:pic>
      <xdr:nvPicPr>
        <xdr:cNvPr id="33065" name="Picture 55" descr="ImagingService">
          <a:extLst>
            <a:ext uri="{FF2B5EF4-FFF2-40B4-BE49-F238E27FC236}">
              <a16:creationId xmlns:a16="http://schemas.microsoft.com/office/drawing/2014/main" id="{C44841A2-F517-4888-5A75-70D09077EF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7751" b="82333"/>
        <a:stretch>
          <a:fillRect/>
        </a:stretch>
      </xdr:blipFill>
      <xdr:spPr bwMode="auto">
        <a:xfrm>
          <a:off x="25088850" y="857250"/>
          <a:ext cx="1600200" cy="311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46</xdr:col>
      <xdr:colOff>0</xdr:colOff>
      <xdr:row>4</xdr:row>
      <xdr:rowOff>0</xdr:rowOff>
    </xdr:from>
    <xdr:to>
      <xdr:col>48</xdr:col>
      <xdr:colOff>514350</xdr:colOff>
      <xdr:row>6</xdr:row>
      <xdr:rowOff>0</xdr:rowOff>
    </xdr:to>
    <xdr:pic>
      <xdr:nvPicPr>
        <xdr:cNvPr id="33066" name="Picture 61" descr="ImagingService">
          <a:extLst>
            <a:ext uri="{FF2B5EF4-FFF2-40B4-BE49-F238E27FC236}">
              <a16:creationId xmlns:a16="http://schemas.microsoft.com/office/drawing/2014/main" id="{446AAD1E-E459-270E-D9A0-05750908E3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7751" b="82333"/>
        <a:stretch>
          <a:fillRect/>
        </a:stretch>
      </xdr:blipFill>
      <xdr:spPr bwMode="auto">
        <a:xfrm>
          <a:off x="31280100" y="850900"/>
          <a:ext cx="160020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55</xdr:col>
      <xdr:colOff>6350</xdr:colOff>
      <xdr:row>4</xdr:row>
      <xdr:rowOff>0</xdr:rowOff>
    </xdr:from>
    <xdr:to>
      <xdr:col>57</xdr:col>
      <xdr:colOff>533400</xdr:colOff>
      <xdr:row>6</xdr:row>
      <xdr:rowOff>0</xdr:rowOff>
    </xdr:to>
    <xdr:pic>
      <xdr:nvPicPr>
        <xdr:cNvPr id="33067" name="Picture 67" descr="ImagingService">
          <a:extLst>
            <a:ext uri="{FF2B5EF4-FFF2-40B4-BE49-F238E27FC236}">
              <a16:creationId xmlns:a16="http://schemas.microsoft.com/office/drawing/2014/main" id="{45998841-DADC-1754-3194-973A60AE15A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7751" b="82333"/>
        <a:stretch>
          <a:fillRect/>
        </a:stretch>
      </xdr:blipFill>
      <xdr:spPr bwMode="auto">
        <a:xfrm>
          <a:off x="37477700" y="850900"/>
          <a:ext cx="161290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9</xdr:col>
      <xdr:colOff>0</xdr:colOff>
      <xdr:row>2</xdr:row>
      <xdr:rowOff>69850</xdr:rowOff>
    </xdr:to>
    <xdr:grpSp>
      <xdr:nvGrpSpPr>
        <xdr:cNvPr id="33068" name="Group 131">
          <a:extLst>
            <a:ext uri="{FF2B5EF4-FFF2-40B4-BE49-F238E27FC236}">
              <a16:creationId xmlns:a16="http://schemas.microsoft.com/office/drawing/2014/main" id="{AEF38966-6B08-0AAF-65CC-22B40A9235EC}"/>
            </a:ext>
          </a:extLst>
        </xdr:cNvPr>
        <xdr:cNvGrpSpPr>
          <a:grpSpLocks/>
        </xdr:cNvGrpSpPr>
      </xdr:nvGrpSpPr>
      <xdr:grpSpPr bwMode="auto">
        <a:xfrm>
          <a:off x="320040" y="0"/>
          <a:ext cx="5867400" cy="458470"/>
          <a:chOff x="2538" y="0"/>
          <a:chExt cx="592" cy="44"/>
        </a:xfrm>
      </xdr:grpSpPr>
      <xdr:pic>
        <xdr:nvPicPr>
          <xdr:cNvPr id="33108" name="Picture 132" descr="ImagingService">
            <a:extLst>
              <a:ext uri="{FF2B5EF4-FFF2-40B4-BE49-F238E27FC236}">
                <a16:creationId xmlns:a16="http://schemas.microsoft.com/office/drawing/2014/main" id="{51DD45EC-4267-64F6-C883-975659823FE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109" name="Picture 133">
            <a:extLst>
              <a:ext uri="{FF2B5EF4-FFF2-40B4-BE49-F238E27FC236}">
                <a16:creationId xmlns:a16="http://schemas.microsoft.com/office/drawing/2014/main" id="{F472A756-98DB-5BDA-D504-B44A8114F04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10</xdr:col>
      <xdr:colOff>0</xdr:colOff>
      <xdr:row>0</xdr:row>
      <xdr:rowOff>0</xdr:rowOff>
    </xdr:from>
    <xdr:to>
      <xdr:col>18</xdr:col>
      <xdr:colOff>0</xdr:colOff>
      <xdr:row>2</xdr:row>
      <xdr:rowOff>69850</xdr:rowOff>
    </xdr:to>
    <xdr:grpSp>
      <xdr:nvGrpSpPr>
        <xdr:cNvPr id="33069" name="Group 134">
          <a:extLst>
            <a:ext uri="{FF2B5EF4-FFF2-40B4-BE49-F238E27FC236}">
              <a16:creationId xmlns:a16="http://schemas.microsoft.com/office/drawing/2014/main" id="{705E8AB9-B300-75BF-5C2A-E7D2A1E15076}"/>
            </a:ext>
          </a:extLst>
        </xdr:cNvPr>
        <xdr:cNvGrpSpPr>
          <a:grpSpLocks/>
        </xdr:cNvGrpSpPr>
      </xdr:nvGrpSpPr>
      <xdr:grpSpPr bwMode="auto">
        <a:xfrm>
          <a:off x="6713220" y="0"/>
          <a:ext cx="5867400" cy="458470"/>
          <a:chOff x="2538" y="0"/>
          <a:chExt cx="592" cy="44"/>
        </a:xfrm>
      </xdr:grpSpPr>
      <xdr:pic>
        <xdr:nvPicPr>
          <xdr:cNvPr id="33106" name="Picture 135" descr="ImagingService">
            <a:extLst>
              <a:ext uri="{FF2B5EF4-FFF2-40B4-BE49-F238E27FC236}">
                <a16:creationId xmlns:a16="http://schemas.microsoft.com/office/drawing/2014/main" id="{8D59B862-7590-A27B-9BF4-DBFD5F4BC8B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107" name="Picture 136">
            <a:extLst>
              <a:ext uri="{FF2B5EF4-FFF2-40B4-BE49-F238E27FC236}">
                <a16:creationId xmlns:a16="http://schemas.microsoft.com/office/drawing/2014/main" id="{3E10DD50-2BD5-14C7-3D60-585BDBC5FA4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19</xdr:col>
      <xdr:colOff>0</xdr:colOff>
      <xdr:row>0</xdr:row>
      <xdr:rowOff>0</xdr:rowOff>
    </xdr:from>
    <xdr:to>
      <xdr:col>27</xdr:col>
      <xdr:colOff>0</xdr:colOff>
      <xdr:row>2</xdr:row>
      <xdr:rowOff>69850</xdr:rowOff>
    </xdr:to>
    <xdr:grpSp>
      <xdr:nvGrpSpPr>
        <xdr:cNvPr id="33070" name="Group 137">
          <a:extLst>
            <a:ext uri="{FF2B5EF4-FFF2-40B4-BE49-F238E27FC236}">
              <a16:creationId xmlns:a16="http://schemas.microsoft.com/office/drawing/2014/main" id="{D9C8E3AB-BA68-9B1A-7BF2-790CC0083AC9}"/>
            </a:ext>
          </a:extLst>
        </xdr:cNvPr>
        <xdr:cNvGrpSpPr>
          <a:grpSpLocks/>
        </xdr:cNvGrpSpPr>
      </xdr:nvGrpSpPr>
      <xdr:grpSpPr bwMode="auto">
        <a:xfrm>
          <a:off x="13106400" y="0"/>
          <a:ext cx="5867400" cy="458470"/>
          <a:chOff x="2538" y="0"/>
          <a:chExt cx="592" cy="44"/>
        </a:xfrm>
      </xdr:grpSpPr>
      <xdr:pic>
        <xdr:nvPicPr>
          <xdr:cNvPr id="33104" name="Picture 138" descr="ImagingService">
            <a:extLst>
              <a:ext uri="{FF2B5EF4-FFF2-40B4-BE49-F238E27FC236}">
                <a16:creationId xmlns:a16="http://schemas.microsoft.com/office/drawing/2014/main" id="{35B6D94E-658E-9B91-B9DC-A9B21DE40CF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105" name="Picture 139">
            <a:extLst>
              <a:ext uri="{FF2B5EF4-FFF2-40B4-BE49-F238E27FC236}">
                <a16:creationId xmlns:a16="http://schemas.microsoft.com/office/drawing/2014/main" id="{A23328E2-28E7-C14C-67B0-5D0061E01E6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28</xdr:col>
      <xdr:colOff>0</xdr:colOff>
      <xdr:row>0</xdr:row>
      <xdr:rowOff>0</xdr:rowOff>
    </xdr:from>
    <xdr:to>
      <xdr:col>36</xdr:col>
      <xdr:colOff>0</xdr:colOff>
      <xdr:row>2</xdr:row>
      <xdr:rowOff>69850</xdr:rowOff>
    </xdr:to>
    <xdr:grpSp>
      <xdr:nvGrpSpPr>
        <xdr:cNvPr id="33071" name="Group 140">
          <a:extLst>
            <a:ext uri="{FF2B5EF4-FFF2-40B4-BE49-F238E27FC236}">
              <a16:creationId xmlns:a16="http://schemas.microsoft.com/office/drawing/2014/main" id="{FE9F5305-C114-01EB-1326-25B9069EB2A8}"/>
            </a:ext>
          </a:extLst>
        </xdr:cNvPr>
        <xdr:cNvGrpSpPr>
          <a:grpSpLocks/>
        </xdr:cNvGrpSpPr>
      </xdr:nvGrpSpPr>
      <xdr:grpSpPr bwMode="auto">
        <a:xfrm>
          <a:off x="19499580" y="0"/>
          <a:ext cx="5867400" cy="458470"/>
          <a:chOff x="2538" y="0"/>
          <a:chExt cx="592" cy="44"/>
        </a:xfrm>
      </xdr:grpSpPr>
      <xdr:pic>
        <xdr:nvPicPr>
          <xdr:cNvPr id="33102" name="Picture 141" descr="ImagingService">
            <a:extLst>
              <a:ext uri="{FF2B5EF4-FFF2-40B4-BE49-F238E27FC236}">
                <a16:creationId xmlns:a16="http://schemas.microsoft.com/office/drawing/2014/main" id="{68B148A6-CDDF-8C94-8BCB-7EECEF6B311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103" name="Picture 142">
            <a:extLst>
              <a:ext uri="{FF2B5EF4-FFF2-40B4-BE49-F238E27FC236}">
                <a16:creationId xmlns:a16="http://schemas.microsoft.com/office/drawing/2014/main" id="{9DDC7BBD-566B-B8D4-777B-9D6C97178E8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37</xdr:col>
      <xdr:colOff>0</xdr:colOff>
      <xdr:row>0</xdr:row>
      <xdr:rowOff>0</xdr:rowOff>
    </xdr:from>
    <xdr:to>
      <xdr:col>45</xdr:col>
      <xdr:colOff>0</xdr:colOff>
      <xdr:row>2</xdr:row>
      <xdr:rowOff>69850</xdr:rowOff>
    </xdr:to>
    <xdr:grpSp>
      <xdr:nvGrpSpPr>
        <xdr:cNvPr id="33072" name="Group 143">
          <a:extLst>
            <a:ext uri="{FF2B5EF4-FFF2-40B4-BE49-F238E27FC236}">
              <a16:creationId xmlns:a16="http://schemas.microsoft.com/office/drawing/2014/main" id="{BE8055C6-FD92-932D-66CC-2F4F9F314C2E}"/>
            </a:ext>
          </a:extLst>
        </xdr:cNvPr>
        <xdr:cNvGrpSpPr>
          <a:grpSpLocks/>
        </xdr:cNvGrpSpPr>
      </xdr:nvGrpSpPr>
      <xdr:grpSpPr bwMode="auto">
        <a:xfrm>
          <a:off x="25892760" y="0"/>
          <a:ext cx="5867400" cy="458470"/>
          <a:chOff x="2538" y="0"/>
          <a:chExt cx="592" cy="44"/>
        </a:xfrm>
      </xdr:grpSpPr>
      <xdr:pic>
        <xdr:nvPicPr>
          <xdr:cNvPr id="33100" name="Picture 144" descr="ImagingService">
            <a:extLst>
              <a:ext uri="{FF2B5EF4-FFF2-40B4-BE49-F238E27FC236}">
                <a16:creationId xmlns:a16="http://schemas.microsoft.com/office/drawing/2014/main" id="{732D7E79-844E-8AB2-C499-9CA40B68E3B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101" name="Picture 145">
            <a:extLst>
              <a:ext uri="{FF2B5EF4-FFF2-40B4-BE49-F238E27FC236}">
                <a16:creationId xmlns:a16="http://schemas.microsoft.com/office/drawing/2014/main" id="{C649A25A-FE03-A51F-5CB2-CA7712DB2C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46</xdr:col>
      <xdr:colOff>0</xdr:colOff>
      <xdr:row>0</xdr:row>
      <xdr:rowOff>0</xdr:rowOff>
    </xdr:from>
    <xdr:to>
      <xdr:col>54</xdr:col>
      <xdr:colOff>0</xdr:colOff>
      <xdr:row>2</xdr:row>
      <xdr:rowOff>69850</xdr:rowOff>
    </xdr:to>
    <xdr:grpSp>
      <xdr:nvGrpSpPr>
        <xdr:cNvPr id="33073" name="Group 146">
          <a:extLst>
            <a:ext uri="{FF2B5EF4-FFF2-40B4-BE49-F238E27FC236}">
              <a16:creationId xmlns:a16="http://schemas.microsoft.com/office/drawing/2014/main" id="{46BB8077-393F-80E6-4D84-B17767F3B654}"/>
            </a:ext>
          </a:extLst>
        </xdr:cNvPr>
        <xdr:cNvGrpSpPr>
          <a:grpSpLocks/>
        </xdr:cNvGrpSpPr>
      </xdr:nvGrpSpPr>
      <xdr:grpSpPr bwMode="auto">
        <a:xfrm>
          <a:off x="32285940" y="0"/>
          <a:ext cx="5867400" cy="458470"/>
          <a:chOff x="2538" y="0"/>
          <a:chExt cx="592" cy="44"/>
        </a:xfrm>
      </xdr:grpSpPr>
      <xdr:pic>
        <xdr:nvPicPr>
          <xdr:cNvPr id="33098" name="Picture 147" descr="ImagingService">
            <a:extLst>
              <a:ext uri="{FF2B5EF4-FFF2-40B4-BE49-F238E27FC236}">
                <a16:creationId xmlns:a16="http://schemas.microsoft.com/office/drawing/2014/main" id="{FF32FEB9-E0A7-5D74-E627-4EF7653307D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099" name="Picture 148">
            <a:extLst>
              <a:ext uri="{FF2B5EF4-FFF2-40B4-BE49-F238E27FC236}">
                <a16:creationId xmlns:a16="http://schemas.microsoft.com/office/drawing/2014/main" id="{2AD93DB5-634F-DE63-DB86-0AE02A82A6F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55</xdr:col>
      <xdr:colOff>0</xdr:colOff>
      <xdr:row>0</xdr:row>
      <xdr:rowOff>0</xdr:rowOff>
    </xdr:from>
    <xdr:to>
      <xdr:col>63</xdr:col>
      <xdr:colOff>0</xdr:colOff>
      <xdr:row>2</xdr:row>
      <xdr:rowOff>69850</xdr:rowOff>
    </xdr:to>
    <xdr:grpSp>
      <xdr:nvGrpSpPr>
        <xdr:cNvPr id="33074" name="Group 149">
          <a:extLst>
            <a:ext uri="{FF2B5EF4-FFF2-40B4-BE49-F238E27FC236}">
              <a16:creationId xmlns:a16="http://schemas.microsoft.com/office/drawing/2014/main" id="{FFB45A48-0039-2DBC-BE43-D1C8648DE8FD}"/>
            </a:ext>
          </a:extLst>
        </xdr:cNvPr>
        <xdr:cNvGrpSpPr>
          <a:grpSpLocks/>
        </xdr:cNvGrpSpPr>
      </xdr:nvGrpSpPr>
      <xdr:grpSpPr bwMode="auto">
        <a:xfrm>
          <a:off x="38679120" y="0"/>
          <a:ext cx="5867400" cy="458470"/>
          <a:chOff x="2538" y="0"/>
          <a:chExt cx="592" cy="44"/>
        </a:xfrm>
      </xdr:grpSpPr>
      <xdr:pic>
        <xdr:nvPicPr>
          <xdr:cNvPr id="33096" name="Picture 150" descr="ImagingService">
            <a:extLst>
              <a:ext uri="{FF2B5EF4-FFF2-40B4-BE49-F238E27FC236}">
                <a16:creationId xmlns:a16="http://schemas.microsoft.com/office/drawing/2014/main" id="{6C79B8AD-0185-D362-E0E9-3DCE2187D32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097" name="Picture 151">
            <a:extLst>
              <a:ext uri="{FF2B5EF4-FFF2-40B4-BE49-F238E27FC236}">
                <a16:creationId xmlns:a16="http://schemas.microsoft.com/office/drawing/2014/main" id="{D51CE55F-0C44-5090-9A18-9D482E9E4F9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xdr:col>
      <xdr:colOff>0</xdr:colOff>
      <xdr:row>2</xdr:row>
      <xdr:rowOff>44450</xdr:rowOff>
    </xdr:from>
    <xdr:to>
      <xdr:col>6</xdr:col>
      <xdr:colOff>342900</xdr:colOff>
      <xdr:row>4</xdr:row>
      <xdr:rowOff>0</xdr:rowOff>
    </xdr:to>
    <xdr:pic>
      <xdr:nvPicPr>
        <xdr:cNvPr id="33075" name="Picture 152" descr="ImagingService">
          <a:extLst>
            <a:ext uri="{FF2B5EF4-FFF2-40B4-BE49-F238E27FC236}">
              <a16:creationId xmlns:a16="http://schemas.microsoft.com/office/drawing/2014/main" id="{1E4987E2-E803-6E1E-7753-EEB2B5C8032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23850" y="431800"/>
          <a:ext cx="371475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xdr:row>
      <xdr:rowOff>44450</xdr:rowOff>
    </xdr:from>
    <xdr:to>
      <xdr:col>15</xdr:col>
      <xdr:colOff>342900</xdr:colOff>
      <xdr:row>4</xdr:row>
      <xdr:rowOff>0</xdr:rowOff>
    </xdr:to>
    <xdr:pic>
      <xdr:nvPicPr>
        <xdr:cNvPr id="33076" name="Picture 153" descr="ImagingService">
          <a:extLst>
            <a:ext uri="{FF2B5EF4-FFF2-40B4-BE49-F238E27FC236}">
              <a16:creationId xmlns:a16="http://schemas.microsoft.com/office/drawing/2014/main" id="{05734F9F-21E1-1EA0-190F-819BABD9ADA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6515100" y="431800"/>
          <a:ext cx="371475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0</xdr:colOff>
      <xdr:row>2</xdr:row>
      <xdr:rowOff>44450</xdr:rowOff>
    </xdr:from>
    <xdr:to>
      <xdr:col>24</xdr:col>
      <xdr:colOff>342900</xdr:colOff>
      <xdr:row>4</xdr:row>
      <xdr:rowOff>0</xdr:rowOff>
    </xdr:to>
    <xdr:pic>
      <xdr:nvPicPr>
        <xdr:cNvPr id="33077" name="Picture 154" descr="ImagingService">
          <a:extLst>
            <a:ext uri="{FF2B5EF4-FFF2-40B4-BE49-F238E27FC236}">
              <a16:creationId xmlns:a16="http://schemas.microsoft.com/office/drawing/2014/main" id="{C8168173-43DF-388E-F198-B373FC31F57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12706350" y="431800"/>
          <a:ext cx="371475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0</xdr:colOff>
      <xdr:row>2</xdr:row>
      <xdr:rowOff>44450</xdr:rowOff>
    </xdr:from>
    <xdr:to>
      <xdr:col>33</xdr:col>
      <xdr:colOff>342900</xdr:colOff>
      <xdr:row>4</xdr:row>
      <xdr:rowOff>0</xdr:rowOff>
    </xdr:to>
    <xdr:pic>
      <xdr:nvPicPr>
        <xdr:cNvPr id="33078" name="Picture 155" descr="ImagingService">
          <a:extLst>
            <a:ext uri="{FF2B5EF4-FFF2-40B4-BE49-F238E27FC236}">
              <a16:creationId xmlns:a16="http://schemas.microsoft.com/office/drawing/2014/main" id="{F60FFF36-2CC9-827F-FFB1-E2AC729F574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18897600" y="431800"/>
          <a:ext cx="371475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0</xdr:colOff>
      <xdr:row>2</xdr:row>
      <xdr:rowOff>44450</xdr:rowOff>
    </xdr:from>
    <xdr:to>
      <xdr:col>42</xdr:col>
      <xdr:colOff>342900</xdr:colOff>
      <xdr:row>4</xdr:row>
      <xdr:rowOff>0</xdr:rowOff>
    </xdr:to>
    <xdr:pic>
      <xdr:nvPicPr>
        <xdr:cNvPr id="33079" name="Picture 156" descr="ImagingService">
          <a:extLst>
            <a:ext uri="{FF2B5EF4-FFF2-40B4-BE49-F238E27FC236}">
              <a16:creationId xmlns:a16="http://schemas.microsoft.com/office/drawing/2014/main" id="{8B2831A3-744B-D800-5871-8FE59FB51B8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25088850" y="431800"/>
          <a:ext cx="371475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46</xdr:col>
      <xdr:colOff>0</xdr:colOff>
      <xdr:row>2</xdr:row>
      <xdr:rowOff>44450</xdr:rowOff>
    </xdr:from>
    <xdr:to>
      <xdr:col>51</xdr:col>
      <xdr:colOff>342900</xdr:colOff>
      <xdr:row>4</xdr:row>
      <xdr:rowOff>0</xdr:rowOff>
    </xdr:to>
    <xdr:pic>
      <xdr:nvPicPr>
        <xdr:cNvPr id="33080" name="Picture 157" descr="ImagingService">
          <a:extLst>
            <a:ext uri="{FF2B5EF4-FFF2-40B4-BE49-F238E27FC236}">
              <a16:creationId xmlns:a16="http://schemas.microsoft.com/office/drawing/2014/main" id="{DF90C54F-E575-767F-7964-A0378E0984D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1280100" y="431800"/>
          <a:ext cx="371475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55</xdr:col>
      <xdr:colOff>0</xdr:colOff>
      <xdr:row>2</xdr:row>
      <xdr:rowOff>44450</xdr:rowOff>
    </xdr:from>
    <xdr:to>
      <xdr:col>60</xdr:col>
      <xdr:colOff>342900</xdr:colOff>
      <xdr:row>4</xdr:row>
      <xdr:rowOff>0</xdr:rowOff>
    </xdr:to>
    <xdr:pic>
      <xdr:nvPicPr>
        <xdr:cNvPr id="33081" name="Picture 158" descr="ImagingService">
          <a:extLst>
            <a:ext uri="{FF2B5EF4-FFF2-40B4-BE49-F238E27FC236}">
              <a16:creationId xmlns:a16="http://schemas.microsoft.com/office/drawing/2014/main" id="{73C3F53E-2A17-1560-8812-4C8A0A477B3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7471350" y="431800"/>
          <a:ext cx="371475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1035050</xdr:colOff>
      <xdr:row>0</xdr:row>
      <xdr:rowOff>304800</xdr:rowOff>
    </xdr:from>
    <xdr:to>
      <xdr:col>9</xdr:col>
      <xdr:colOff>0</xdr:colOff>
      <xdr:row>3</xdr:row>
      <xdr:rowOff>0</xdr:rowOff>
    </xdr:to>
    <xdr:pic>
      <xdr:nvPicPr>
        <xdr:cNvPr id="33082" name="Picture 159" descr="ImagingService">
          <a:extLst>
            <a:ext uri="{FF2B5EF4-FFF2-40B4-BE49-F238E27FC236}">
              <a16:creationId xmlns:a16="http://schemas.microsoft.com/office/drawing/2014/main" id="{35AB347D-E8BA-124E-04CA-865894574BD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51627" t="15334" r="32927" b="67999"/>
        <a:stretch>
          <a:fillRect/>
        </a:stretch>
      </xdr:blipFill>
      <xdr:spPr bwMode="auto">
        <a:xfrm>
          <a:off x="5219700" y="228600"/>
          <a:ext cx="7620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1035050</xdr:colOff>
      <xdr:row>0</xdr:row>
      <xdr:rowOff>228600</xdr:rowOff>
    </xdr:from>
    <xdr:to>
      <xdr:col>18</xdr:col>
      <xdr:colOff>0</xdr:colOff>
      <xdr:row>3</xdr:row>
      <xdr:rowOff>0</xdr:rowOff>
    </xdr:to>
    <xdr:pic>
      <xdr:nvPicPr>
        <xdr:cNvPr id="33083" name="Picture 160" descr="ImagingService">
          <a:extLst>
            <a:ext uri="{FF2B5EF4-FFF2-40B4-BE49-F238E27FC236}">
              <a16:creationId xmlns:a16="http://schemas.microsoft.com/office/drawing/2014/main" id="{92461EC2-69AA-627B-CCAD-EF0ADBEA5A3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51627" t="15334" r="32927" b="67999"/>
        <a:stretch>
          <a:fillRect/>
        </a:stretch>
      </xdr:blipFill>
      <xdr:spPr bwMode="auto">
        <a:xfrm>
          <a:off x="11410950" y="228600"/>
          <a:ext cx="7620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1028700</xdr:colOff>
      <xdr:row>0</xdr:row>
      <xdr:rowOff>228600</xdr:rowOff>
    </xdr:from>
    <xdr:to>
      <xdr:col>27</xdr:col>
      <xdr:colOff>0</xdr:colOff>
      <xdr:row>3</xdr:row>
      <xdr:rowOff>0</xdr:rowOff>
    </xdr:to>
    <xdr:pic>
      <xdr:nvPicPr>
        <xdr:cNvPr id="33084" name="Picture 161" descr="ImagingService">
          <a:extLst>
            <a:ext uri="{FF2B5EF4-FFF2-40B4-BE49-F238E27FC236}">
              <a16:creationId xmlns:a16="http://schemas.microsoft.com/office/drawing/2014/main" id="{30E91C63-0D02-5A5F-FB12-5A145DDD357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51627" t="15334" r="32927" b="67999"/>
        <a:stretch>
          <a:fillRect/>
        </a:stretch>
      </xdr:blipFill>
      <xdr:spPr bwMode="auto">
        <a:xfrm>
          <a:off x="17602200" y="228600"/>
          <a:ext cx="7620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34</xdr:col>
      <xdr:colOff>1035050</xdr:colOff>
      <xdr:row>0</xdr:row>
      <xdr:rowOff>285750</xdr:rowOff>
    </xdr:from>
    <xdr:to>
      <xdr:col>36</xdr:col>
      <xdr:colOff>0</xdr:colOff>
      <xdr:row>3</xdr:row>
      <xdr:rowOff>0</xdr:rowOff>
    </xdr:to>
    <xdr:pic>
      <xdr:nvPicPr>
        <xdr:cNvPr id="33085" name="Picture 162" descr="ImagingService">
          <a:extLst>
            <a:ext uri="{FF2B5EF4-FFF2-40B4-BE49-F238E27FC236}">
              <a16:creationId xmlns:a16="http://schemas.microsoft.com/office/drawing/2014/main" id="{3A2E3D3F-68C3-BDE6-B3EC-9D50C7BF915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51627" t="15334" r="32927" b="67999"/>
        <a:stretch>
          <a:fillRect/>
        </a:stretch>
      </xdr:blipFill>
      <xdr:spPr bwMode="auto">
        <a:xfrm>
          <a:off x="23793450" y="228600"/>
          <a:ext cx="7620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43</xdr:col>
      <xdr:colOff>1073150</xdr:colOff>
      <xdr:row>0</xdr:row>
      <xdr:rowOff>285750</xdr:rowOff>
    </xdr:from>
    <xdr:to>
      <xdr:col>45</xdr:col>
      <xdr:colOff>0</xdr:colOff>
      <xdr:row>3</xdr:row>
      <xdr:rowOff>0</xdr:rowOff>
    </xdr:to>
    <xdr:pic>
      <xdr:nvPicPr>
        <xdr:cNvPr id="33086" name="Picture 163" descr="ImagingService">
          <a:extLst>
            <a:ext uri="{FF2B5EF4-FFF2-40B4-BE49-F238E27FC236}">
              <a16:creationId xmlns:a16="http://schemas.microsoft.com/office/drawing/2014/main" id="{90534ABB-EDC4-1322-806F-788DD35A4D4D}"/>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51627" t="15334" r="32927" b="67999"/>
        <a:stretch>
          <a:fillRect/>
        </a:stretch>
      </xdr:blipFill>
      <xdr:spPr bwMode="auto">
        <a:xfrm>
          <a:off x="29984700" y="228600"/>
          <a:ext cx="7620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52</xdr:col>
      <xdr:colOff>1035050</xdr:colOff>
      <xdr:row>0</xdr:row>
      <xdr:rowOff>285750</xdr:rowOff>
    </xdr:from>
    <xdr:to>
      <xdr:col>54</xdr:col>
      <xdr:colOff>0</xdr:colOff>
      <xdr:row>3</xdr:row>
      <xdr:rowOff>0</xdr:rowOff>
    </xdr:to>
    <xdr:pic>
      <xdr:nvPicPr>
        <xdr:cNvPr id="33087" name="Picture 164" descr="ImagingService">
          <a:extLst>
            <a:ext uri="{FF2B5EF4-FFF2-40B4-BE49-F238E27FC236}">
              <a16:creationId xmlns:a16="http://schemas.microsoft.com/office/drawing/2014/main" id="{A628D93D-2D5F-F085-79AD-673CDC4B8F7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51627" t="15334" r="32927" b="67999"/>
        <a:stretch>
          <a:fillRect/>
        </a:stretch>
      </xdr:blipFill>
      <xdr:spPr bwMode="auto">
        <a:xfrm>
          <a:off x="36175950" y="228600"/>
          <a:ext cx="7620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61</xdr:col>
      <xdr:colOff>1028700</xdr:colOff>
      <xdr:row>0</xdr:row>
      <xdr:rowOff>285750</xdr:rowOff>
    </xdr:from>
    <xdr:to>
      <xdr:col>63</xdr:col>
      <xdr:colOff>0</xdr:colOff>
      <xdr:row>3</xdr:row>
      <xdr:rowOff>0</xdr:rowOff>
    </xdr:to>
    <xdr:pic>
      <xdr:nvPicPr>
        <xdr:cNvPr id="33088" name="Picture 165" descr="ImagingService">
          <a:extLst>
            <a:ext uri="{FF2B5EF4-FFF2-40B4-BE49-F238E27FC236}">
              <a16:creationId xmlns:a16="http://schemas.microsoft.com/office/drawing/2014/main" id="{1F422977-1010-9934-C962-7DC7ED19881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72629" t="14999" r="11789" b="68001"/>
        <a:stretch>
          <a:fillRect/>
        </a:stretch>
      </xdr:blipFill>
      <xdr:spPr bwMode="auto">
        <a:xfrm>
          <a:off x="42367200" y="228600"/>
          <a:ext cx="76200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60</xdr:col>
      <xdr:colOff>647700</xdr:colOff>
      <xdr:row>51</xdr:row>
      <xdr:rowOff>25400</xdr:rowOff>
    </xdr:from>
    <xdr:to>
      <xdr:col>63</xdr:col>
      <xdr:colOff>0</xdr:colOff>
      <xdr:row>55</xdr:row>
      <xdr:rowOff>0</xdr:rowOff>
    </xdr:to>
    <xdr:pic>
      <xdr:nvPicPr>
        <xdr:cNvPr id="33089" name="1 Imagen">
          <a:extLst>
            <a:ext uri="{FF2B5EF4-FFF2-40B4-BE49-F238E27FC236}">
              <a16:creationId xmlns:a16="http://schemas.microsoft.com/office/drawing/2014/main" id="{BEB5B8AE-69D4-CE88-D474-8ED4C49B96C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1490900" y="9194800"/>
          <a:ext cx="16383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51</xdr:col>
      <xdr:colOff>647700</xdr:colOff>
      <xdr:row>51</xdr:row>
      <xdr:rowOff>25400</xdr:rowOff>
    </xdr:from>
    <xdr:to>
      <xdr:col>54</xdr:col>
      <xdr:colOff>0</xdr:colOff>
      <xdr:row>55</xdr:row>
      <xdr:rowOff>0</xdr:rowOff>
    </xdr:to>
    <xdr:pic>
      <xdr:nvPicPr>
        <xdr:cNvPr id="33090" name="1 Imagen">
          <a:extLst>
            <a:ext uri="{FF2B5EF4-FFF2-40B4-BE49-F238E27FC236}">
              <a16:creationId xmlns:a16="http://schemas.microsoft.com/office/drawing/2014/main" id="{F9180E2D-7EFC-AE90-A6CD-9E3278CEEAD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5299650" y="9194800"/>
          <a:ext cx="16383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42</xdr:col>
      <xdr:colOff>647700</xdr:colOff>
      <xdr:row>51</xdr:row>
      <xdr:rowOff>25400</xdr:rowOff>
    </xdr:from>
    <xdr:to>
      <xdr:col>45</xdr:col>
      <xdr:colOff>0</xdr:colOff>
      <xdr:row>55</xdr:row>
      <xdr:rowOff>0</xdr:rowOff>
    </xdr:to>
    <xdr:pic>
      <xdr:nvPicPr>
        <xdr:cNvPr id="33091" name="1 Imagen">
          <a:extLst>
            <a:ext uri="{FF2B5EF4-FFF2-40B4-BE49-F238E27FC236}">
              <a16:creationId xmlns:a16="http://schemas.microsoft.com/office/drawing/2014/main" id="{C915E38D-7BB1-AB9B-89C6-53DDB3FAAF0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9108400" y="9194800"/>
          <a:ext cx="16383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647700</xdr:colOff>
      <xdr:row>51</xdr:row>
      <xdr:rowOff>25400</xdr:rowOff>
    </xdr:from>
    <xdr:to>
      <xdr:col>36</xdr:col>
      <xdr:colOff>0</xdr:colOff>
      <xdr:row>55</xdr:row>
      <xdr:rowOff>0</xdr:rowOff>
    </xdr:to>
    <xdr:pic>
      <xdr:nvPicPr>
        <xdr:cNvPr id="33092" name="1 Imagen">
          <a:extLst>
            <a:ext uri="{FF2B5EF4-FFF2-40B4-BE49-F238E27FC236}">
              <a16:creationId xmlns:a16="http://schemas.microsoft.com/office/drawing/2014/main" id="{1D009BC2-1FED-DB44-5D91-00BE22EFBA7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2917150" y="9194800"/>
          <a:ext cx="16383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647700</xdr:colOff>
      <xdr:row>51</xdr:row>
      <xdr:rowOff>25400</xdr:rowOff>
    </xdr:from>
    <xdr:to>
      <xdr:col>27</xdr:col>
      <xdr:colOff>0</xdr:colOff>
      <xdr:row>55</xdr:row>
      <xdr:rowOff>0</xdr:rowOff>
    </xdr:to>
    <xdr:pic>
      <xdr:nvPicPr>
        <xdr:cNvPr id="33093" name="1 Imagen">
          <a:extLst>
            <a:ext uri="{FF2B5EF4-FFF2-40B4-BE49-F238E27FC236}">
              <a16:creationId xmlns:a16="http://schemas.microsoft.com/office/drawing/2014/main" id="{E6C51466-9FC2-49EA-6D4D-5ACB431FC6B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6725900" y="9194800"/>
          <a:ext cx="16383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647700</xdr:colOff>
      <xdr:row>51</xdr:row>
      <xdr:rowOff>25400</xdr:rowOff>
    </xdr:from>
    <xdr:to>
      <xdr:col>18</xdr:col>
      <xdr:colOff>0</xdr:colOff>
      <xdr:row>55</xdr:row>
      <xdr:rowOff>0</xdr:rowOff>
    </xdr:to>
    <xdr:pic>
      <xdr:nvPicPr>
        <xdr:cNvPr id="33094" name="1 Imagen">
          <a:extLst>
            <a:ext uri="{FF2B5EF4-FFF2-40B4-BE49-F238E27FC236}">
              <a16:creationId xmlns:a16="http://schemas.microsoft.com/office/drawing/2014/main" id="{A20B6497-9C21-5459-814E-F0124F20DED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534650" y="9194800"/>
          <a:ext cx="16383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647700</xdr:colOff>
      <xdr:row>51</xdr:row>
      <xdr:rowOff>25400</xdr:rowOff>
    </xdr:from>
    <xdr:to>
      <xdr:col>9</xdr:col>
      <xdr:colOff>0</xdr:colOff>
      <xdr:row>55</xdr:row>
      <xdr:rowOff>0</xdr:rowOff>
    </xdr:to>
    <xdr:pic>
      <xdr:nvPicPr>
        <xdr:cNvPr id="33095" name="1 Imagen">
          <a:extLst>
            <a:ext uri="{FF2B5EF4-FFF2-40B4-BE49-F238E27FC236}">
              <a16:creationId xmlns:a16="http://schemas.microsoft.com/office/drawing/2014/main" id="{49F8311E-9FAB-EB84-E6F7-572F3353231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343400" y="9194800"/>
          <a:ext cx="1638300" cy="67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660400</xdr:colOff>
      <xdr:row>3</xdr:row>
      <xdr:rowOff>342900</xdr:rowOff>
    </xdr:from>
    <xdr:to>
      <xdr:col>4</xdr:col>
      <xdr:colOff>381000</xdr:colOff>
      <xdr:row>6</xdr:row>
      <xdr:rowOff>0</xdr:rowOff>
    </xdr:to>
    <xdr:pic>
      <xdr:nvPicPr>
        <xdr:cNvPr id="14809" name="Picture 8" descr="ImagingService">
          <a:extLst>
            <a:ext uri="{FF2B5EF4-FFF2-40B4-BE49-F238E27FC236}">
              <a16:creationId xmlns:a16="http://schemas.microsoft.com/office/drawing/2014/main" id="{3B9F9967-2E79-306F-5AC1-2A1629C256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7398" b="83000"/>
        <a:stretch>
          <a:fillRect/>
        </a:stretch>
      </xdr:blipFill>
      <xdr:spPr bwMode="auto">
        <a:xfrm>
          <a:off x="438150" y="774700"/>
          <a:ext cx="278130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8</xdr:col>
      <xdr:colOff>0</xdr:colOff>
      <xdr:row>2</xdr:row>
      <xdr:rowOff>69850</xdr:rowOff>
    </xdr:to>
    <xdr:grpSp>
      <xdr:nvGrpSpPr>
        <xdr:cNvPr id="14810" name="Group 11">
          <a:extLst>
            <a:ext uri="{FF2B5EF4-FFF2-40B4-BE49-F238E27FC236}">
              <a16:creationId xmlns:a16="http://schemas.microsoft.com/office/drawing/2014/main" id="{51F6A13B-325D-4716-87B1-F7A350C0BAA2}"/>
            </a:ext>
          </a:extLst>
        </xdr:cNvPr>
        <xdr:cNvGrpSpPr>
          <a:grpSpLocks/>
        </xdr:cNvGrpSpPr>
      </xdr:nvGrpSpPr>
      <xdr:grpSpPr bwMode="auto">
        <a:xfrm>
          <a:off x="323273" y="0"/>
          <a:ext cx="5611091" cy="462395"/>
          <a:chOff x="2538" y="0"/>
          <a:chExt cx="592" cy="44"/>
        </a:xfrm>
      </xdr:grpSpPr>
      <xdr:pic>
        <xdr:nvPicPr>
          <xdr:cNvPr id="14814" name="Picture 12" descr="ImagingService">
            <a:extLst>
              <a:ext uri="{FF2B5EF4-FFF2-40B4-BE49-F238E27FC236}">
                <a16:creationId xmlns:a16="http://schemas.microsoft.com/office/drawing/2014/main" id="{193D7DC1-B5A1-E4AF-38D6-A2EBECE7A90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815" name="Picture 13">
            <a:extLst>
              <a:ext uri="{FF2B5EF4-FFF2-40B4-BE49-F238E27FC236}">
                <a16:creationId xmlns:a16="http://schemas.microsoft.com/office/drawing/2014/main" id="{E15E42B4-7FB1-6B48-6921-0979117BD29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xdr:col>
      <xdr:colOff>0</xdr:colOff>
      <xdr:row>2</xdr:row>
      <xdr:rowOff>31750</xdr:rowOff>
    </xdr:from>
    <xdr:to>
      <xdr:col>6</xdr:col>
      <xdr:colOff>0</xdr:colOff>
      <xdr:row>4</xdr:row>
      <xdr:rowOff>0</xdr:rowOff>
    </xdr:to>
    <xdr:pic>
      <xdr:nvPicPr>
        <xdr:cNvPr id="14811" name="Picture 14" descr="ImagingService">
          <a:extLst>
            <a:ext uri="{FF2B5EF4-FFF2-40B4-BE49-F238E27FC236}">
              <a16:creationId xmlns:a16="http://schemas.microsoft.com/office/drawing/2014/main" id="{37E05256-B8DA-181E-D381-DDD9E0ABDE3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23850" y="419100"/>
          <a:ext cx="4114800" cy="35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1016000</xdr:colOff>
      <xdr:row>0</xdr:row>
      <xdr:rowOff>304800</xdr:rowOff>
    </xdr:from>
    <xdr:to>
      <xdr:col>8</xdr:col>
      <xdr:colOff>0</xdr:colOff>
      <xdr:row>3</xdr:row>
      <xdr:rowOff>0</xdr:rowOff>
    </xdr:to>
    <xdr:pic>
      <xdr:nvPicPr>
        <xdr:cNvPr id="14812" name="Picture 15" descr="ImagingService">
          <a:extLst>
            <a:ext uri="{FF2B5EF4-FFF2-40B4-BE49-F238E27FC236}">
              <a16:creationId xmlns:a16="http://schemas.microsoft.com/office/drawing/2014/main" id="{AE9A699B-02A7-83D5-598D-B39B80C43D3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136" t="14667" r="81572" b="67667"/>
        <a:stretch>
          <a:fillRect/>
        </a:stretch>
      </xdr:blipFill>
      <xdr:spPr bwMode="auto">
        <a:xfrm>
          <a:off x="5238750" y="228600"/>
          <a:ext cx="800100" cy="38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1085850</xdr:colOff>
      <xdr:row>57</xdr:row>
      <xdr:rowOff>6350</xdr:rowOff>
    </xdr:from>
    <xdr:to>
      <xdr:col>8</xdr:col>
      <xdr:colOff>0</xdr:colOff>
      <xdr:row>61</xdr:row>
      <xdr:rowOff>0</xdr:rowOff>
    </xdr:to>
    <xdr:pic>
      <xdr:nvPicPr>
        <xdr:cNvPr id="14813" name="1 Imagen">
          <a:extLst>
            <a:ext uri="{FF2B5EF4-FFF2-40B4-BE49-F238E27FC236}">
              <a16:creationId xmlns:a16="http://schemas.microsoft.com/office/drawing/2014/main" id="{79929C71-AE83-3328-63F6-6ADE58749D9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438650" y="9271000"/>
          <a:ext cx="1600200" cy="69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4</xdr:row>
      <xdr:rowOff>6350</xdr:rowOff>
    </xdr:from>
    <xdr:to>
      <xdr:col>2</xdr:col>
      <xdr:colOff>1168400</xdr:colOff>
      <xdr:row>5</xdr:row>
      <xdr:rowOff>139700</xdr:rowOff>
    </xdr:to>
    <xdr:pic>
      <xdr:nvPicPr>
        <xdr:cNvPr id="15834" name="Picture 7" descr="ImagingService">
          <a:extLst>
            <a:ext uri="{FF2B5EF4-FFF2-40B4-BE49-F238E27FC236}">
              <a16:creationId xmlns:a16="http://schemas.microsoft.com/office/drawing/2014/main" id="{DF58FE1D-3FC2-54E7-96C5-396C204A1F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7371" b="85001"/>
        <a:stretch>
          <a:fillRect/>
        </a:stretch>
      </xdr:blipFill>
      <xdr:spPr bwMode="auto">
        <a:xfrm>
          <a:off x="323850" y="819150"/>
          <a:ext cx="112395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7</xdr:col>
      <xdr:colOff>0</xdr:colOff>
      <xdr:row>2</xdr:row>
      <xdr:rowOff>69850</xdr:rowOff>
    </xdr:to>
    <xdr:grpSp>
      <xdr:nvGrpSpPr>
        <xdr:cNvPr id="15835" name="Group 12">
          <a:extLst>
            <a:ext uri="{FF2B5EF4-FFF2-40B4-BE49-F238E27FC236}">
              <a16:creationId xmlns:a16="http://schemas.microsoft.com/office/drawing/2014/main" id="{6062F9CB-943C-25AC-1306-65B7343EB2B6}"/>
            </a:ext>
          </a:extLst>
        </xdr:cNvPr>
        <xdr:cNvGrpSpPr>
          <a:grpSpLocks/>
        </xdr:cNvGrpSpPr>
      </xdr:nvGrpSpPr>
      <xdr:grpSpPr bwMode="auto">
        <a:xfrm>
          <a:off x="320040" y="0"/>
          <a:ext cx="5707380" cy="458470"/>
          <a:chOff x="2538" y="0"/>
          <a:chExt cx="592" cy="44"/>
        </a:xfrm>
      </xdr:grpSpPr>
      <xdr:pic>
        <xdr:nvPicPr>
          <xdr:cNvPr id="15839" name="Picture 13" descr="ImagingService">
            <a:extLst>
              <a:ext uri="{FF2B5EF4-FFF2-40B4-BE49-F238E27FC236}">
                <a16:creationId xmlns:a16="http://schemas.microsoft.com/office/drawing/2014/main" id="{60817648-68FE-D5CC-6455-C27E8D7CF85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6333" r="13280" b="66000"/>
          <a:stretch>
            <a:fillRect/>
          </a:stretch>
        </xdr:blipFill>
        <xdr:spPr bwMode="auto">
          <a:xfrm>
            <a:off x="2601" y="0"/>
            <a:ext cx="529" cy="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840" name="Picture 14">
            <a:extLst>
              <a:ext uri="{FF2B5EF4-FFF2-40B4-BE49-F238E27FC236}">
                <a16:creationId xmlns:a16="http://schemas.microsoft.com/office/drawing/2014/main" id="{464405C1-DE9A-988A-B892-3DA0E74B822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42676" t="52605" r="45215" b="36588"/>
          <a:stretch>
            <a:fillRect/>
          </a:stretch>
        </xdr:blipFill>
        <xdr:spPr bwMode="auto">
          <a:xfrm>
            <a:off x="2538" y="0"/>
            <a:ext cx="64" cy="4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editAs="oneCell">
    <xdr:from>
      <xdr:col>1</xdr:col>
      <xdr:colOff>0</xdr:colOff>
      <xdr:row>2</xdr:row>
      <xdr:rowOff>31750</xdr:rowOff>
    </xdr:from>
    <xdr:to>
      <xdr:col>4</xdr:col>
      <xdr:colOff>1206500</xdr:colOff>
      <xdr:row>3</xdr:row>
      <xdr:rowOff>279400</xdr:rowOff>
    </xdr:to>
    <xdr:pic>
      <xdr:nvPicPr>
        <xdr:cNvPr id="15836" name="Picture 15" descr="ImagingService">
          <a:extLst>
            <a:ext uri="{FF2B5EF4-FFF2-40B4-BE49-F238E27FC236}">
              <a16:creationId xmlns:a16="http://schemas.microsoft.com/office/drawing/2014/main" id="{4568A319-C63C-C7CD-D960-F605F3366AC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t="15334" r="22765" b="66667"/>
        <a:stretch>
          <a:fillRect/>
        </a:stretch>
      </xdr:blipFill>
      <xdr:spPr bwMode="auto">
        <a:xfrm>
          <a:off x="323850" y="419100"/>
          <a:ext cx="4006850" cy="39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1492250</xdr:colOff>
      <xdr:row>0</xdr:row>
      <xdr:rowOff>304800</xdr:rowOff>
    </xdr:from>
    <xdr:to>
      <xdr:col>6</xdr:col>
      <xdr:colOff>1670050</xdr:colOff>
      <xdr:row>2</xdr:row>
      <xdr:rowOff>323850</xdr:rowOff>
    </xdr:to>
    <xdr:pic>
      <xdr:nvPicPr>
        <xdr:cNvPr id="15837" name="Picture 16" descr="ImagingService">
          <a:extLst>
            <a:ext uri="{FF2B5EF4-FFF2-40B4-BE49-F238E27FC236}">
              <a16:creationId xmlns:a16="http://schemas.microsoft.com/office/drawing/2014/main" id="{99B1020C-0A13-D9B0-F48C-3FD6F5B78EC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29268" t="14667" r="53387" b="67667"/>
        <a:stretch>
          <a:fillRect/>
        </a:stretch>
      </xdr:blipFill>
      <xdr:spPr bwMode="auto">
        <a:xfrm>
          <a:off x="5264150" y="228600"/>
          <a:ext cx="876300" cy="38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1612900</xdr:colOff>
      <xdr:row>43</xdr:row>
      <xdr:rowOff>25400</xdr:rowOff>
    </xdr:from>
    <xdr:to>
      <xdr:col>6</xdr:col>
      <xdr:colOff>1200150</xdr:colOff>
      <xdr:row>47</xdr:row>
      <xdr:rowOff>25400</xdr:rowOff>
    </xdr:to>
    <xdr:pic>
      <xdr:nvPicPr>
        <xdr:cNvPr id="15838" name="1 Imagen">
          <a:extLst>
            <a:ext uri="{FF2B5EF4-FFF2-40B4-BE49-F238E27FC236}">
              <a16:creationId xmlns:a16="http://schemas.microsoft.com/office/drawing/2014/main" id="{99FE989C-0C1A-11D4-943F-2F4B799ABD6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330700" y="8959850"/>
          <a:ext cx="1809750" cy="63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914400</xdr:colOff>
      <xdr:row>1</xdr:row>
      <xdr:rowOff>209550</xdr:rowOff>
    </xdr:to>
    <xdr:pic>
      <xdr:nvPicPr>
        <xdr:cNvPr id="16453" name="Picture 1" descr="ImagingService">
          <a:extLst>
            <a:ext uri="{FF2B5EF4-FFF2-40B4-BE49-F238E27FC236}">
              <a16:creationId xmlns:a16="http://schemas.microsoft.com/office/drawing/2014/main" id="{FE7E24B5-4832-3B31-7532-1C832F11FD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0305" b="84746"/>
        <a:stretch>
          <a:fillRect/>
        </a:stretch>
      </xdr:blipFill>
      <xdr:spPr bwMode="auto">
        <a:xfrm>
          <a:off x="0" y="0"/>
          <a:ext cx="7537450" cy="41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indexed="30"/>
  </sheetPr>
  <dimension ref="B1:R60"/>
  <sheetViews>
    <sheetView showGridLines="0" tabSelected="1" zoomScale="115" zoomScaleNormal="115" zoomScaleSheetLayoutView="100" workbookViewId="0">
      <selection activeCell="E12" sqref="E12:I12"/>
    </sheetView>
  </sheetViews>
  <sheetFormatPr baseColWidth="10" defaultColWidth="11.44140625" defaultRowHeight="13.2"/>
  <cols>
    <col min="1" max="1" width="4.21875" customWidth="1"/>
    <col min="2" max="2" width="4.6640625" customWidth="1"/>
    <col min="10" max="10" width="4.21875" customWidth="1"/>
    <col min="11" max="11" width="4.6640625" customWidth="1"/>
  </cols>
  <sheetData>
    <row r="1" spans="2:18" ht="18" customHeight="1">
      <c r="B1" s="81"/>
      <c r="C1" s="81"/>
      <c r="D1" s="82"/>
      <c r="I1" s="182"/>
      <c r="K1" s="81"/>
      <c r="L1" s="81"/>
      <c r="M1" s="82"/>
      <c r="R1" s="180"/>
    </row>
    <row r="2" spans="2:18" ht="12.75" customHeight="1">
      <c r="I2" s="182"/>
      <c r="R2" s="180"/>
    </row>
    <row r="3" spans="2:18" ht="18.75" customHeight="1">
      <c r="B3" s="81"/>
      <c r="D3" s="8"/>
      <c r="I3" s="182"/>
      <c r="K3" s="81"/>
      <c r="L3" s="8"/>
      <c r="M3" s="8"/>
      <c r="R3" s="180"/>
    </row>
    <row r="5" spans="2:18" ht="13.8">
      <c r="B5" s="176"/>
      <c r="C5" s="176"/>
      <c r="D5" s="176"/>
      <c r="E5" s="176"/>
      <c r="K5" s="84"/>
      <c r="M5" s="84"/>
      <c r="N5" s="84"/>
    </row>
    <row r="7" spans="2:18" ht="15" customHeight="1">
      <c r="B7" s="178" t="s">
        <v>253</v>
      </c>
      <c r="C7" s="178"/>
      <c r="D7" s="178"/>
      <c r="E7" s="178"/>
      <c r="F7" s="178"/>
      <c r="G7" s="178"/>
      <c r="H7" s="178"/>
      <c r="I7" s="178"/>
      <c r="K7" s="174" t="s">
        <v>351</v>
      </c>
      <c r="L7" s="174"/>
      <c r="M7" s="174"/>
      <c r="N7" s="174"/>
      <c r="O7" s="174"/>
      <c r="P7" s="174"/>
      <c r="Q7" s="174"/>
      <c r="R7" s="174"/>
    </row>
    <row r="8" spans="2:18" ht="15" customHeight="1">
      <c r="B8" s="178"/>
      <c r="C8" s="178"/>
      <c r="D8" s="178"/>
      <c r="E8" s="178"/>
      <c r="F8" s="178"/>
      <c r="G8" s="178"/>
      <c r="H8" s="178"/>
      <c r="I8" s="178"/>
      <c r="K8" s="174"/>
      <c r="L8" s="174"/>
      <c r="M8" s="174"/>
      <c r="N8" s="174"/>
      <c r="O8" s="174"/>
      <c r="P8" s="174"/>
      <c r="Q8" s="174"/>
      <c r="R8" s="174"/>
    </row>
    <row r="9" spans="2:18" ht="15" customHeight="1">
      <c r="B9" s="51"/>
      <c r="C9" s="51"/>
      <c r="D9" s="51"/>
      <c r="G9" s="51"/>
      <c r="H9" s="51"/>
      <c r="K9" s="174"/>
      <c r="L9" s="174"/>
      <c r="M9" s="174"/>
      <c r="N9" s="174"/>
      <c r="O9" s="174"/>
      <c r="P9" s="174"/>
      <c r="Q9" s="174"/>
      <c r="R9" s="174"/>
    </row>
    <row r="10" spans="2:18" ht="15" customHeight="1">
      <c r="B10" s="176"/>
      <c r="C10" s="176"/>
      <c r="D10" s="176"/>
      <c r="E10" s="176"/>
      <c r="K10" s="174"/>
      <c r="L10" s="174"/>
      <c r="M10" s="174"/>
      <c r="N10" s="174"/>
      <c r="O10" s="174"/>
      <c r="P10" s="174"/>
      <c r="Q10" s="174"/>
      <c r="R10" s="174"/>
    </row>
    <row r="11" spans="2:18" ht="15" customHeight="1">
      <c r="K11" s="174"/>
      <c r="L11" s="174"/>
      <c r="M11" s="174"/>
      <c r="N11" s="174"/>
      <c r="O11" s="174"/>
      <c r="P11" s="174"/>
      <c r="Q11" s="174"/>
      <c r="R11" s="174"/>
    </row>
    <row r="12" spans="2:18" ht="12.75" customHeight="1">
      <c r="B12" s="181"/>
      <c r="C12" s="179"/>
      <c r="D12" s="179"/>
      <c r="E12" s="178" t="s">
        <v>353</v>
      </c>
      <c r="F12" s="178"/>
      <c r="G12" s="178"/>
      <c r="H12" s="178"/>
      <c r="I12" s="178"/>
      <c r="K12" s="174"/>
      <c r="L12" s="174"/>
      <c r="M12" s="174"/>
      <c r="N12" s="174"/>
      <c r="O12" s="174"/>
      <c r="P12" s="174"/>
      <c r="Q12" s="174"/>
      <c r="R12" s="174"/>
    </row>
    <row r="13" spans="2:18" ht="12.75" customHeight="1">
      <c r="B13" s="181"/>
      <c r="C13" s="179"/>
      <c r="D13" s="179"/>
      <c r="E13" s="179"/>
      <c r="F13" s="179"/>
      <c r="G13" s="179"/>
      <c r="H13" s="179"/>
      <c r="I13" s="85"/>
      <c r="K13" s="174"/>
      <c r="L13" s="174"/>
      <c r="M13" s="174"/>
      <c r="N13" s="174"/>
      <c r="O13" s="174"/>
      <c r="P13" s="174"/>
      <c r="Q13" s="174"/>
      <c r="R13" s="174"/>
    </row>
    <row r="14" spans="2:18" ht="12.75" customHeight="1">
      <c r="B14" s="174" t="s">
        <v>355</v>
      </c>
      <c r="C14" s="174"/>
      <c r="D14" s="174"/>
      <c r="E14" s="174"/>
      <c r="F14" s="174"/>
      <c r="G14" s="174"/>
      <c r="H14" s="174"/>
      <c r="I14" s="174"/>
      <c r="K14" s="174"/>
      <c r="L14" s="174"/>
      <c r="M14" s="174"/>
      <c r="N14" s="174"/>
      <c r="O14" s="174"/>
      <c r="P14" s="174"/>
      <c r="Q14" s="174"/>
      <c r="R14" s="174"/>
    </row>
    <row r="15" spans="2:18">
      <c r="B15" s="174"/>
      <c r="C15" s="174"/>
      <c r="D15" s="174"/>
      <c r="E15" s="174"/>
      <c r="F15" s="174"/>
      <c r="G15" s="174"/>
      <c r="H15" s="174"/>
      <c r="I15" s="174"/>
      <c r="K15" s="174"/>
      <c r="L15" s="174"/>
      <c r="M15" s="174"/>
      <c r="N15" s="174"/>
      <c r="O15" s="174"/>
      <c r="P15" s="174"/>
      <c r="Q15" s="174"/>
      <c r="R15" s="174"/>
    </row>
    <row r="16" spans="2:18">
      <c r="B16" s="174"/>
      <c r="C16" s="174"/>
      <c r="D16" s="174"/>
      <c r="E16" s="174"/>
      <c r="F16" s="174"/>
      <c r="G16" s="174"/>
      <c r="H16" s="174"/>
      <c r="I16" s="174"/>
      <c r="K16" s="174"/>
      <c r="L16" s="174"/>
      <c r="M16" s="174"/>
      <c r="N16" s="174"/>
      <c r="O16" s="174"/>
      <c r="P16" s="174"/>
      <c r="Q16" s="174"/>
      <c r="R16" s="174"/>
    </row>
    <row r="17" spans="2:18">
      <c r="B17" s="174"/>
      <c r="C17" s="174"/>
      <c r="D17" s="174"/>
      <c r="E17" s="174"/>
      <c r="F17" s="174"/>
      <c r="G17" s="174"/>
      <c r="H17" s="174"/>
      <c r="I17" s="174"/>
      <c r="K17" s="174"/>
      <c r="L17" s="174"/>
      <c r="M17" s="174"/>
      <c r="N17" s="174"/>
      <c r="O17" s="174"/>
      <c r="P17" s="174"/>
      <c r="Q17" s="174"/>
      <c r="R17" s="174"/>
    </row>
    <row r="18" spans="2:18">
      <c r="B18" s="174"/>
      <c r="C18" s="174"/>
      <c r="D18" s="174"/>
      <c r="E18" s="174"/>
      <c r="F18" s="174"/>
      <c r="G18" s="174"/>
      <c r="H18" s="174"/>
      <c r="I18" s="174"/>
      <c r="K18" s="174"/>
      <c r="L18" s="174"/>
      <c r="M18" s="174"/>
      <c r="N18" s="174"/>
      <c r="O18" s="174"/>
      <c r="P18" s="174"/>
      <c r="Q18" s="174"/>
      <c r="R18" s="174"/>
    </row>
    <row r="19" spans="2:18">
      <c r="B19" s="174"/>
      <c r="C19" s="174"/>
      <c r="D19" s="174"/>
      <c r="E19" s="174"/>
      <c r="F19" s="174"/>
      <c r="G19" s="174"/>
      <c r="H19" s="174"/>
      <c r="I19" s="174"/>
      <c r="K19" s="174"/>
      <c r="L19" s="174"/>
      <c r="M19" s="174"/>
      <c r="N19" s="174"/>
      <c r="O19" s="174"/>
      <c r="P19" s="174"/>
      <c r="Q19" s="174"/>
      <c r="R19" s="174"/>
    </row>
    <row r="20" spans="2:18">
      <c r="K20" s="174"/>
      <c r="L20" s="174"/>
      <c r="M20" s="174"/>
      <c r="N20" s="174"/>
      <c r="O20" s="174"/>
      <c r="P20" s="174"/>
      <c r="Q20" s="174"/>
      <c r="R20" s="174"/>
    </row>
    <row r="21" spans="2:18" ht="12.75" customHeight="1">
      <c r="B21" s="177"/>
      <c r="C21" s="176"/>
      <c r="D21" s="176"/>
      <c r="E21" s="178" t="s">
        <v>354</v>
      </c>
      <c r="F21" s="178"/>
      <c r="G21" s="178"/>
      <c r="H21" s="178"/>
      <c r="I21" s="178"/>
      <c r="K21" s="174"/>
      <c r="L21" s="174"/>
      <c r="M21" s="174"/>
      <c r="N21" s="174"/>
      <c r="O21" s="174"/>
      <c r="P21" s="174"/>
      <c r="Q21" s="174"/>
      <c r="R21" s="174"/>
    </row>
    <row r="22" spans="2:18" ht="12.75" customHeight="1">
      <c r="B22" s="177"/>
      <c r="C22" s="176"/>
      <c r="D22" s="176"/>
      <c r="E22" s="176"/>
      <c r="F22" s="176"/>
      <c r="G22" s="176"/>
      <c r="H22" s="176"/>
      <c r="I22" s="83"/>
      <c r="K22" s="174"/>
      <c r="L22" s="174"/>
      <c r="M22" s="174"/>
      <c r="N22" s="174"/>
      <c r="O22" s="174"/>
      <c r="P22" s="174"/>
      <c r="Q22" s="174"/>
      <c r="R22" s="174"/>
    </row>
    <row r="23" spans="2:18" ht="12.75" customHeight="1">
      <c r="B23" s="174" t="s">
        <v>356</v>
      </c>
      <c r="C23" s="174"/>
      <c r="D23" s="174"/>
      <c r="E23" s="174"/>
      <c r="F23" s="174"/>
      <c r="G23" s="174"/>
      <c r="H23" s="174"/>
      <c r="I23" s="174"/>
      <c r="K23" s="174"/>
      <c r="L23" s="174"/>
      <c r="M23" s="174"/>
      <c r="N23" s="174"/>
      <c r="O23" s="174"/>
      <c r="P23" s="174"/>
      <c r="Q23" s="174"/>
      <c r="R23" s="174"/>
    </row>
    <row r="24" spans="2:18">
      <c r="B24" s="174"/>
      <c r="C24" s="174"/>
      <c r="D24" s="174"/>
      <c r="E24" s="174"/>
      <c r="F24" s="174"/>
      <c r="G24" s="174"/>
      <c r="H24" s="174"/>
      <c r="I24" s="174"/>
      <c r="K24" s="174"/>
      <c r="L24" s="174"/>
      <c r="M24" s="174"/>
      <c r="N24" s="174"/>
      <c r="O24" s="174"/>
      <c r="P24" s="174"/>
      <c r="Q24" s="174"/>
      <c r="R24" s="174"/>
    </row>
    <row r="25" spans="2:18">
      <c r="B25" s="174"/>
      <c r="C25" s="174"/>
      <c r="D25" s="174"/>
      <c r="E25" s="174"/>
      <c r="F25" s="174"/>
      <c r="G25" s="174"/>
      <c r="H25" s="174"/>
      <c r="I25" s="174"/>
      <c r="K25" s="174"/>
      <c r="L25" s="174"/>
      <c r="M25" s="174"/>
      <c r="N25" s="174"/>
      <c r="O25" s="174"/>
      <c r="P25" s="174"/>
      <c r="Q25" s="174"/>
      <c r="R25" s="174"/>
    </row>
    <row r="26" spans="2:18">
      <c r="B26" s="174"/>
      <c r="C26" s="174"/>
      <c r="D26" s="174"/>
      <c r="E26" s="174"/>
      <c r="F26" s="174"/>
      <c r="G26" s="174"/>
      <c r="H26" s="174"/>
      <c r="I26" s="174"/>
      <c r="K26" s="174"/>
      <c r="L26" s="174"/>
      <c r="M26" s="174"/>
      <c r="N26" s="174"/>
      <c r="O26" s="174"/>
      <c r="P26" s="174"/>
      <c r="Q26" s="174"/>
      <c r="R26" s="174"/>
    </row>
    <row r="27" spans="2:18">
      <c r="B27" s="174"/>
      <c r="C27" s="174"/>
      <c r="D27" s="174"/>
      <c r="E27" s="174"/>
      <c r="F27" s="174"/>
      <c r="G27" s="174"/>
      <c r="H27" s="174"/>
      <c r="I27" s="174"/>
      <c r="K27" s="174"/>
      <c r="L27" s="174"/>
      <c r="M27" s="174"/>
      <c r="N27" s="174"/>
      <c r="O27" s="174"/>
      <c r="P27" s="174"/>
      <c r="Q27" s="174"/>
      <c r="R27" s="174"/>
    </row>
    <row r="28" spans="2:18">
      <c r="B28" s="174"/>
      <c r="C28" s="174"/>
      <c r="D28" s="174"/>
      <c r="E28" s="174"/>
      <c r="F28" s="174"/>
      <c r="G28" s="174"/>
      <c r="H28" s="174"/>
      <c r="I28" s="174"/>
      <c r="K28" s="174"/>
      <c r="L28" s="174"/>
      <c r="M28" s="174"/>
      <c r="N28" s="174"/>
      <c r="O28" s="174"/>
      <c r="P28" s="174"/>
      <c r="Q28" s="174"/>
      <c r="R28" s="174"/>
    </row>
    <row r="30" spans="2:18" ht="12.75" customHeight="1">
      <c r="B30" s="177"/>
      <c r="C30" s="176"/>
      <c r="D30" s="176"/>
      <c r="E30" s="178" t="s">
        <v>357</v>
      </c>
      <c r="F30" s="178"/>
      <c r="G30" s="178"/>
      <c r="H30" s="178"/>
      <c r="I30" s="178"/>
      <c r="K30" s="84"/>
      <c r="L30" s="84"/>
      <c r="M30" s="84"/>
      <c r="N30" s="84"/>
    </row>
    <row r="31" spans="2:18" ht="12.75" customHeight="1">
      <c r="B31" s="177"/>
      <c r="C31" s="176"/>
      <c r="D31" s="176"/>
      <c r="E31" s="176"/>
      <c r="F31" s="176"/>
      <c r="G31" s="176"/>
      <c r="H31" s="176"/>
      <c r="I31" s="83"/>
      <c r="K31" s="52"/>
      <c r="N31" s="53"/>
      <c r="O31" s="53"/>
      <c r="P31" s="53"/>
      <c r="Q31" s="53"/>
      <c r="R31" s="53"/>
    </row>
    <row r="32" spans="2:18" ht="12.75" customHeight="1">
      <c r="B32" s="174" t="s">
        <v>358</v>
      </c>
      <c r="C32" s="174"/>
      <c r="D32" s="174"/>
      <c r="E32" s="174"/>
      <c r="F32" s="174"/>
      <c r="G32" s="174"/>
      <c r="H32" s="174"/>
      <c r="I32" s="174"/>
      <c r="K32" s="174" t="s">
        <v>352</v>
      </c>
      <c r="L32" s="174"/>
      <c r="M32" s="174"/>
      <c r="N32" s="174"/>
      <c r="O32" s="174"/>
      <c r="P32" s="174"/>
      <c r="Q32" s="174"/>
      <c r="R32" s="174"/>
    </row>
    <row r="33" spans="2:18">
      <c r="B33" s="174"/>
      <c r="C33" s="174"/>
      <c r="D33" s="174"/>
      <c r="E33" s="174"/>
      <c r="F33" s="174"/>
      <c r="G33" s="174"/>
      <c r="H33" s="174"/>
      <c r="I33" s="174"/>
      <c r="K33" s="174"/>
      <c r="L33" s="174"/>
      <c r="M33" s="174"/>
      <c r="N33" s="174"/>
      <c r="O33" s="174"/>
      <c r="P33" s="174"/>
      <c r="Q33" s="174"/>
      <c r="R33" s="174"/>
    </row>
    <row r="34" spans="2:18">
      <c r="B34" s="174"/>
      <c r="C34" s="174"/>
      <c r="D34" s="174"/>
      <c r="E34" s="174"/>
      <c r="F34" s="174"/>
      <c r="G34" s="174"/>
      <c r="H34" s="174"/>
      <c r="I34" s="174"/>
      <c r="K34" s="174"/>
      <c r="L34" s="174"/>
      <c r="M34" s="174"/>
      <c r="N34" s="174"/>
      <c r="O34" s="174"/>
      <c r="P34" s="174"/>
      <c r="Q34" s="174"/>
      <c r="R34" s="174"/>
    </row>
    <row r="35" spans="2:18">
      <c r="B35" s="174"/>
      <c r="C35" s="174"/>
      <c r="D35" s="174"/>
      <c r="E35" s="174"/>
      <c r="F35" s="174"/>
      <c r="G35" s="174"/>
      <c r="H35" s="174"/>
      <c r="I35" s="174"/>
      <c r="K35" s="174"/>
      <c r="L35" s="174"/>
      <c r="M35" s="174"/>
      <c r="N35" s="174"/>
      <c r="O35" s="174"/>
      <c r="P35" s="174"/>
      <c r="Q35" s="174"/>
      <c r="R35" s="174"/>
    </row>
    <row r="36" spans="2:18">
      <c r="B36" s="174"/>
      <c r="C36" s="174"/>
      <c r="D36" s="174"/>
      <c r="E36" s="174"/>
      <c r="F36" s="174"/>
      <c r="G36" s="174"/>
      <c r="H36" s="174"/>
      <c r="I36" s="174"/>
      <c r="K36" s="174"/>
      <c r="L36" s="174"/>
      <c r="M36" s="174"/>
      <c r="N36" s="174"/>
      <c r="O36" s="174"/>
      <c r="P36" s="174"/>
      <c r="Q36" s="174"/>
      <c r="R36" s="174"/>
    </row>
    <row r="37" spans="2:18">
      <c r="B37" s="174"/>
      <c r="C37" s="174"/>
      <c r="D37" s="174"/>
      <c r="E37" s="174"/>
      <c r="F37" s="174"/>
      <c r="G37" s="174"/>
      <c r="H37" s="174"/>
      <c r="I37" s="174"/>
      <c r="K37" s="174"/>
      <c r="L37" s="174"/>
      <c r="M37" s="174"/>
      <c r="N37" s="174"/>
      <c r="O37" s="174"/>
      <c r="P37" s="174"/>
      <c r="Q37" s="174"/>
      <c r="R37" s="174"/>
    </row>
    <row r="38" spans="2:18">
      <c r="K38" s="174"/>
      <c r="L38" s="174"/>
      <c r="M38" s="174"/>
      <c r="N38" s="174"/>
      <c r="O38" s="174"/>
      <c r="P38" s="174"/>
      <c r="Q38" s="174"/>
      <c r="R38" s="174"/>
    </row>
    <row r="39" spans="2:18" ht="12.75" customHeight="1">
      <c r="B39" s="177"/>
      <c r="C39" s="176"/>
      <c r="D39" s="176"/>
      <c r="E39" s="178" t="s">
        <v>359</v>
      </c>
      <c r="F39" s="178"/>
      <c r="G39" s="178"/>
      <c r="H39" s="178"/>
      <c r="I39" s="178"/>
      <c r="K39" s="174"/>
      <c r="L39" s="174"/>
      <c r="M39" s="174"/>
      <c r="N39" s="174"/>
      <c r="O39" s="174"/>
      <c r="P39" s="174"/>
      <c r="Q39" s="174"/>
      <c r="R39" s="174"/>
    </row>
    <row r="40" spans="2:18" ht="12.75" customHeight="1">
      <c r="B40" s="177"/>
      <c r="C40" s="176"/>
      <c r="D40" s="176"/>
      <c r="E40" s="176"/>
      <c r="F40" s="176"/>
      <c r="G40" s="176"/>
      <c r="H40" s="176"/>
      <c r="I40" s="83"/>
      <c r="K40" s="174"/>
      <c r="L40" s="174"/>
      <c r="M40" s="174"/>
      <c r="N40" s="174"/>
      <c r="O40" s="174"/>
      <c r="P40" s="174"/>
      <c r="Q40" s="174"/>
      <c r="R40" s="174"/>
    </row>
    <row r="41" spans="2:18" ht="12.75" customHeight="1">
      <c r="B41" s="174" t="s">
        <v>360</v>
      </c>
      <c r="C41" s="174"/>
      <c r="D41" s="174"/>
      <c r="E41" s="174"/>
      <c r="F41" s="174"/>
      <c r="G41" s="174"/>
      <c r="H41" s="174"/>
      <c r="I41" s="174"/>
      <c r="K41" s="174"/>
      <c r="L41" s="174"/>
      <c r="M41" s="174"/>
      <c r="N41" s="174"/>
      <c r="O41" s="174"/>
      <c r="P41" s="174"/>
      <c r="Q41" s="174"/>
      <c r="R41" s="174"/>
    </row>
    <row r="42" spans="2:18">
      <c r="B42" s="174"/>
      <c r="C42" s="174"/>
      <c r="D42" s="174"/>
      <c r="E42" s="174"/>
      <c r="F42" s="174"/>
      <c r="G42" s="174"/>
      <c r="H42" s="174"/>
      <c r="I42" s="174"/>
      <c r="K42" s="174"/>
      <c r="L42" s="174"/>
      <c r="M42" s="174"/>
      <c r="N42" s="174"/>
      <c r="O42" s="174"/>
      <c r="P42" s="174"/>
      <c r="Q42" s="174"/>
      <c r="R42" s="174"/>
    </row>
    <row r="43" spans="2:18">
      <c r="B43" s="174"/>
      <c r="C43" s="174"/>
      <c r="D43" s="174"/>
      <c r="E43" s="174"/>
      <c r="F43" s="174"/>
      <c r="G43" s="174"/>
      <c r="H43" s="174"/>
      <c r="I43" s="174"/>
      <c r="K43" s="174"/>
      <c r="L43" s="174"/>
      <c r="M43" s="174"/>
      <c r="N43" s="174"/>
      <c r="O43" s="174"/>
      <c r="P43" s="174"/>
      <c r="Q43" s="174"/>
      <c r="R43" s="174"/>
    </row>
    <row r="44" spans="2:18">
      <c r="B44" s="174"/>
      <c r="C44" s="174"/>
      <c r="D44" s="174"/>
      <c r="E44" s="174"/>
      <c r="F44" s="174"/>
      <c r="G44" s="174"/>
      <c r="H44" s="174"/>
      <c r="I44" s="174"/>
      <c r="K44" s="174"/>
      <c r="L44" s="174"/>
      <c r="M44" s="174"/>
      <c r="N44" s="174"/>
      <c r="O44" s="174"/>
      <c r="P44" s="174"/>
      <c r="Q44" s="174"/>
      <c r="R44" s="174"/>
    </row>
    <row r="45" spans="2:18">
      <c r="B45" s="174"/>
      <c r="C45" s="174"/>
      <c r="D45" s="174"/>
      <c r="E45" s="174"/>
      <c r="F45" s="174"/>
      <c r="G45" s="174"/>
      <c r="H45" s="174"/>
      <c r="I45" s="174"/>
      <c r="K45" s="174"/>
      <c r="L45" s="174"/>
      <c r="M45" s="174"/>
      <c r="N45" s="174"/>
      <c r="O45" s="174"/>
      <c r="P45" s="174"/>
      <c r="Q45" s="174"/>
      <c r="R45" s="174"/>
    </row>
    <row r="46" spans="2:18">
      <c r="B46" s="174"/>
      <c r="C46" s="174"/>
      <c r="D46" s="174"/>
      <c r="E46" s="174"/>
      <c r="F46" s="174"/>
      <c r="G46" s="174"/>
      <c r="H46" s="174"/>
      <c r="I46" s="174"/>
      <c r="K46" s="174"/>
      <c r="L46" s="174"/>
      <c r="M46" s="174"/>
      <c r="N46" s="174"/>
      <c r="O46" s="174"/>
      <c r="P46" s="174"/>
      <c r="Q46" s="174"/>
      <c r="R46" s="174"/>
    </row>
    <row r="47" spans="2:18">
      <c r="K47" s="174"/>
      <c r="L47" s="174"/>
      <c r="M47" s="174"/>
      <c r="N47" s="174"/>
      <c r="O47" s="174"/>
      <c r="P47" s="174"/>
      <c r="Q47" s="174"/>
      <c r="R47" s="174"/>
    </row>
    <row r="48" spans="2:18" ht="12.75" customHeight="1">
      <c r="B48" s="177"/>
      <c r="C48" s="176"/>
      <c r="D48" s="176"/>
      <c r="E48" s="178" t="s">
        <v>361</v>
      </c>
      <c r="F48" s="178"/>
      <c r="G48" s="178"/>
      <c r="H48" s="178"/>
      <c r="I48" s="178"/>
      <c r="K48" s="174"/>
      <c r="L48" s="174"/>
      <c r="M48" s="174"/>
      <c r="N48" s="174"/>
      <c r="O48" s="174"/>
      <c r="P48" s="174"/>
      <c r="Q48" s="174"/>
      <c r="R48" s="174"/>
    </row>
    <row r="49" spans="2:18" ht="12.75" customHeight="1">
      <c r="B49" s="177"/>
      <c r="C49" s="176"/>
      <c r="D49" s="176"/>
      <c r="E49" s="176"/>
      <c r="F49" s="176"/>
      <c r="G49" s="176"/>
      <c r="H49" s="176"/>
      <c r="I49" s="83"/>
      <c r="K49" s="174"/>
      <c r="L49" s="174"/>
      <c r="M49" s="174"/>
      <c r="N49" s="174"/>
      <c r="O49" s="174"/>
      <c r="P49" s="174"/>
      <c r="Q49" s="174"/>
      <c r="R49" s="174"/>
    </row>
    <row r="50" spans="2:18" ht="12.75" customHeight="1">
      <c r="B50" s="174" t="s">
        <v>362</v>
      </c>
      <c r="C50" s="174"/>
      <c r="D50" s="174"/>
      <c r="E50" s="174"/>
      <c r="F50" s="174"/>
      <c r="G50" s="174"/>
      <c r="H50" s="174"/>
      <c r="I50" s="174"/>
      <c r="K50" s="174"/>
      <c r="L50" s="174"/>
      <c r="M50" s="174"/>
      <c r="N50" s="174"/>
      <c r="O50" s="174"/>
      <c r="P50" s="174"/>
      <c r="Q50" s="174"/>
      <c r="R50" s="174"/>
    </row>
    <row r="51" spans="2:18">
      <c r="B51" s="174"/>
      <c r="C51" s="174"/>
      <c r="D51" s="174"/>
      <c r="E51" s="174"/>
      <c r="F51" s="174"/>
      <c r="G51" s="174"/>
      <c r="H51" s="174"/>
      <c r="I51" s="174"/>
      <c r="K51" s="174"/>
      <c r="L51" s="174"/>
      <c r="M51" s="174"/>
      <c r="N51" s="174"/>
      <c r="O51" s="174"/>
      <c r="P51" s="174"/>
      <c r="Q51" s="174"/>
      <c r="R51" s="174"/>
    </row>
    <row r="52" spans="2:18">
      <c r="B52" s="174"/>
      <c r="C52" s="174"/>
      <c r="D52" s="174"/>
      <c r="E52" s="174"/>
      <c r="F52" s="174"/>
      <c r="G52" s="174"/>
      <c r="H52" s="174"/>
      <c r="I52" s="174"/>
      <c r="K52" s="174"/>
      <c r="L52" s="174"/>
      <c r="M52" s="174"/>
      <c r="N52" s="174"/>
      <c r="O52" s="174"/>
      <c r="P52" s="174"/>
      <c r="Q52" s="174"/>
      <c r="R52" s="174"/>
    </row>
    <row r="53" spans="2:18">
      <c r="B53" s="174"/>
      <c r="C53" s="174"/>
      <c r="D53" s="174"/>
      <c r="E53" s="174"/>
      <c r="F53" s="174"/>
      <c r="G53" s="174"/>
      <c r="H53" s="174"/>
      <c r="I53" s="174"/>
      <c r="K53" s="174"/>
      <c r="L53" s="174"/>
      <c r="M53" s="174"/>
      <c r="N53" s="174"/>
      <c r="O53" s="174"/>
      <c r="P53" s="174"/>
      <c r="Q53" s="174"/>
      <c r="R53" s="174"/>
    </row>
    <row r="54" spans="2:18">
      <c r="B54" s="174"/>
      <c r="C54" s="174"/>
      <c r="D54" s="174"/>
      <c r="E54" s="174"/>
      <c r="F54" s="174"/>
      <c r="G54" s="174"/>
      <c r="H54" s="174"/>
      <c r="I54" s="174"/>
      <c r="K54" s="174"/>
      <c r="L54" s="174"/>
      <c r="M54" s="174"/>
      <c r="N54" s="174"/>
      <c r="O54" s="174"/>
      <c r="P54" s="174"/>
      <c r="Q54" s="174"/>
      <c r="R54" s="174"/>
    </row>
    <row r="55" spans="2:18">
      <c r="B55" s="174"/>
      <c r="C55" s="174"/>
      <c r="D55" s="174"/>
      <c r="E55" s="174"/>
      <c r="F55" s="174"/>
      <c r="G55" s="174"/>
      <c r="H55" s="174"/>
      <c r="I55" s="174"/>
      <c r="K55" s="174"/>
      <c r="L55" s="174"/>
      <c r="M55" s="174"/>
      <c r="N55" s="174"/>
      <c r="O55" s="174"/>
      <c r="P55" s="174"/>
      <c r="Q55" s="174"/>
      <c r="R55" s="174"/>
    </row>
    <row r="56" spans="2:18">
      <c r="B56" s="73"/>
      <c r="C56" s="73"/>
      <c r="D56" s="73"/>
      <c r="E56" s="73"/>
      <c r="F56" s="73"/>
      <c r="G56" s="73"/>
      <c r="H56" s="73"/>
      <c r="I56" s="73"/>
    </row>
    <row r="57" spans="2:18">
      <c r="B57" s="175"/>
      <c r="C57" s="175"/>
      <c r="D57" s="175"/>
      <c r="E57" s="175"/>
      <c r="F57" s="175"/>
      <c r="G57" s="175"/>
      <c r="H57" s="175"/>
      <c r="I57" s="175"/>
      <c r="K57" s="175"/>
      <c r="L57" s="175"/>
      <c r="M57" s="175"/>
      <c r="N57" s="175"/>
      <c r="O57" s="175"/>
      <c r="P57" s="175"/>
      <c r="Q57" s="175"/>
      <c r="R57" s="175"/>
    </row>
    <row r="59" spans="2:18" ht="17.399999999999999">
      <c r="B59" s="72"/>
      <c r="K59" s="72"/>
    </row>
    <row r="60" spans="2:18" ht="9.4499999999999993" customHeight="1"/>
  </sheetData>
  <sheetProtection password="F817" sheet="1" objects="1" scenarios="1" selectLockedCells="1"/>
  <mergeCells count="44">
    <mergeCell ref="C21:D21"/>
    <mergeCell ref="G22:H22"/>
    <mergeCell ref="E21:I21"/>
    <mergeCell ref="C22:D22"/>
    <mergeCell ref="E22:F22"/>
    <mergeCell ref="C39:D39"/>
    <mergeCell ref="B39:B40"/>
    <mergeCell ref="E39:I39"/>
    <mergeCell ref="B30:B31"/>
    <mergeCell ref="E30:I30"/>
    <mergeCell ref="C30:D30"/>
    <mergeCell ref="C31:D31"/>
    <mergeCell ref="G49:H49"/>
    <mergeCell ref="B41:I46"/>
    <mergeCell ref="G13:H13"/>
    <mergeCell ref="R1:R3"/>
    <mergeCell ref="B12:B13"/>
    <mergeCell ref="B7:I8"/>
    <mergeCell ref="E12:I12"/>
    <mergeCell ref="I1:I3"/>
    <mergeCell ref="B10:E10"/>
    <mergeCell ref="C13:D13"/>
    <mergeCell ref="C12:D12"/>
    <mergeCell ref="B5:E5"/>
    <mergeCell ref="E13:F13"/>
    <mergeCell ref="B21:B22"/>
    <mergeCell ref="B14:I19"/>
    <mergeCell ref="B23:I28"/>
    <mergeCell ref="B50:I55"/>
    <mergeCell ref="K7:R28"/>
    <mergeCell ref="K32:R55"/>
    <mergeCell ref="B57:I57"/>
    <mergeCell ref="K57:R57"/>
    <mergeCell ref="E31:F31"/>
    <mergeCell ref="G31:H31"/>
    <mergeCell ref="C40:D40"/>
    <mergeCell ref="E40:F40"/>
    <mergeCell ref="G40:H40"/>
    <mergeCell ref="B48:B49"/>
    <mergeCell ref="E48:I48"/>
    <mergeCell ref="B32:I37"/>
    <mergeCell ref="C48:D48"/>
    <mergeCell ref="C49:D49"/>
    <mergeCell ref="E49:F49"/>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indexed="50"/>
  </sheetPr>
  <dimension ref="B1:BZ61"/>
  <sheetViews>
    <sheetView showGridLines="0" zoomScale="115" zoomScaleNormal="115" workbookViewId="0">
      <selection activeCell="BY39" sqref="BY39:BZ39"/>
    </sheetView>
  </sheetViews>
  <sheetFormatPr baseColWidth="10" defaultColWidth="11.44140625" defaultRowHeight="13.2"/>
  <cols>
    <col min="1" max="2" width="4.6640625" customWidth="1"/>
    <col min="10" max="11" width="4.6640625" customWidth="1"/>
    <col min="19" max="20" width="4.6640625" customWidth="1"/>
    <col min="28" max="29" width="4.6640625" customWidth="1"/>
    <col min="37" max="38" width="4.6640625" customWidth="1"/>
    <col min="46" max="47" width="4.6640625" customWidth="1"/>
    <col min="55" max="56" width="4.6640625" customWidth="1"/>
    <col min="64" max="65" width="4.6640625" customWidth="1"/>
    <col min="67" max="78" width="5.6640625" customWidth="1"/>
  </cols>
  <sheetData>
    <row r="1" spans="2:78" ht="18" customHeight="1">
      <c r="B1" s="81"/>
      <c r="C1" s="95"/>
      <c r="D1" s="95"/>
      <c r="I1" s="180"/>
      <c r="K1" s="81"/>
      <c r="L1" s="95"/>
      <c r="M1" s="95"/>
      <c r="R1" s="180"/>
      <c r="T1" s="81"/>
      <c r="U1" s="95"/>
      <c r="V1" s="95"/>
      <c r="AA1" s="180"/>
      <c r="AC1" s="81"/>
      <c r="AD1" s="95"/>
      <c r="AE1" s="95"/>
      <c r="AJ1" s="180"/>
      <c r="AL1" s="81"/>
      <c r="AM1" s="95"/>
      <c r="AN1" s="95"/>
      <c r="AS1" s="180"/>
      <c r="AU1" s="81"/>
      <c r="AV1" s="95"/>
      <c r="AW1" s="95"/>
      <c r="BB1" s="180"/>
      <c r="BD1" s="81"/>
      <c r="BE1" s="95"/>
      <c r="BF1" s="95"/>
      <c r="BK1" s="180"/>
      <c r="BM1" s="204"/>
      <c r="BN1" s="204"/>
      <c r="BO1" s="204"/>
      <c r="BP1" s="204"/>
      <c r="BQ1" s="204"/>
      <c r="BY1" s="180"/>
      <c r="BZ1" s="180"/>
    </row>
    <row r="2" spans="2:78" ht="12.75" customHeight="1">
      <c r="I2" s="180"/>
      <c r="R2" s="180"/>
      <c r="AA2" s="180"/>
      <c r="AJ2" s="180"/>
      <c r="AS2" s="180"/>
      <c r="BB2" s="180"/>
      <c r="BK2" s="180"/>
      <c r="BY2" s="180"/>
      <c r="BZ2" s="180"/>
    </row>
    <row r="3" spans="2:78" ht="18.75" customHeight="1">
      <c r="B3" s="204"/>
      <c r="C3" s="204"/>
      <c r="D3" s="204"/>
      <c r="E3" s="204"/>
      <c r="I3" s="180"/>
      <c r="K3" s="204"/>
      <c r="L3" s="204"/>
      <c r="M3" s="204"/>
      <c r="N3" s="204"/>
      <c r="R3" s="180"/>
      <c r="T3" s="204"/>
      <c r="U3" s="204"/>
      <c r="V3" s="204"/>
      <c r="W3" s="204"/>
      <c r="AA3" s="180"/>
      <c r="AC3" s="204"/>
      <c r="AD3" s="204"/>
      <c r="AE3" s="204"/>
      <c r="AF3" s="204"/>
      <c r="AJ3" s="180"/>
      <c r="AL3" s="204"/>
      <c r="AM3" s="204"/>
      <c r="AN3" s="204"/>
      <c r="AO3" s="204"/>
      <c r="AS3" s="180"/>
      <c r="AU3" s="204"/>
      <c r="AV3" s="204"/>
      <c r="AW3" s="204"/>
      <c r="AX3" s="204"/>
      <c r="BB3" s="180"/>
      <c r="BD3" s="204"/>
      <c r="BE3" s="204"/>
      <c r="BF3" s="204"/>
      <c r="BG3" s="204"/>
      <c r="BK3" s="180"/>
      <c r="BM3" s="96"/>
      <c r="BN3" s="96"/>
      <c r="BO3" s="96"/>
      <c r="BP3" s="96"/>
      <c r="BQ3" s="96"/>
      <c r="BY3" s="180"/>
      <c r="BZ3" s="180"/>
    </row>
    <row r="5" spans="2:78" ht="13.8">
      <c r="B5" s="176"/>
      <c r="C5" s="176"/>
      <c r="D5" s="176"/>
      <c r="E5" s="176"/>
      <c r="K5" s="176"/>
      <c r="L5" s="176"/>
      <c r="M5" s="176"/>
      <c r="N5" s="176"/>
      <c r="T5" s="176"/>
      <c r="U5" s="176"/>
      <c r="V5" s="176"/>
      <c r="W5" s="176"/>
      <c r="AC5" s="176"/>
      <c r="AD5" s="176"/>
      <c r="AE5" s="176"/>
      <c r="AF5" s="176"/>
      <c r="AL5" s="176"/>
      <c r="AM5" s="176"/>
      <c r="AN5" s="176"/>
      <c r="AO5" s="176"/>
      <c r="AU5" s="176"/>
      <c r="AV5" s="176"/>
      <c r="AW5" s="176"/>
      <c r="AX5" s="176"/>
      <c r="AY5" s="97"/>
      <c r="AZ5" s="97"/>
      <c r="BA5" s="97"/>
      <c r="BB5" s="97"/>
      <c r="BD5" s="176"/>
      <c r="BE5" s="176"/>
      <c r="BF5" s="176"/>
      <c r="BG5" s="176"/>
      <c r="BM5" s="176"/>
      <c r="BN5" s="176"/>
      <c r="BO5" s="176"/>
      <c r="BP5" s="176"/>
      <c r="BQ5" s="176"/>
      <c r="BR5" s="176"/>
      <c r="BS5" s="176"/>
      <c r="BT5" s="98"/>
    </row>
    <row r="6" spans="2:78">
      <c r="AU6" s="97"/>
      <c r="AV6" s="97"/>
      <c r="AW6" s="97"/>
      <c r="AY6" s="97"/>
      <c r="AZ6" s="97"/>
      <c r="BA6" s="97"/>
      <c r="BB6" s="97"/>
    </row>
    <row r="7" spans="2:78" ht="13.5" customHeight="1">
      <c r="B7" s="205" t="s">
        <v>0</v>
      </c>
      <c r="C7" s="205"/>
      <c r="D7" s="205"/>
      <c r="E7" s="205"/>
      <c r="F7" s="205"/>
      <c r="G7" s="205"/>
      <c r="H7" s="205"/>
      <c r="I7" s="205"/>
      <c r="K7" s="205" t="s">
        <v>322</v>
      </c>
      <c r="L7" s="205"/>
      <c r="M7" s="205"/>
      <c r="N7" s="205"/>
      <c r="O7" s="205"/>
      <c r="P7" s="205"/>
      <c r="Q7" s="205"/>
      <c r="R7" s="205"/>
      <c r="T7" s="205" t="s">
        <v>460</v>
      </c>
      <c r="U7" s="205"/>
      <c r="V7" s="205"/>
      <c r="W7" s="205"/>
      <c r="X7" s="205"/>
      <c r="Y7" s="205"/>
      <c r="Z7" s="205"/>
      <c r="AA7" s="205"/>
      <c r="AC7" s="61"/>
      <c r="AD7" s="61"/>
      <c r="AE7" s="206" t="s">
        <v>1</v>
      </c>
      <c r="AF7" s="206"/>
      <c r="AG7" s="206" t="s">
        <v>2</v>
      </c>
      <c r="AH7" s="206"/>
      <c r="AI7" s="206" t="s">
        <v>3</v>
      </c>
      <c r="AJ7" s="206"/>
      <c r="AL7" s="174" t="s">
        <v>461</v>
      </c>
      <c r="AM7" s="174"/>
      <c r="AN7" s="174"/>
      <c r="AO7" s="174"/>
      <c r="AP7" s="174"/>
      <c r="AQ7" s="174"/>
      <c r="AR7" s="174"/>
      <c r="AS7" s="174"/>
      <c r="AU7" s="192" t="s">
        <v>13</v>
      </c>
      <c r="AV7" s="192"/>
      <c r="AW7" s="192"/>
      <c r="AX7" s="99"/>
      <c r="AY7" s="99"/>
      <c r="AZ7" s="99"/>
      <c r="BA7" s="99"/>
      <c r="BB7" s="99"/>
      <c r="BD7" s="213"/>
      <c r="BE7" s="213"/>
      <c r="BF7" s="213"/>
      <c r="BG7" s="99"/>
      <c r="BH7" s="99"/>
      <c r="BI7" s="99"/>
      <c r="BJ7" s="99"/>
      <c r="BK7" s="99"/>
      <c r="BM7" s="192" t="s">
        <v>33</v>
      </c>
      <c r="BN7" s="192"/>
      <c r="BO7" s="192"/>
      <c r="BP7" s="192"/>
      <c r="BQ7" s="100"/>
      <c r="BR7" s="100"/>
      <c r="BS7" s="100"/>
      <c r="BT7" s="100"/>
    </row>
    <row r="8" spans="2:78" ht="12.75" customHeight="1">
      <c r="B8" s="205"/>
      <c r="C8" s="205"/>
      <c r="D8" s="205"/>
      <c r="E8" s="205"/>
      <c r="F8" s="205"/>
      <c r="G8" s="205"/>
      <c r="H8" s="205"/>
      <c r="I8" s="205"/>
      <c r="K8" s="205"/>
      <c r="L8" s="205"/>
      <c r="M8" s="205"/>
      <c r="N8" s="205"/>
      <c r="O8" s="205"/>
      <c r="P8" s="205"/>
      <c r="Q8" s="205"/>
      <c r="R8" s="205"/>
      <c r="T8" s="205"/>
      <c r="U8" s="205"/>
      <c r="V8" s="205"/>
      <c r="W8" s="205"/>
      <c r="X8" s="205"/>
      <c r="Y8" s="205"/>
      <c r="Z8" s="205"/>
      <c r="AA8" s="205"/>
      <c r="AC8" s="184" t="s">
        <v>4</v>
      </c>
      <c r="AD8" s="184"/>
      <c r="AE8" s="183" t="s">
        <v>466</v>
      </c>
      <c r="AF8" s="183"/>
      <c r="AG8" s="183" t="s">
        <v>363</v>
      </c>
      <c r="AH8" s="183"/>
      <c r="AI8" s="183" t="s">
        <v>363</v>
      </c>
      <c r="AJ8" s="183"/>
      <c r="AL8" s="174"/>
      <c r="AM8" s="174"/>
      <c r="AN8" s="174"/>
      <c r="AO8" s="174"/>
      <c r="AP8" s="174"/>
      <c r="AQ8" s="174"/>
      <c r="AR8" s="174"/>
      <c r="AS8" s="174"/>
      <c r="AU8" s="174" t="s">
        <v>467</v>
      </c>
      <c r="AV8" s="174"/>
      <c r="AW8" s="174"/>
      <c r="AX8" s="174"/>
      <c r="AY8" s="174"/>
      <c r="AZ8" s="174"/>
      <c r="BA8" s="174"/>
      <c r="BB8" s="174"/>
      <c r="BD8" s="174" t="s">
        <v>255</v>
      </c>
      <c r="BE8" s="174"/>
      <c r="BF8" s="174"/>
      <c r="BG8" s="174"/>
      <c r="BH8" s="174"/>
      <c r="BI8" s="174"/>
      <c r="BJ8" s="174"/>
      <c r="BK8" s="174"/>
    </row>
    <row r="9" spans="2:78">
      <c r="B9" s="205"/>
      <c r="C9" s="205"/>
      <c r="D9" s="205"/>
      <c r="E9" s="205"/>
      <c r="F9" s="205"/>
      <c r="G9" s="205"/>
      <c r="H9" s="205"/>
      <c r="I9" s="205"/>
      <c r="K9" s="205"/>
      <c r="L9" s="205"/>
      <c r="M9" s="205"/>
      <c r="N9" s="205"/>
      <c r="O9" s="205"/>
      <c r="P9" s="205"/>
      <c r="Q9" s="205"/>
      <c r="R9" s="205"/>
      <c r="T9" s="205"/>
      <c r="U9" s="205"/>
      <c r="V9" s="205"/>
      <c r="W9" s="205"/>
      <c r="X9" s="205"/>
      <c r="Y9" s="205"/>
      <c r="Z9" s="205"/>
      <c r="AA9" s="205"/>
      <c r="AC9" s="184" t="s">
        <v>5</v>
      </c>
      <c r="AD9" s="184"/>
      <c r="AE9" s="183">
        <v>100</v>
      </c>
      <c r="AF9" s="183"/>
      <c r="AG9" s="183">
        <v>150</v>
      </c>
      <c r="AH9" s="183"/>
      <c r="AI9" s="183">
        <v>200</v>
      </c>
      <c r="AJ9" s="183"/>
      <c r="AL9" s="174"/>
      <c r="AM9" s="174"/>
      <c r="AN9" s="174"/>
      <c r="AO9" s="174"/>
      <c r="AP9" s="174"/>
      <c r="AQ9" s="174"/>
      <c r="AR9" s="174"/>
      <c r="AS9" s="174"/>
      <c r="AU9" s="99"/>
      <c r="AV9" s="99"/>
      <c r="AW9" s="99"/>
      <c r="AX9" s="99"/>
      <c r="AY9" s="99"/>
      <c r="AZ9" s="99"/>
      <c r="BA9" s="99"/>
      <c r="BB9" s="99"/>
      <c r="BD9" s="174"/>
      <c r="BE9" s="174"/>
      <c r="BF9" s="174"/>
      <c r="BG9" s="174"/>
      <c r="BH9" s="174"/>
      <c r="BI9" s="174"/>
      <c r="BJ9" s="174"/>
      <c r="BK9" s="174"/>
      <c r="BO9" s="203" t="s">
        <v>34</v>
      </c>
      <c r="BP9" s="203"/>
      <c r="BQ9" s="203"/>
      <c r="BR9" s="203" t="s">
        <v>35</v>
      </c>
      <c r="BS9" s="203"/>
      <c r="BT9" s="203"/>
      <c r="BU9" s="203" t="s">
        <v>36</v>
      </c>
      <c r="BV9" s="203"/>
      <c r="BW9" s="203"/>
      <c r="BX9" s="203" t="s">
        <v>37</v>
      </c>
      <c r="BY9" s="203"/>
      <c r="BZ9" s="203"/>
    </row>
    <row r="10" spans="2:78" ht="12.75" customHeight="1">
      <c r="B10" s="205"/>
      <c r="C10" s="205"/>
      <c r="D10" s="205"/>
      <c r="E10" s="205"/>
      <c r="F10" s="205"/>
      <c r="G10" s="205"/>
      <c r="H10" s="205"/>
      <c r="I10" s="205"/>
      <c r="K10" s="205"/>
      <c r="L10" s="205"/>
      <c r="M10" s="205"/>
      <c r="N10" s="205"/>
      <c r="O10" s="205"/>
      <c r="P10" s="205"/>
      <c r="Q10" s="205"/>
      <c r="R10" s="205"/>
      <c r="T10" s="205"/>
      <c r="U10" s="205"/>
      <c r="V10" s="205"/>
      <c r="W10" s="205"/>
      <c r="X10" s="205"/>
      <c r="Y10" s="205"/>
      <c r="Z10" s="205"/>
      <c r="AA10" s="205"/>
      <c r="AC10" s="184" t="s">
        <v>6</v>
      </c>
      <c r="AD10" s="184"/>
      <c r="AE10" s="183" t="s">
        <v>364</v>
      </c>
      <c r="AF10" s="183"/>
      <c r="AG10" s="183" t="s">
        <v>365</v>
      </c>
      <c r="AH10" s="183"/>
      <c r="AI10" s="183" t="s">
        <v>366</v>
      </c>
      <c r="AJ10" s="183"/>
      <c r="AL10" s="174"/>
      <c r="AM10" s="174"/>
      <c r="AN10" s="174"/>
      <c r="AO10" s="174"/>
      <c r="AP10" s="174"/>
      <c r="AQ10" s="174"/>
      <c r="AR10" s="174"/>
      <c r="AS10" s="174"/>
      <c r="AU10" s="192" t="s">
        <v>14</v>
      </c>
      <c r="AV10" s="192"/>
      <c r="AW10" s="192"/>
      <c r="AX10" s="99"/>
      <c r="AY10" s="99"/>
      <c r="AZ10" s="99"/>
      <c r="BA10" s="99"/>
      <c r="BB10" s="99"/>
      <c r="BD10" s="174"/>
      <c r="BE10" s="174"/>
      <c r="BF10" s="174"/>
      <c r="BG10" s="174"/>
      <c r="BH10" s="174"/>
      <c r="BI10" s="174"/>
      <c r="BJ10" s="174"/>
      <c r="BK10" s="174"/>
      <c r="BO10" s="203"/>
      <c r="BP10" s="203"/>
      <c r="BQ10" s="203"/>
      <c r="BR10" s="203"/>
      <c r="BS10" s="203"/>
      <c r="BT10" s="203"/>
      <c r="BU10" s="203"/>
      <c r="BV10" s="203"/>
      <c r="BW10" s="203"/>
      <c r="BX10" s="203"/>
      <c r="BY10" s="203"/>
      <c r="BZ10" s="203"/>
    </row>
    <row r="11" spans="2:78" ht="12.75" customHeight="1">
      <c r="B11" s="205"/>
      <c r="C11" s="205"/>
      <c r="D11" s="205"/>
      <c r="E11" s="205"/>
      <c r="F11" s="205"/>
      <c r="G11" s="205"/>
      <c r="H11" s="205"/>
      <c r="I11" s="205"/>
      <c r="K11" s="205"/>
      <c r="L11" s="205"/>
      <c r="M11" s="205"/>
      <c r="N11" s="205"/>
      <c r="O11" s="205"/>
      <c r="P11" s="205"/>
      <c r="Q11" s="205"/>
      <c r="R11" s="205"/>
      <c r="T11" s="205"/>
      <c r="U11" s="205"/>
      <c r="V11" s="205"/>
      <c r="W11" s="205"/>
      <c r="X11" s="205"/>
      <c r="Y11" s="205"/>
      <c r="Z11" s="205"/>
      <c r="AA11" s="205"/>
      <c r="AC11" s="184" t="s">
        <v>7</v>
      </c>
      <c r="AD11" s="184"/>
      <c r="AE11" s="183" t="s">
        <v>367</v>
      </c>
      <c r="AF11" s="183"/>
      <c r="AG11" s="183" t="s">
        <v>367</v>
      </c>
      <c r="AH11" s="183"/>
      <c r="AI11" s="183" t="s">
        <v>367</v>
      </c>
      <c r="AJ11" s="183"/>
      <c r="AL11" s="174"/>
      <c r="AM11" s="174"/>
      <c r="AN11" s="174"/>
      <c r="AO11" s="174"/>
      <c r="AP11" s="174"/>
      <c r="AQ11" s="174"/>
      <c r="AR11" s="174"/>
      <c r="AS11" s="174"/>
      <c r="AU11" s="174" t="s">
        <v>368</v>
      </c>
      <c r="AV11" s="174"/>
      <c r="AW11" s="174"/>
      <c r="AX11" s="174"/>
      <c r="AY11" s="174"/>
      <c r="AZ11" s="174"/>
      <c r="BA11" s="174"/>
      <c r="BB11" s="174"/>
      <c r="BD11" s="174"/>
      <c r="BE11" s="174"/>
      <c r="BF11" s="174"/>
      <c r="BG11" s="174"/>
      <c r="BH11" s="174"/>
      <c r="BI11" s="174"/>
      <c r="BJ11" s="174"/>
      <c r="BK11" s="174"/>
      <c r="BM11" s="191" t="s">
        <v>38</v>
      </c>
      <c r="BN11" s="191"/>
      <c r="BO11" s="196">
        <v>5</v>
      </c>
      <c r="BP11" s="196"/>
      <c r="BQ11" s="196"/>
      <c r="BR11" s="196">
        <v>100</v>
      </c>
      <c r="BS11" s="196"/>
      <c r="BT11" s="196"/>
      <c r="BU11" s="196">
        <v>500</v>
      </c>
      <c r="BV11" s="196"/>
      <c r="BW11" s="196"/>
      <c r="BX11" s="196">
        <v>100</v>
      </c>
      <c r="BY11" s="196"/>
      <c r="BZ11" s="196"/>
    </row>
    <row r="12" spans="2:78" ht="12.75" customHeight="1">
      <c r="B12" s="205"/>
      <c r="C12" s="205"/>
      <c r="D12" s="205"/>
      <c r="E12" s="205"/>
      <c r="F12" s="205"/>
      <c r="G12" s="205"/>
      <c r="H12" s="205"/>
      <c r="I12" s="205"/>
      <c r="K12" s="205"/>
      <c r="L12" s="205"/>
      <c r="M12" s="205"/>
      <c r="N12" s="205"/>
      <c r="O12" s="205"/>
      <c r="P12" s="205"/>
      <c r="Q12" s="205"/>
      <c r="R12" s="205"/>
      <c r="T12" s="205"/>
      <c r="U12" s="205"/>
      <c r="V12" s="205"/>
      <c r="W12" s="205"/>
      <c r="X12" s="205"/>
      <c r="Y12" s="205"/>
      <c r="Z12" s="205"/>
      <c r="AA12" s="205"/>
      <c r="AC12" s="184" t="s">
        <v>8</v>
      </c>
      <c r="AD12" s="184"/>
      <c r="AE12" s="183" t="s">
        <v>369</v>
      </c>
      <c r="AF12" s="183"/>
      <c r="AG12" s="183" t="s">
        <v>370</v>
      </c>
      <c r="AH12" s="183"/>
      <c r="AI12" s="183" t="s">
        <v>371</v>
      </c>
      <c r="AJ12" s="183"/>
      <c r="AL12" s="174"/>
      <c r="AM12" s="174"/>
      <c r="AN12" s="174"/>
      <c r="AO12" s="174"/>
      <c r="AP12" s="174"/>
      <c r="AQ12" s="174"/>
      <c r="AR12" s="174"/>
      <c r="AS12" s="174"/>
      <c r="AU12" s="174"/>
      <c r="AV12" s="174"/>
      <c r="AW12" s="174"/>
      <c r="AX12" s="174"/>
      <c r="AY12" s="174"/>
      <c r="AZ12" s="174"/>
      <c r="BA12" s="174"/>
      <c r="BB12" s="174"/>
      <c r="BD12" s="174"/>
      <c r="BE12" s="174"/>
      <c r="BF12" s="174"/>
      <c r="BG12" s="174"/>
      <c r="BH12" s="174"/>
      <c r="BI12" s="174"/>
      <c r="BJ12" s="174"/>
      <c r="BK12" s="174"/>
      <c r="BM12" s="191" t="s">
        <v>39</v>
      </c>
      <c r="BN12" s="191"/>
      <c r="BO12" s="196">
        <v>10</v>
      </c>
      <c r="BP12" s="196"/>
      <c r="BQ12" s="196"/>
      <c r="BR12" s="196">
        <v>101</v>
      </c>
      <c r="BS12" s="196"/>
      <c r="BT12" s="196"/>
      <c r="BU12" s="196">
        <v>1010</v>
      </c>
      <c r="BV12" s="196"/>
      <c r="BW12" s="196"/>
      <c r="BX12" s="196">
        <v>101</v>
      </c>
      <c r="BY12" s="196"/>
      <c r="BZ12" s="196"/>
    </row>
    <row r="13" spans="2:78" ht="12.75" customHeight="1">
      <c r="B13" s="205"/>
      <c r="C13" s="205"/>
      <c r="D13" s="205"/>
      <c r="E13" s="205"/>
      <c r="F13" s="205"/>
      <c r="G13" s="205"/>
      <c r="H13" s="205"/>
      <c r="I13" s="205"/>
      <c r="K13" s="205"/>
      <c r="L13" s="205"/>
      <c r="M13" s="205"/>
      <c r="N13" s="205"/>
      <c r="O13" s="205"/>
      <c r="P13" s="205"/>
      <c r="Q13" s="205"/>
      <c r="R13" s="205"/>
      <c r="T13" s="205"/>
      <c r="U13" s="205"/>
      <c r="V13" s="205"/>
      <c r="W13" s="205"/>
      <c r="X13" s="205"/>
      <c r="Y13" s="205"/>
      <c r="Z13" s="205"/>
      <c r="AA13" s="205"/>
      <c r="AC13" s="184" t="s">
        <v>9</v>
      </c>
      <c r="AD13" s="184"/>
      <c r="AE13" s="183" t="s">
        <v>372</v>
      </c>
      <c r="AF13" s="183"/>
      <c r="AG13" s="183" t="s">
        <v>364</v>
      </c>
      <c r="AH13" s="183"/>
      <c r="AI13" s="183" t="s">
        <v>366</v>
      </c>
      <c r="AJ13" s="183"/>
      <c r="AL13" s="174"/>
      <c r="AM13" s="174"/>
      <c r="AN13" s="174"/>
      <c r="AO13" s="174"/>
      <c r="AP13" s="174"/>
      <c r="AQ13" s="174"/>
      <c r="AR13" s="174"/>
      <c r="AS13" s="174"/>
      <c r="AU13" s="99"/>
      <c r="AV13" s="99"/>
      <c r="AW13" s="99"/>
      <c r="AX13" s="99"/>
      <c r="AY13" s="99"/>
      <c r="AZ13" s="99"/>
      <c r="BA13" s="99"/>
      <c r="BB13" s="99"/>
      <c r="BD13" s="214"/>
      <c r="BE13" s="214"/>
      <c r="BF13" s="214"/>
      <c r="BG13" s="214"/>
      <c r="BH13" s="214"/>
      <c r="BI13" s="214"/>
      <c r="BJ13" s="214"/>
      <c r="BK13" s="214"/>
      <c r="BM13" s="191" t="s">
        <v>40</v>
      </c>
      <c r="BN13" s="191"/>
      <c r="BO13" s="196">
        <v>15</v>
      </c>
      <c r="BP13" s="196"/>
      <c r="BQ13" s="196"/>
      <c r="BR13" s="196">
        <v>102</v>
      </c>
      <c r="BS13" s="196"/>
      <c r="BT13" s="196"/>
      <c r="BU13" s="196">
        <v>1530</v>
      </c>
      <c r="BV13" s="196"/>
      <c r="BW13" s="196"/>
      <c r="BX13" s="196">
        <v>102</v>
      </c>
      <c r="BY13" s="196"/>
      <c r="BZ13" s="196"/>
    </row>
    <row r="14" spans="2:78">
      <c r="B14" s="205"/>
      <c r="C14" s="205"/>
      <c r="D14" s="205"/>
      <c r="E14" s="205"/>
      <c r="F14" s="205"/>
      <c r="G14" s="205"/>
      <c r="H14" s="205"/>
      <c r="I14" s="205"/>
      <c r="K14" s="205"/>
      <c r="L14" s="205"/>
      <c r="M14" s="205"/>
      <c r="N14" s="205"/>
      <c r="O14" s="205"/>
      <c r="P14" s="205"/>
      <c r="Q14" s="205"/>
      <c r="R14" s="205"/>
      <c r="T14" s="205"/>
      <c r="U14" s="205"/>
      <c r="V14" s="205"/>
      <c r="W14" s="205"/>
      <c r="X14" s="205"/>
      <c r="Y14" s="205"/>
      <c r="Z14" s="205"/>
      <c r="AA14" s="205"/>
      <c r="AC14" s="184" t="s">
        <v>323</v>
      </c>
      <c r="AD14" s="184"/>
      <c r="AE14" s="183" t="s">
        <v>373</v>
      </c>
      <c r="AF14" s="183"/>
      <c r="AG14" s="183" t="s">
        <v>374</v>
      </c>
      <c r="AH14" s="183"/>
      <c r="AI14" s="183" t="s">
        <v>374</v>
      </c>
      <c r="AJ14" s="183"/>
      <c r="AL14" s="174"/>
      <c r="AM14" s="174"/>
      <c r="AN14" s="174"/>
      <c r="AO14" s="174"/>
      <c r="AP14" s="174"/>
      <c r="AQ14" s="174"/>
      <c r="AR14" s="174"/>
      <c r="AS14" s="174"/>
      <c r="AU14" s="192" t="s">
        <v>15</v>
      </c>
      <c r="AV14" s="192"/>
      <c r="AW14" s="192"/>
      <c r="AX14" s="101"/>
      <c r="AY14" s="101"/>
      <c r="AZ14" s="101"/>
      <c r="BA14" s="101"/>
      <c r="BB14" s="101"/>
      <c r="BD14" s="215"/>
      <c r="BE14" s="215"/>
      <c r="BF14" s="215"/>
      <c r="BG14" s="215"/>
      <c r="BH14" s="215"/>
      <c r="BI14" s="215"/>
      <c r="BJ14" s="215"/>
      <c r="BK14" s="215"/>
      <c r="BM14" s="191" t="s">
        <v>41</v>
      </c>
      <c r="BN14" s="191"/>
      <c r="BO14" s="196">
        <v>20</v>
      </c>
      <c r="BP14" s="196"/>
      <c r="BQ14" s="196"/>
      <c r="BR14" s="196">
        <v>103</v>
      </c>
      <c r="BS14" s="196"/>
      <c r="BT14" s="196"/>
      <c r="BU14" s="196">
        <v>2060</v>
      </c>
      <c r="BV14" s="196"/>
      <c r="BW14" s="196"/>
      <c r="BX14" s="196">
        <v>103</v>
      </c>
      <c r="BY14" s="196"/>
      <c r="BZ14" s="196"/>
    </row>
    <row r="15" spans="2:78">
      <c r="B15" s="205"/>
      <c r="C15" s="205"/>
      <c r="D15" s="205"/>
      <c r="E15" s="205"/>
      <c r="F15" s="205"/>
      <c r="G15" s="205"/>
      <c r="H15" s="205"/>
      <c r="I15" s="205"/>
      <c r="K15" s="205"/>
      <c r="L15" s="205"/>
      <c r="M15" s="205"/>
      <c r="N15" s="205"/>
      <c r="O15" s="205"/>
      <c r="P15" s="205"/>
      <c r="Q15" s="205"/>
      <c r="R15" s="205"/>
      <c r="T15" s="205"/>
      <c r="U15" s="205"/>
      <c r="V15" s="205"/>
      <c r="W15" s="205"/>
      <c r="X15" s="205"/>
      <c r="Y15" s="205"/>
      <c r="Z15" s="205"/>
      <c r="AA15" s="205"/>
      <c r="AC15" s="184" t="s">
        <v>10</v>
      </c>
      <c r="AD15" s="184"/>
      <c r="AE15" s="183" t="s">
        <v>375</v>
      </c>
      <c r="AF15" s="183"/>
      <c r="AG15" s="183" t="s">
        <v>375</v>
      </c>
      <c r="AH15" s="183"/>
      <c r="AI15" s="183" t="s">
        <v>375</v>
      </c>
      <c r="AJ15" s="183"/>
      <c r="AL15" s="174"/>
      <c r="AM15" s="174"/>
      <c r="AN15" s="174"/>
      <c r="AO15" s="174"/>
      <c r="AP15" s="174"/>
      <c r="AQ15" s="174"/>
      <c r="AR15" s="174"/>
      <c r="AS15" s="174"/>
      <c r="AU15" s="211"/>
      <c r="AV15" s="211"/>
      <c r="AW15" s="211"/>
      <c r="AX15" s="211"/>
      <c r="AY15" s="211"/>
      <c r="AZ15" s="211"/>
      <c r="BA15" s="211"/>
      <c r="BB15" s="211"/>
      <c r="BD15" s="215"/>
      <c r="BE15" s="215"/>
      <c r="BF15" s="215"/>
      <c r="BG15" s="215"/>
      <c r="BH15" s="215"/>
      <c r="BI15" s="215"/>
      <c r="BJ15" s="215"/>
      <c r="BK15" s="215"/>
      <c r="BM15" s="191" t="s">
        <v>42</v>
      </c>
      <c r="BN15" s="191"/>
      <c r="BO15" s="196"/>
      <c r="BP15" s="196"/>
      <c r="BQ15" s="196"/>
      <c r="BR15" s="196"/>
      <c r="BS15" s="196"/>
      <c r="BT15" s="196"/>
      <c r="BU15" s="196"/>
      <c r="BV15" s="196"/>
      <c r="BW15" s="196"/>
      <c r="BX15" s="196"/>
      <c r="BY15" s="196"/>
      <c r="BZ15" s="196"/>
    </row>
    <row r="16" spans="2:78">
      <c r="B16" s="205"/>
      <c r="C16" s="205"/>
      <c r="D16" s="205"/>
      <c r="E16" s="205"/>
      <c r="F16" s="205"/>
      <c r="G16" s="205"/>
      <c r="H16" s="205"/>
      <c r="I16" s="205"/>
      <c r="K16" s="205"/>
      <c r="L16" s="205"/>
      <c r="M16" s="205"/>
      <c r="N16" s="205"/>
      <c r="O16" s="205"/>
      <c r="P16" s="205"/>
      <c r="Q16" s="205"/>
      <c r="R16" s="205"/>
      <c r="T16" s="205"/>
      <c r="U16" s="205"/>
      <c r="V16" s="205"/>
      <c r="W16" s="205"/>
      <c r="X16" s="205"/>
      <c r="Y16" s="205"/>
      <c r="Z16" s="205"/>
      <c r="AA16" s="205"/>
      <c r="AC16" s="184" t="s">
        <v>11</v>
      </c>
      <c r="AD16" s="184"/>
      <c r="AE16" s="183" t="s">
        <v>372</v>
      </c>
      <c r="AF16" s="183"/>
      <c r="AG16" s="183" t="s">
        <v>372</v>
      </c>
      <c r="AH16" s="183"/>
      <c r="AI16" s="183" t="s">
        <v>372</v>
      </c>
      <c r="AJ16" s="183"/>
      <c r="AL16" s="174"/>
      <c r="AM16" s="174"/>
      <c r="AN16" s="174"/>
      <c r="AO16" s="174"/>
      <c r="AP16" s="174"/>
      <c r="AQ16" s="174"/>
      <c r="AR16" s="174"/>
      <c r="AS16" s="174"/>
      <c r="AU16" s="211"/>
      <c r="AV16" s="211"/>
      <c r="AW16" s="211"/>
      <c r="AX16" s="211"/>
      <c r="AY16" s="211"/>
      <c r="AZ16" s="211"/>
      <c r="BA16" s="211"/>
      <c r="BB16" s="211"/>
      <c r="BD16" s="215"/>
      <c r="BE16" s="215"/>
      <c r="BF16" s="215"/>
      <c r="BG16" s="215"/>
      <c r="BH16" s="215"/>
      <c r="BI16" s="215"/>
      <c r="BJ16" s="215"/>
      <c r="BK16" s="215"/>
      <c r="BM16" s="191" t="s">
        <v>43</v>
      </c>
      <c r="BN16" s="191"/>
      <c r="BO16" s="196"/>
      <c r="BP16" s="196"/>
      <c r="BQ16" s="196"/>
      <c r="BR16" s="196"/>
      <c r="BS16" s="196"/>
      <c r="BT16" s="196"/>
      <c r="BU16" s="196"/>
      <c r="BV16" s="196"/>
      <c r="BW16" s="196"/>
      <c r="BX16" s="196"/>
      <c r="BY16" s="196"/>
      <c r="BZ16" s="196"/>
    </row>
    <row r="17" spans="2:78">
      <c r="B17" s="205"/>
      <c r="C17" s="205"/>
      <c r="D17" s="205"/>
      <c r="E17" s="205"/>
      <c r="F17" s="205"/>
      <c r="G17" s="205"/>
      <c r="H17" s="205"/>
      <c r="I17" s="205"/>
      <c r="K17" s="205"/>
      <c r="L17" s="205"/>
      <c r="M17" s="205"/>
      <c r="N17" s="205"/>
      <c r="O17" s="205"/>
      <c r="P17" s="205"/>
      <c r="Q17" s="205"/>
      <c r="R17" s="205"/>
      <c r="T17" s="205"/>
      <c r="U17" s="205"/>
      <c r="V17" s="205"/>
      <c r="W17" s="205"/>
      <c r="X17" s="205"/>
      <c r="Y17" s="205"/>
      <c r="Z17" s="205"/>
      <c r="AA17" s="205"/>
      <c r="AC17" s="99"/>
      <c r="AD17" s="99"/>
      <c r="AE17" s="99"/>
      <c r="AF17" s="99"/>
      <c r="AG17" s="99"/>
      <c r="AH17" s="99"/>
      <c r="AI17" s="99"/>
      <c r="AJ17" s="99"/>
      <c r="AL17" s="97"/>
      <c r="AM17" s="97"/>
      <c r="AN17" s="97"/>
      <c r="AO17" s="97"/>
      <c r="AP17" s="97"/>
      <c r="AQ17" s="97"/>
      <c r="AR17" s="97"/>
      <c r="AS17" s="97"/>
      <c r="AU17" s="211"/>
      <c r="AV17" s="211"/>
      <c r="AW17" s="211"/>
      <c r="AX17" s="211"/>
      <c r="AY17" s="211"/>
      <c r="AZ17" s="211"/>
      <c r="BA17" s="211"/>
      <c r="BB17" s="211"/>
      <c r="BD17" s="215"/>
      <c r="BE17" s="215"/>
      <c r="BF17" s="215"/>
      <c r="BG17" s="215"/>
      <c r="BH17" s="215"/>
      <c r="BI17" s="215"/>
      <c r="BJ17" s="215"/>
      <c r="BK17" s="215"/>
      <c r="BM17" s="191" t="s">
        <v>44</v>
      </c>
      <c r="BN17" s="191"/>
      <c r="BO17" s="196"/>
      <c r="BP17" s="196"/>
      <c r="BQ17" s="196"/>
      <c r="BR17" s="196"/>
      <c r="BS17" s="196"/>
      <c r="BT17" s="196"/>
      <c r="BU17" s="196"/>
      <c r="BV17" s="196"/>
      <c r="BW17" s="196"/>
      <c r="BX17" s="196"/>
      <c r="BY17" s="196"/>
      <c r="BZ17" s="196"/>
    </row>
    <row r="18" spans="2:78" ht="13.8">
      <c r="B18" s="205"/>
      <c r="C18" s="205"/>
      <c r="D18" s="205"/>
      <c r="E18" s="205"/>
      <c r="F18" s="205"/>
      <c r="G18" s="205"/>
      <c r="H18" s="205"/>
      <c r="I18" s="205"/>
      <c r="K18" s="205"/>
      <c r="L18" s="205"/>
      <c r="M18" s="205"/>
      <c r="N18" s="205"/>
      <c r="O18" s="205"/>
      <c r="P18" s="205"/>
      <c r="Q18" s="205"/>
      <c r="R18" s="205"/>
      <c r="T18" s="205"/>
      <c r="U18" s="205"/>
      <c r="V18" s="205"/>
      <c r="W18" s="205"/>
      <c r="X18" s="205"/>
      <c r="Y18" s="205"/>
      <c r="Z18" s="205"/>
      <c r="AA18" s="205"/>
      <c r="AC18" s="99"/>
      <c r="AD18" s="99"/>
      <c r="AE18" s="206" t="s">
        <v>1</v>
      </c>
      <c r="AF18" s="206"/>
      <c r="AG18" s="206" t="s">
        <v>2</v>
      </c>
      <c r="AH18" s="206"/>
      <c r="AI18" s="206" t="s">
        <v>3</v>
      </c>
      <c r="AJ18" s="206"/>
      <c r="AL18" s="176"/>
      <c r="AM18" s="176"/>
      <c r="AN18" s="176"/>
      <c r="AO18" s="176"/>
      <c r="AU18" s="211"/>
      <c r="AV18" s="211"/>
      <c r="AW18" s="211"/>
      <c r="AX18" s="211"/>
      <c r="AY18" s="211"/>
      <c r="AZ18" s="211"/>
      <c r="BA18" s="211"/>
      <c r="BB18" s="211"/>
      <c r="BD18" s="215"/>
      <c r="BE18" s="215"/>
      <c r="BF18" s="215"/>
      <c r="BG18" s="215"/>
      <c r="BH18" s="215"/>
      <c r="BI18" s="215"/>
      <c r="BJ18" s="215"/>
      <c r="BK18" s="215"/>
      <c r="BM18" s="191" t="s">
        <v>45</v>
      </c>
      <c r="BN18" s="191"/>
      <c r="BO18" s="196"/>
      <c r="BP18" s="196"/>
      <c r="BQ18" s="196"/>
      <c r="BR18" s="196"/>
      <c r="BS18" s="196"/>
      <c r="BT18" s="196"/>
      <c r="BU18" s="196"/>
      <c r="BV18" s="196"/>
      <c r="BW18" s="196"/>
      <c r="BX18" s="196"/>
      <c r="BY18" s="196"/>
      <c r="BZ18" s="196"/>
    </row>
    <row r="19" spans="2:78">
      <c r="B19" s="205"/>
      <c r="C19" s="205"/>
      <c r="D19" s="205"/>
      <c r="E19" s="205"/>
      <c r="F19" s="205"/>
      <c r="G19" s="205"/>
      <c r="H19" s="205"/>
      <c r="I19" s="205"/>
      <c r="K19" s="205"/>
      <c r="L19" s="205"/>
      <c r="M19" s="205"/>
      <c r="N19" s="205"/>
      <c r="O19" s="205"/>
      <c r="P19" s="205"/>
      <c r="Q19" s="205"/>
      <c r="R19" s="205"/>
      <c r="T19" s="205"/>
      <c r="U19" s="205"/>
      <c r="V19" s="205"/>
      <c r="W19" s="205"/>
      <c r="X19" s="205"/>
      <c r="Y19" s="205"/>
      <c r="Z19" s="205"/>
      <c r="AA19" s="205"/>
      <c r="AC19" s="184" t="s">
        <v>4</v>
      </c>
      <c r="AD19" s="184"/>
      <c r="AE19" s="183" t="s">
        <v>376</v>
      </c>
      <c r="AF19" s="183"/>
      <c r="AG19" s="183" t="s">
        <v>363</v>
      </c>
      <c r="AH19" s="183"/>
      <c r="AI19" s="183" t="s">
        <v>363</v>
      </c>
      <c r="AJ19" s="183"/>
      <c r="AU19" s="211"/>
      <c r="AV19" s="211"/>
      <c r="AW19" s="211"/>
      <c r="AX19" s="211"/>
      <c r="AY19" s="211"/>
      <c r="AZ19" s="211"/>
      <c r="BA19" s="211"/>
      <c r="BB19" s="211"/>
      <c r="BD19" s="215"/>
      <c r="BE19" s="215"/>
      <c r="BF19" s="215"/>
      <c r="BG19" s="215"/>
      <c r="BH19" s="215"/>
      <c r="BI19" s="215"/>
      <c r="BJ19" s="215"/>
      <c r="BK19" s="215"/>
      <c r="BM19" s="191" t="s">
        <v>46</v>
      </c>
      <c r="BN19" s="191"/>
      <c r="BO19" s="196"/>
      <c r="BP19" s="196"/>
      <c r="BQ19" s="196"/>
      <c r="BR19" s="196"/>
      <c r="BS19" s="196"/>
      <c r="BT19" s="196"/>
      <c r="BU19" s="196"/>
      <c r="BV19" s="196"/>
      <c r="BW19" s="196"/>
      <c r="BX19" s="196"/>
      <c r="BY19" s="196"/>
      <c r="BZ19" s="196"/>
    </row>
    <row r="20" spans="2:78" ht="13.5" customHeight="1">
      <c r="B20" s="205"/>
      <c r="C20" s="205"/>
      <c r="D20" s="205"/>
      <c r="E20" s="205"/>
      <c r="F20" s="205"/>
      <c r="G20" s="205"/>
      <c r="H20" s="205"/>
      <c r="I20" s="205"/>
      <c r="K20" s="205"/>
      <c r="L20" s="205"/>
      <c r="M20" s="205"/>
      <c r="N20" s="205"/>
      <c r="O20" s="205"/>
      <c r="P20" s="205"/>
      <c r="Q20" s="205"/>
      <c r="R20" s="205"/>
      <c r="T20" s="205"/>
      <c r="U20" s="205"/>
      <c r="V20" s="205"/>
      <c r="W20" s="205"/>
      <c r="X20" s="205"/>
      <c r="Y20" s="205"/>
      <c r="Z20" s="205"/>
      <c r="AA20" s="205"/>
      <c r="AC20" s="184" t="s">
        <v>5</v>
      </c>
      <c r="AD20" s="184"/>
      <c r="AE20" s="207">
        <v>100</v>
      </c>
      <c r="AF20" s="208"/>
      <c r="AG20" s="207">
        <v>150</v>
      </c>
      <c r="AH20" s="208"/>
      <c r="AI20" s="207">
        <v>200</v>
      </c>
      <c r="AJ20" s="208"/>
      <c r="AL20" s="174" t="s">
        <v>377</v>
      </c>
      <c r="AM20" s="174"/>
      <c r="AN20" s="174"/>
      <c r="AO20" s="174"/>
      <c r="AP20" s="174"/>
      <c r="AQ20" s="174"/>
      <c r="AR20" s="174"/>
      <c r="AS20" s="174"/>
      <c r="AU20" s="211"/>
      <c r="AV20" s="211"/>
      <c r="AW20" s="211"/>
      <c r="AX20" s="211"/>
      <c r="AY20" s="211"/>
      <c r="AZ20" s="211"/>
      <c r="BA20" s="211"/>
      <c r="BB20" s="211"/>
      <c r="BD20" s="215"/>
      <c r="BE20" s="215"/>
      <c r="BF20" s="215"/>
      <c r="BG20" s="215"/>
      <c r="BH20" s="215"/>
      <c r="BI20" s="215"/>
      <c r="BJ20" s="215"/>
      <c r="BK20" s="215"/>
      <c r="BM20" s="191" t="s">
        <v>47</v>
      </c>
      <c r="BN20" s="191"/>
      <c r="BO20" s="196"/>
      <c r="BP20" s="196"/>
      <c r="BQ20" s="196"/>
      <c r="BR20" s="196"/>
      <c r="BS20" s="196"/>
      <c r="BT20" s="196"/>
      <c r="BU20" s="196"/>
      <c r="BV20" s="196"/>
      <c r="BW20" s="196"/>
      <c r="BX20" s="196"/>
      <c r="BY20" s="196"/>
      <c r="BZ20" s="196"/>
    </row>
    <row r="21" spans="2:78" ht="12.75" customHeight="1" thickBot="1">
      <c r="B21" s="205"/>
      <c r="C21" s="205"/>
      <c r="D21" s="205"/>
      <c r="E21" s="205"/>
      <c r="F21" s="205"/>
      <c r="G21" s="205"/>
      <c r="H21" s="205"/>
      <c r="I21" s="205"/>
      <c r="K21" s="205"/>
      <c r="L21" s="205"/>
      <c r="M21" s="205"/>
      <c r="N21" s="205"/>
      <c r="O21" s="205"/>
      <c r="P21" s="205"/>
      <c r="Q21" s="205"/>
      <c r="R21" s="205"/>
      <c r="T21" s="205"/>
      <c r="U21" s="205"/>
      <c r="V21" s="205"/>
      <c r="W21" s="205"/>
      <c r="X21" s="205"/>
      <c r="Y21" s="205"/>
      <c r="Z21" s="205"/>
      <c r="AA21" s="205"/>
      <c r="AC21" s="184" t="s">
        <v>6</v>
      </c>
      <c r="AD21" s="184"/>
      <c r="AE21" s="207" t="s">
        <v>364</v>
      </c>
      <c r="AF21" s="208"/>
      <c r="AG21" s="207" t="s">
        <v>365</v>
      </c>
      <c r="AH21" s="208"/>
      <c r="AI21" s="207" t="s">
        <v>366</v>
      </c>
      <c r="AJ21" s="208"/>
      <c r="AL21" s="174"/>
      <c r="AM21" s="174"/>
      <c r="AN21" s="174"/>
      <c r="AO21" s="174"/>
      <c r="AP21" s="174"/>
      <c r="AQ21" s="174"/>
      <c r="AR21" s="174"/>
      <c r="AS21" s="174"/>
      <c r="AU21" s="211"/>
      <c r="AV21" s="211"/>
      <c r="AW21" s="211"/>
      <c r="AX21" s="211"/>
      <c r="AY21" s="211"/>
      <c r="AZ21" s="211"/>
      <c r="BA21" s="211"/>
      <c r="BB21" s="211"/>
      <c r="BD21" s="215"/>
      <c r="BE21" s="215"/>
      <c r="BF21" s="215"/>
      <c r="BG21" s="215"/>
      <c r="BH21" s="215"/>
      <c r="BI21" s="215"/>
      <c r="BJ21" s="215"/>
      <c r="BK21" s="215"/>
    </row>
    <row r="22" spans="2:78" ht="12.75" customHeight="1" thickBot="1">
      <c r="B22" s="205"/>
      <c r="C22" s="205"/>
      <c r="D22" s="205"/>
      <c r="E22" s="205"/>
      <c r="F22" s="205"/>
      <c r="G22" s="205"/>
      <c r="H22" s="205"/>
      <c r="I22" s="205"/>
      <c r="K22" s="205"/>
      <c r="L22" s="205"/>
      <c r="M22" s="205"/>
      <c r="N22" s="205"/>
      <c r="O22" s="205"/>
      <c r="P22" s="205"/>
      <c r="Q22" s="205"/>
      <c r="R22" s="205"/>
      <c r="T22" s="205"/>
      <c r="U22" s="205"/>
      <c r="V22" s="205"/>
      <c r="W22" s="205"/>
      <c r="X22" s="205"/>
      <c r="Y22" s="205"/>
      <c r="Z22" s="205"/>
      <c r="AA22" s="205"/>
      <c r="AC22" s="184" t="s">
        <v>7</v>
      </c>
      <c r="AD22" s="184"/>
      <c r="AE22" s="207" t="s">
        <v>378</v>
      </c>
      <c r="AF22" s="208"/>
      <c r="AG22" s="207" t="s">
        <v>379</v>
      </c>
      <c r="AH22" s="208"/>
      <c r="AI22" s="207" t="s">
        <v>372</v>
      </c>
      <c r="AJ22" s="208"/>
      <c r="AL22" s="174"/>
      <c r="AM22" s="174"/>
      <c r="AN22" s="174"/>
      <c r="AO22" s="174"/>
      <c r="AP22" s="174"/>
      <c r="AQ22" s="174"/>
      <c r="AR22" s="174"/>
      <c r="AS22" s="174"/>
      <c r="AU22" s="211"/>
      <c r="AV22" s="211"/>
      <c r="AW22" s="211"/>
      <c r="AX22" s="211"/>
      <c r="AY22" s="211"/>
      <c r="AZ22" s="211"/>
      <c r="BA22" s="211"/>
      <c r="BB22" s="211"/>
      <c r="BD22" s="215"/>
      <c r="BE22" s="215"/>
      <c r="BF22" s="215"/>
      <c r="BG22" s="215"/>
      <c r="BH22" s="215"/>
      <c r="BI22" s="215"/>
      <c r="BJ22" s="215"/>
      <c r="BK22" s="215"/>
      <c r="BM22" s="192" t="s">
        <v>48</v>
      </c>
      <c r="BN22" s="192"/>
      <c r="BO22" s="192"/>
      <c r="BP22" s="192"/>
      <c r="BQ22" s="192"/>
      <c r="BR22" s="200" t="s">
        <v>454</v>
      </c>
      <c r="BS22" s="201"/>
      <c r="BT22" s="201"/>
      <c r="BU22" s="201"/>
      <c r="BV22" s="201"/>
      <c r="BW22" s="201"/>
      <c r="BX22" s="201"/>
      <c r="BY22" s="201"/>
      <c r="BZ22" s="202"/>
    </row>
    <row r="23" spans="2:78">
      <c r="B23" s="205"/>
      <c r="C23" s="205"/>
      <c r="D23" s="205"/>
      <c r="E23" s="205"/>
      <c r="F23" s="205"/>
      <c r="G23" s="205"/>
      <c r="H23" s="205"/>
      <c r="I23" s="205"/>
      <c r="K23" s="205"/>
      <c r="L23" s="205"/>
      <c r="M23" s="205"/>
      <c r="N23" s="205"/>
      <c r="O23" s="205"/>
      <c r="P23" s="205"/>
      <c r="Q23" s="205"/>
      <c r="R23" s="205"/>
      <c r="T23" s="205"/>
      <c r="U23" s="205"/>
      <c r="V23" s="205"/>
      <c r="W23" s="205"/>
      <c r="X23" s="205"/>
      <c r="Y23" s="205"/>
      <c r="Z23" s="205"/>
      <c r="AA23" s="205"/>
      <c r="AC23" s="184" t="s">
        <v>8</v>
      </c>
      <c r="AD23" s="184"/>
      <c r="AE23" s="207" t="s">
        <v>260</v>
      </c>
      <c r="AF23" s="208"/>
      <c r="AG23" s="207" t="s">
        <v>380</v>
      </c>
      <c r="AH23" s="208"/>
      <c r="AI23" s="207" t="s">
        <v>381</v>
      </c>
      <c r="AJ23" s="208"/>
      <c r="AL23" s="174"/>
      <c r="AM23" s="174"/>
      <c r="AN23" s="174"/>
      <c r="AO23" s="174"/>
      <c r="AP23" s="174"/>
      <c r="AQ23" s="174"/>
      <c r="AR23" s="174"/>
      <c r="AS23" s="174"/>
      <c r="AU23" s="211"/>
      <c r="AV23" s="211"/>
      <c r="AW23" s="211"/>
      <c r="AX23" s="211"/>
      <c r="AY23" s="211"/>
      <c r="AZ23" s="211"/>
      <c r="BA23" s="211"/>
      <c r="BB23" s="211"/>
      <c r="BD23" s="215"/>
      <c r="BE23" s="215"/>
      <c r="BF23" s="215"/>
      <c r="BG23" s="215"/>
      <c r="BH23" s="215"/>
      <c r="BI23" s="215"/>
      <c r="BJ23" s="215"/>
      <c r="BK23" s="215"/>
    </row>
    <row r="24" spans="2:78">
      <c r="B24" s="205"/>
      <c r="C24" s="205"/>
      <c r="D24" s="205"/>
      <c r="E24" s="205"/>
      <c r="F24" s="205"/>
      <c r="G24" s="205"/>
      <c r="H24" s="205"/>
      <c r="I24" s="205"/>
      <c r="K24" s="205"/>
      <c r="L24" s="205"/>
      <c r="M24" s="205"/>
      <c r="N24" s="205"/>
      <c r="O24" s="205"/>
      <c r="P24" s="205"/>
      <c r="Q24" s="205"/>
      <c r="R24" s="205"/>
      <c r="T24" s="205"/>
      <c r="U24" s="205"/>
      <c r="V24" s="205"/>
      <c r="W24" s="205"/>
      <c r="X24" s="205"/>
      <c r="Y24" s="205"/>
      <c r="Z24" s="205"/>
      <c r="AA24" s="205"/>
      <c r="AC24" s="184" t="s">
        <v>9</v>
      </c>
      <c r="AD24" s="184"/>
      <c r="AE24" s="207" t="s">
        <v>366</v>
      </c>
      <c r="AF24" s="208"/>
      <c r="AG24" s="207" t="s">
        <v>364</v>
      </c>
      <c r="AH24" s="208"/>
      <c r="AI24" s="207" t="s">
        <v>372</v>
      </c>
      <c r="AJ24" s="208"/>
      <c r="AL24" s="174"/>
      <c r="AM24" s="174"/>
      <c r="AN24" s="174"/>
      <c r="AO24" s="174"/>
      <c r="AP24" s="174"/>
      <c r="AQ24" s="174"/>
      <c r="AR24" s="174"/>
      <c r="AS24" s="174"/>
      <c r="AU24" s="211"/>
      <c r="AV24" s="211"/>
      <c r="AW24" s="211"/>
      <c r="AX24" s="211"/>
      <c r="AY24" s="211"/>
      <c r="AZ24" s="211"/>
      <c r="BA24" s="211"/>
      <c r="BB24" s="211"/>
      <c r="BD24" s="215"/>
      <c r="BE24" s="215"/>
      <c r="BF24" s="215"/>
      <c r="BG24" s="215"/>
      <c r="BH24" s="215"/>
      <c r="BI24" s="215"/>
      <c r="BJ24" s="215"/>
      <c r="BK24" s="215"/>
      <c r="BM24" s="191" t="s">
        <v>49</v>
      </c>
      <c r="BN24" s="191"/>
      <c r="BO24" s="193">
        <v>1</v>
      </c>
      <c r="BP24" s="193"/>
      <c r="BQ24" s="193">
        <v>2</v>
      </c>
      <c r="BR24" s="193"/>
      <c r="BS24" s="193">
        <v>3</v>
      </c>
      <c r="BT24" s="193"/>
      <c r="BU24" s="193">
        <v>4</v>
      </c>
      <c r="BV24" s="193"/>
      <c r="BW24" s="193">
        <v>5</v>
      </c>
      <c r="BX24" s="193"/>
      <c r="BY24" s="193">
        <v>6</v>
      </c>
      <c r="BZ24" s="193"/>
    </row>
    <row r="25" spans="2:78">
      <c r="B25" s="205"/>
      <c r="C25" s="205"/>
      <c r="D25" s="205"/>
      <c r="E25" s="205"/>
      <c r="F25" s="205"/>
      <c r="G25" s="205"/>
      <c r="H25" s="205"/>
      <c r="I25" s="205"/>
      <c r="K25" s="205"/>
      <c r="L25" s="205"/>
      <c r="M25" s="205"/>
      <c r="N25" s="205"/>
      <c r="O25" s="205"/>
      <c r="P25" s="205"/>
      <c r="Q25" s="205"/>
      <c r="R25" s="205"/>
      <c r="T25" s="205"/>
      <c r="U25" s="205"/>
      <c r="V25" s="205"/>
      <c r="W25" s="205"/>
      <c r="X25" s="205"/>
      <c r="Y25" s="205"/>
      <c r="Z25" s="205"/>
      <c r="AA25" s="205"/>
      <c r="AC25" s="184" t="s">
        <v>323</v>
      </c>
      <c r="AD25" s="184"/>
      <c r="AE25" s="207" t="s">
        <v>374</v>
      </c>
      <c r="AF25" s="208"/>
      <c r="AG25" s="207" t="s">
        <v>374</v>
      </c>
      <c r="AH25" s="208"/>
      <c r="AI25" s="207" t="s">
        <v>374</v>
      </c>
      <c r="AJ25" s="208"/>
      <c r="AL25" s="174"/>
      <c r="AM25" s="174"/>
      <c r="AN25" s="174"/>
      <c r="AO25" s="174"/>
      <c r="AP25" s="174"/>
      <c r="AQ25" s="174"/>
      <c r="AR25" s="174"/>
      <c r="AS25" s="174"/>
      <c r="AU25" s="211"/>
      <c r="AV25" s="211"/>
      <c r="AW25" s="211"/>
      <c r="AX25" s="211"/>
      <c r="AY25" s="211"/>
      <c r="AZ25" s="211"/>
      <c r="BA25" s="211"/>
      <c r="BB25" s="211"/>
      <c r="BD25" s="215"/>
      <c r="BE25" s="215"/>
      <c r="BF25" s="215"/>
      <c r="BG25" s="215"/>
      <c r="BH25" s="215"/>
      <c r="BI25" s="215"/>
      <c r="BJ25" s="215"/>
      <c r="BK25" s="215"/>
      <c r="BM25" s="191" t="s">
        <v>51</v>
      </c>
      <c r="BN25" s="191"/>
      <c r="BO25" s="198">
        <v>5000</v>
      </c>
      <c r="BP25" s="199"/>
      <c r="BQ25" s="198">
        <v>8000</v>
      </c>
      <c r="BR25" s="199"/>
      <c r="BS25" s="198">
        <v>10000</v>
      </c>
      <c r="BT25" s="199"/>
      <c r="BU25" s="198">
        <v>15000</v>
      </c>
      <c r="BV25" s="199"/>
      <c r="BW25" s="198">
        <v>12000</v>
      </c>
      <c r="BX25" s="199"/>
      <c r="BY25" s="198">
        <v>3000</v>
      </c>
      <c r="BZ25" s="199"/>
    </row>
    <row r="26" spans="2:78">
      <c r="B26" s="205"/>
      <c r="C26" s="205"/>
      <c r="D26" s="205"/>
      <c r="E26" s="205"/>
      <c r="F26" s="205"/>
      <c r="G26" s="205"/>
      <c r="H26" s="205"/>
      <c r="I26" s="205"/>
      <c r="K26" s="205"/>
      <c r="L26" s="205"/>
      <c r="M26" s="205"/>
      <c r="N26" s="205"/>
      <c r="O26" s="205"/>
      <c r="P26" s="205"/>
      <c r="Q26" s="205"/>
      <c r="R26" s="205"/>
      <c r="T26" s="205"/>
      <c r="U26" s="205"/>
      <c r="V26" s="205"/>
      <c r="W26" s="205"/>
      <c r="X26" s="205"/>
      <c r="Y26" s="205"/>
      <c r="Z26" s="205"/>
      <c r="AA26" s="205"/>
      <c r="AC26" s="184" t="s">
        <v>10</v>
      </c>
      <c r="AD26" s="184"/>
      <c r="AE26" s="207" t="s">
        <v>374</v>
      </c>
      <c r="AF26" s="208"/>
      <c r="AG26" s="207" t="s">
        <v>374</v>
      </c>
      <c r="AH26" s="208"/>
      <c r="AI26" s="207" t="s">
        <v>374</v>
      </c>
      <c r="AJ26" s="208"/>
      <c r="AL26" s="174"/>
      <c r="AM26" s="174"/>
      <c r="AN26" s="174"/>
      <c r="AO26" s="174"/>
      <c r="AP26" s="174"/>
      <c r="AQ26" s="174"/>
      <c r="AR26" s="174"/>
      <c r="AS26" s="174"/>
      <c r="AU26" s="211"/>
      <c r="AV26" s="211"/>
      <c r="AW26" s="211"/>
      <c r="AX26" s="211"/>
      <c r="AY26" s="211"/>
      <c r="AZ26" s="211"/>
      <c r="BA26" s="211"/>
      <c r="BB26" s="211"/>
      <c r="BD26" s="215"/>
      <c r="BE26" s="215"/>
      <c r="BF26" s="215"/>
      <c r="BG26" s="215"/>
      <c r="BH26" s="215"/>
      <c r="BI26" s="215"/>
      <c r="BJ26" s="215"/>
      <c r="BK26" s="215"/>
      <c r="BM26" s="179"/>
      <c r="BN26" s="179"/>
      <c r="BO26" s="197"/>
      <c r="BP26" s="197"/>
      <c r="BQ26" s="197"/>
      <c r="BR26" s="197"/>
      <c r="BS26" s="197"/>
      <c r="BT26" s="197"/>
      <c r="BU26" s="197"/>
      <c r="BV26" s="197"/>
      <c r="BW26" s="197"/>
      <c r="BX26" s="197"/>
      <c r="BY26" s="197"/>
      <c r="BZ26" s="197"/>
    </row>
    <row r="27" spans="2:78">
      <c r="B27" s="205"/>
      <c r="C27" s="205"/>
      <c r="D27" s="205"/>
      <c r="E27" s="205"/>
      <c r="F27" s="205"/>
      <c r="G27" s="205"/>
      <c r="H27" s="205"/>
      <c r="I27" s="205"/>
      <c r="K27" s="205"/>
      <c r="L27" s="205"/>
      <c r="M27" s="205"/>
      <c r="N27" s="205"/>
      <c r="O27" s="205"/>
      <c r="P27" s="205"/>
      <c r="Q27" s="205"/>
      <c r="R27" s="205"/>
      <c r="T27" s="205"/>
      <c r="U27" s="205"/>
      <c r="V27" s="205"/>
      <c r="W27" s="205"/>
      <c r="X27" s="205"/>
      <c r="Y27" s="205"/>
      <c r="Z27" s="205"/>
      <c r="AA27" s="205"/>
      <c r="AC27" s="184" t="s">
        <v>11</v>
      </c>
      <c r="AD27" s="184"/>
      <c r="AE27" s="207" t="s">
        <v>364</v>
      </c>
      <c r="AF27" s="208"/>
      <c r="AG27" s="207" t="s">
        <v>365</v>
      </c>
      <c r="AH27" s="208"/>
      <c r="AI27" s="207" t="s">
        <v>372</v>
      </c>
      <c r="AJ27" s="208"/>
      <c r="AL27" s="174"/>
      <c r="AM27" s="174"/>
      <c r="AN27" s="174"/>
      <c r="AO27" s="174"/>
      <c r="AP27" s="174"/>
      <c r="AQ27" s="174"/>
      <c r="AR27" s="174"/>
      <c r="AS27" s="174"/>
      <c r="AU27" s="211"/>
      <c r="AV27" s="211"/>
      <c r="AW27" s="211"/>
      <c r="AX27" s="211"/>
      <c r="AY27" s="211"/>
      <c r="AZ27" s="211"/>
      <c r="BA27" s="211"/>
      <c r="BB27" s="211"/>
      <c r="BD27" s="215"/>
      <c r="BE27" s="215"/>
      <c r="BF27" s="215"/>
      <c r="BG27" s="215"/>
      <c r="BH27" s="215"/>
      <c r="BI27" s="215"/>
      <c r="BJ27" s="215"/>
      <c r="BK27" s="215"/>
    </row>
    <row r="28" spans="2:78">
      <c r="B28" s="205"/>
      <c r="C28" s="205"/>
      <c r="D28" s="205"/>
      <c r="E28" s="205"/>
      <c r="F28" s="205"/>
      <c r="G28" s="205"/>
      <c r="H28" s="205"/>
      <c r="I28" s="205"/>
      <c r="K28" s="205"/>
      <c r="L28" s="205"/>
      <c r="M28" s="205"/>
      <c r="N28" s="205"/>
      <c r="O28" s="205"/>
      <c r="P28" s="205"/>
      <c r="Q28" s="205"/>
      <c r="R28" s="205"/>
      <c r="T28" s="205"/>
      <c r="U28" s="205"/>
      <c r="V28" s="205"/>
      <c r="W28" s="205"/>
      <c r="X28" s="205"/>
      <c r="Y28" s="205"/>
      <c r="Z28" s="205"/>
      <c r="AA28" s="205"/>
      <c r="AC28" s="99"/>
      <c r="AD28" s="99"/>
      <c r="AE28" s="99"/>
      <c r="AF28" s="99"/>
      <c r="AG28" s="99"/>
      <c r="AH28" s="99"/>
      <c r="AI28" s="99"/>
      <c r="AJ28" s="99"/>
      <c r="AL28" s="174"/>
      <c r="AM28" s="174"/>
      <c r="AN28" s="174"/>
      <c r="AO28" s="174"/>
      <c r="AP28" s="174"/>
      <c r="AQ28" s="174"/>
      <c r="AR28" s="174"/>
      <c r="AS28" s="174"/>
      <c r="AU28" s="211"/>
      <c r="AV28" s="211"/>
      <c r="AW28" s="211"/>
      <c r="AX28" s="211"/>
      <c r="AY28" s="211"/>
      <c r="AZ28" s="211"/>
      <c r="BA28" s="211"/>
      <c r="BB28" s="211"/>
      <c r="BD28" s="215"/>
      <c r="BE28" s="215"/>
      <c r="BF28" s="215"/>
      <c r="BG28" s="215"/>
      <c r="BH28" s="215"/>
      <c r="BI28" s="215"/>
      <c r="BJ28" s="215"/>
      <c r="BK28" s="215"/>
      <c r="BM28" s="191" t="s">
        <v>49</v>
      </c>
      <c r="BN28" s="191"/>
      <c r="BO28" s="193">
        <v>7</v>
      </c>
      <c r="BP28" s="193"/>
      <c r="BQ28" s="193">
        <v>8</v>
      </c>
      <c r="BR28" s="193"/>
      <c r="BS28" s="193">
        <v>9</v>
      </c>
      <c r="BT28" s="193"/>
      <c r="BU28" s="193">
        <v>10</v>
      </c>
      <c r="BV28" s="193"/>
      <c r="BW28" s="193">
        <v>11</v>
      </c>
      <c r="BX28" s="193"/>
      <c r="BY28" s="193">
        <v>12</v>
      </c>
      <c r="BZ28" s="193"/>
    </row>
    <row r="29" spans="2:78">
      <c r="B29" s="205"/>
      <c r="C29" s="205"/>
      <c r="D29" s="205"/>
      <c r="E29" s="205"/>
      <c r="F29" s="205"/>
      <c r="G29" s="205"/>
      <c r="H29" s="205"/>
      <c r="I29" s="205"/>
      <c r="T29" s="205"/>
      <c r="U29" s="205"/>
      <c r="V29" s="205"/>
      <c r="W29" s="205"/>
      <c r="X29" s="205"/>
      <c r="Y29" s="205"/>
      <c r="Z29" s="205"/>
      <c r="AA29" s="205"/>
      <c r="AC29" s="99"/>
      <c r="AD29" s="99"/>
      <c r="AE29" s="206" t="s">
        <v>1</v>
      </c>
      <c r="AF29" s="206"/>
      <c r="AG29" s="206" t="s">
        <v>2</v>
      </c>
      <c r="AH29" s="206"/>
      <c r="AI29" s="206" t="s">
        <v>3</v>
      </c>
      <c r="AJ29" s="206"/>
      <c r="AL29" s="174"/>
      <c r="AM29" s="174"/>
      <c r="AN29" s="174"/>
      <c r="AO29" s="174"/>
      <c r="AP29" s="174"/>
      <c r="AQ29" s="174"/>
      <c r="AR29" s="174"/>
      <c r="AS29" s="174"/>
      <c r="AU29" s="211"/>
      <c r="AV29" s="211"/>
      <c r="AW29" s="211"/>
      <c r="AX29" s="211"/>
      <c r="AY29" s="211"/>
      <c r="AZ29" s="211"/>
      <c r="BA29" s="211"/>
      <c r="BB29" s="211"/>
      <c r="BD29" s="215"/>
      <c r="BE29" s="215"/>
      <c r="BF29" s="215"/>
      <c r="BG29" s="215"/>
      <c r="BH29" s="215"/>
      <c r="BI29" s="215"/>
      <c r="BJ29" s="215"/>
      <c r="BK29" s="215"/>
      <c r="BM29" s="191" t="s">
        <v>51</v>
      </c>
      <c r="BN29" s="191"/>
      <c r="BO29" s="195">
        <v>3000</v>
      </c>
      <c r="BP29" s="196"/>
      <c r="BQ29" s="195">
        <v>2000</v>
      </c>
      <c r="BR29" s="196"/>
      <c r="BS29" s="195">
        <v>8000</v>
      </c>
      <c r="BT29" s="196"/>
      <c r="BU29" s="195">
        <v>5000</v>
      </c>
      <c r="BV29" s="196"/>
      <c r="BW29" s="195">
        <v>12000</v>
      </c>
      <c r="BX29" s="196"/>
      <c r="BY29" s="195">
        <v>4500</v>
      </c>
      <c r="BZ29" s="196"/>
    </row>
    <row r="30" spans="2:78" ht="12.75" customHeight="1">
      <c r="B30" s="205"/>
      <c r="C30" s="205"/>
      <c r="D30" s="205"/>
      <c r="E30" s="205"/>
      <c r="F30" s="205"/>
      <c r="G30" s="205"/>
      <c r="H30" s="205"/>
      <c r="I30" s="205"/>
      <c r="K30" s="176"/>
      <c r="L30" s="176"/>
      <c r="M30" s="176"/>
      <c r="N30" s="176"/>
      <c r="T30" s="205"/>
      <c r="U30" s="205"/>
      <c r="V30" s="205"/>
      <c r="W30" s="205"/>
      <c r="X30" s="205"/>
      <c r="Y30" s="205"/>
      <c r="Z30" s="205"/>
      <c r="AA30" s="205"/>
      <c r="AC30" s="184" t="s">
        <v>4</v>
      </c>
      <c r="AD30" s="184"/>
      <c r="AE30" s="183" t="s">
        <v>382</v>
      </c>
      <c r="AF30" s="183"/>
      <c r="AG30" s="183" t="s">
        <v>363</v>
      </c>
      <c r="AH30" s="183"/>
      <c r="AI30" s="183" t="s">
        <v>363</v>
      </c>
      <c r="AJ30" s="183"/>
      <c r="AL30" s="61"/>
      <c r="AM30" s="61"/>
      <c r="AN30" s="61"/>
      <c r="AO30" s="61"/>
      <c r="AP30" s="61"/>
      <c r="AQ30" s="61"/>
      <c r="AR30" s="61"/>
      <c r="AS30" s="61"/>
      <c r="AU30" s="211"/>
      <c r="AV30" s="211"/>
      <c r="AW30" s="211"/>
      <c r="AX30" s="211"/>
      <c r="AY30" s="211"/>
      <c r="AZ30" s="211"/>
      <c r="BA30" s="211"/>
      <c r="BB30" s="211"/>
      <c r="BM30" s="179"/>
      <c r="BN30" s="179"/>
      <c r="BO30" s="197"/>
      <c r="BP30" s="197"/>
      <c r="BQ30" s="197"/>
      <c r="BR30" s="197"/>
      <c r="BS30" s="197"/>
      <c r="BT30" s="197"/>
      <c r="BU30" s="197"/>
      <c r="BV30" s="197"/>
      <c r="BW30" s="197"/>
      <c r="BX30" s="197"/>
      <c r="BY30" s="197"/>
      <c r="BZ30" s="197"/>
    </row>
    <row r="31" spans="2:78" ht="12.75" customHeight="1">
      <c r="B31" s="205"/>
      <c r="C31" s="205"/>
      <c r="D31" s="205"/>
      <c r="E31" s="205"/>
      <c r="F31" s="205"/>
      <c r="G31" s="205"/>
      <c r="H31" s="205"/>
      <c r="I31" s="205"/>
      <c r="K31" s="52"/>
      <c r="N31" s="53"/>
      <c r="P31" s="53"/>
      <c r="Q31" s="53"/>
      <c r="R31" s="53"/>
      <c r="T31" s="205"/>
      <c r="U31" s="205"/>
      <c r="V31" s="205"/>
      <c r="W31" s="205"/>
      <c r="X31" s="205"/>
      <c r="Y31" s="205"/>
      <c r="Z31" s="205"/>
      <c r="AA31" s="205"/>
      <c r="AC31" s="184" t="s">
        <v>5</v>
      </c>
      <c r="AD31" s="184"/>
      <c r="AE31" s="183">
        <v>100</v>
      </c>
      <c r="AF31" s="183"/>
      <c r="AG31" s="183">
        <v>150</v>
      </c>
      <c r="AH31" s="183"/>
      <c r="AI31" s="183">
        <v>300</v>
      </c>
      <c r="AJ31" s="183"/>
      <c r="AL31" s="176"/>
      <c r="AM31" s="176"/>
      <c r="AN31" s="176"/>
      <c r="AO31" s="176"/>
      <c r="AP31" s="61"/>
      <c r="AQ31" s="61"/>
      <c r="AR31" s="61"/>
      <c r="AS31" s="61"/>
      <c r="AU31" s="211"/>
      <c r="AV31" s="211"/>
      <c r="AW31" s="211"/>
      <c r="AX31" s="211"/>
      <c r="AY31" s="211"/>
      <c r="AZ31" s="211"/>
      <c r="BA31" s="211"/>
      <c r="BB31" s="211"/>
      <c r="BD31" s="213"/>
      <c r="BE31" s="213"/>
      <c r="BF31" s="213"/>
      <c r="BG31" s="99"/>
      <c r="BH31" s="99"/>
      <c r="BI31" s="99"/>
      <c r="BJ31" s="99"/>
      <c r="BK31" s="99"/>
    </row>
    <row r="32" spans="2:78" ht="13.5" customHeight="1">
      <c r="B32" s="205"/>
      <c r="C32" s="205"/>
      <c r="D32" s="205"/>
      <c r="E32" s="205"/>
      <c r="F32" s="205"/>
      <c r="G32" s="205"/>
      <c r="H32" s="205"/>
      <c r="I32" s="205"/>
      <c r="K32" s="205" t="s">
        <v>254</v>
      </c>
      <c r="L32" s="205"/>
      <c r="M32" s="205"/>
      <c r="N32" s="205"/>
      <c r="O32" s="205"/>
      <c r="P32" s="205"/>
      <c r="Q32" s="205"/>
      <c r="R32" s="205"/>
      <c r="T32" s="205"/>
      <c r="U32" s="205"/>
      <c r="V32" s="205"/>
      <c r="W32" s="205"/>
      <c r="X32" s="205"/>
      <c r="Y32" s="205"/>
      <c r="Z32" s="205"/>
      <c r="AA32" s="205"/>
      <c r="AC32" s="184" t="s">
        <v>6</v>
      </c>
      <c r="AD32" s="184"/>
      <c r="AE32" s="183" t="s">
        <v>364</v>
      </c>
      <c r="AF32" s="183"/>
      <c r="AG32" s="183" t="s">
        <v>365</v>
      </c>
      <c r="AH32" s="183"/>
      <c r="AI32" s="183" t="s">
        <v>365</v>
      </c>
      <c r="AJ32" s="183"/>
      <c r="AL32" s="61"/>
      <c r="AM32" s="61"/>
      <c r="AN32" s="61"/>
      <c r="AO32" s="61"/>
      <c r="AP32" s="61"/>
      <c r="AQ32" s="61"/>
      <c r="AR32" s="61"/>
      <c r="AS32" s="61"/>
      <c r="AU32" s="211"/>
      <c r="AV32" s="211"/>
      <c r="AW32" s="211"/>
      <c r="AX32" s="211"/>
      <c r="AY32" s="211"/>
      <c r="AZ32" s="211"/>
      <c r="BA32" s="211"/>
      <c r="BB32" s="211"/>
      <c r="BD32" s="99"/>
      <c r="BE32" s="99"/>
      <c r="BF32" s="99"/>
      <c r="BG32" s="99"/>
      <c r="BH32" s="99"/>
      <c r="BI32" s="99"/>
      <c r="BJ32" s="99"/>
      <c r="BK32" s="99"/>
      <c r="BM32" s="192" t="s">
        <v>52</v>
      </c>
      <c r="BN32" s="192"/>
      <c r="BO32" s="192"/>
      <c r="BP32" s="192"/>
      <c r="BQ32" s="192"/>
      <c r="BR32" s="192"/>
    </row>
    <row r="33" spans="2:78" ht="12.75" customHeight="1">
      <c r="B33" s="205"/>
      <c r="C33" s="205"/>
      <c r="D33" s="205"/>
      <c r="E33" s="205"/>
      <c r="F33" s="205"/>
      <c r="G33" s="205"/>
      <c r="H33" s="205"/>
      <c r="I33" s="205"/>
      <c r="K33" s="205"/>
      <c r="L33" s="205"/>
      <c r="M33" s="205"/>
      <c r="N33" s="205"/>
      <c r="O33" s="205"/>
      <c r="P33" s="205"/>
      <c r="Q33" s="205"/>
      <c r="R33" s="205"/>
      <c r="T33" s="205"/>
      <c r="U33" s="205"/>
      <c r="V33" s="205"/>
      <c r="W33" s="205"/>
      <c r="X33" s="205"/>
      <c r="Y33" s="205"/>
      <c r="Z33" s="205"/>
      <c r="AA33" s="205"/>
      <c r="AC33" s="184" t="s">
        <v>7</v>
      </c>
      <c r="AD33" s="184"/>
      <c r="AE33" s="183" t="s">
        <v>378</v>
      </c>
      <c r="AF33" s="183"/>
      <c r="AG33" s="183" t="s">
        <v>379</v>
      </c>
      <c r="AH33" s="183"/>
      <c r="AI33" s="183" t="s">
        <v>379</v>
      </c>
      <c r="AJ33" s="183"/>
      <c r="AL33" s="174" t="s">
        <v>383</v>
      </c>
      <c r="AM33" s="174"/>
      <c r="AN33" s="174"/>
      <c r="AO33" s="174"/>
      <c r="AP33" s="174"/>
      <c r="AQ33" s="174"/>
      <c r="AR33" s="174"/>
      <c r="AS33" s="174"/>
      <c r="AU33" s="211"/>
      <c r="AV33" s="211"/>
      <c r="AW33" s="211"/>
      <c r="AX33" s="211"/>
      <c r="AY33" s="211"/>
      <c r="AZ33" s="211"/>
      <c r="BA33" s="211"/>
      <c r="BB33" s="211"/>
      <c r="BD33" s="99"/>
      <c r="BF33" s="99"/>
      <c r="BG33" s="210" t="s">
        <v>30</v>
      </c>
      <c r="BH33" s="210"/>
      <c r="BI33" s="210" t="s">
        <v>31</v>
      </c>
      <c r="BJ33" s="210"/>
      <c r="BK33" s="102" t="s">
        <v>32</v>
      </c>
    </row>
    <row r="34" spans="2:78">
      <c r="B34" s="205"/>
      <c r="C34" s="205"/>
      <c r="D34" s="205"/>
      <c r="E34" s="205"/>
      <c r="F34" s="205"/>
      <c r="G34" s="205"/>
      <c r="H34" s="205"/>
      <c r="I34" s="205"/>
      <c r="K34" s="205"/>
      <c r="L34" s="205"/>
      <c r="M34" s="205"/>
      <c r="N34" s="205"/>
      <c r="O34" s="205"/>
      <c r="P34" s="205"/>
      <c r="Q34" s="205"/>
      <c r="R34" s="205"/>
      <c r="T34" s="205"/>
      <c r="U34" s="205"/>
      <c r="V34" s="205"/>
      <c r="W34" s="205"/>
      <c r="X34" s="205"/>
      <c r="Y34" s="205"/>
      <c r="Z34" s="205"/>
      <c r="AA34" s="205"/>
      <c r="AC34" s="184" t="s">
        <v>8</v>
      </c>
      <c r="AD34" s="184"/>
      <c r="AE34" s="183" t="s">
        <v>260</v>
      </c>
      <c r="AF34" s="183"/>
      <c r="AG34" s="183" t="s">
        <v>380</v>
      </c>
      <c r="AH34" s="183"/>
      <c r="AI34" s="183" t="s">
        <v>380</v>
      </c>
      <c r="AJ34" s="183"/>
      <c r="AL34" s="174"/>
      <c r="AM34" s="174"/>
      <c r="AN34" s="174"/>
      <c r="AO34" s="174"/>
      <c r="AP34" s="174"/>
      <c r="AQ34" s="174"/>
      <c r="AR34" s="174"/>
      <c r="AS34" s="174"/>
      <c r="AU34" s="211"/>
      <c r="AV34" s="211"/>
      <c r="AW34" s="211"/>
      <c r="AX34" s="211"/>
      <c r="AY34" s="211"/>
      <c r="AZ34" s="211"/>
      <c r="BA34" s="211"/>
      <c r="BB34" s="211"/>
      <c r="BD34" s="192" t="s">
        <v>17</v>
      </c>
      <c r="BE34" s="192"/>
      <c r="BF34" s="192"/>
      <c r="BG34" s="183" t="s">
        <v>256</v>
      </c>
      <c r="BH34" s="183"/>
      <c r="BI34" s="183" t="s">
        <v>257</v>
      </c>
      <c r="BJ34" s="183"/>
      <c r="BK34" s="86">
        <v>652</v>
      </c>
      <c r="BM34" s="191" t="s">
        <v>49</v>
      </c>
      <c r="BN34" s="191"/>
      <c r="BO34" s="193">
        <v>1</v>
      </c>
      <c r="BP34" s="193"/>
      <c r="BQ34" s="193">
        <v>2</v>
      </c>
      <c r="BR34" s="193"/>
      <c r="BS34" s="193">
        <v>3</v>
      </c>
      <c r="BT34" s="193"/>
      <c r="BU34" s="193">
        <v>4</v>
      </c>
      <c r="BV34" s="193"/>
      <c r="BW34" s="193">
        <v>5</v>
      </c>
      <c r="BX34" s="193"/>
      <c r="BY34" s="193">
        <v>6</v>
      </c>
      <c r="BZ34" s="193"/>
    </row>
    <row r="35" spans="2:78">
      <c r="B35" s="205"/>
      <c r="C35" s="205"/>
      <c r="D35" s="205"/>
      <c r="E35" s="205"/>
      <c r="F35" s="205"/>
      <c r="G35" s="205"/>
      <c r="H35" s="205"/>
      <c r="I35" s="205"/>
      <c r="K35" s="205"/>
      <c r="L35" s="205"/>
      <c r="M35" s="205"/>
      <c r="N35" s="205"/>
      <c r="O35" s="205"/>
      <c r="P35" s="205"/>
      <c r="Q35" s="205"/>
      <c r="R35" s="205"/>
      <c r="T35" s="205"/>
      <c r="U35" s="205"/>
      <c r="V35" s="205"/>
      <c r="W35" s="205"/>
      <c r="X35" s="205"/>
      <c r="Y35" s="205"/>
      <c r="Z35" s="205"/>
      <c r="AA35" s="205"/>
      <c r="AC35" s="184" t="s">
        <v>9</v>
      </c>
      <c r="AD35" s="184"/>
      <c r="AE35" s="183" t="s">
        <v>366</v>
      </c>
      <c r="AF35" s="183"/>
      <c r="AG35" s="183" t="s">
        <v>364</v>
      </c>
      <c r="AH35" s="183"/>
      <c r="AI35" s="183" t="s">
        <v>364</v>
      </c>
      <c r="AJ35" s="183"/>
      <c r="AL35" s="174"/>
      <c r="AM35" s="174"/>
      <c r="AN35" s="174"/>
      <c r="AO35" s="174"/>
      <c r="AP35" s="174"/>
      <c r="AQ35" s="174"/>
      <c r="AR35" s="174"/>
      <c r="AS35" s="174"/>
      <c r="AU35" s="211"/>
      <c r="AV35" s="211"/>
      <c r="AW35" s="211"/>
      <c r="AX35" s="211"/>
      <c r="AY35" s="211"/>
      <c r="AZ35" s="211"/>
      <c r="BA35" s="211"/>
      <c r="BB35" s="211"/>
      <c r="BD35" s="192" t="s">
        <v>18</v>
      </c>
      <c r="BE35" s="192"/>
      <c r="BF35" s="192"/>
      <c r="BG35" s="183" t="s">
        <v>258</v>
      </c>
      <c r="BH35" s="183"/>
      <c r="BI35" s="183" t="s">
        <v>259</v>
      </c>
      <c r="BJ35" s="183"/>
      <c r="BK35" s="86">
        <v>232</v>
      </c>
      <c r="BM35" s="191" t="s">
        <v>53</v>
      </c>
      <c r="BN35" s="191"/>
      <c r="BO35" s="195">
        <v>1000</v>
      </c>
      <c r="BP35" s="196"/>
      <c r="BQ35" s="195">
        <v>2000</v>
      </c>
      <c r="BR35" s="196"/>
      <c r="BS35" s="195">
        <v>4000</v>
      </c>
      <c r="BT35" s="196"/>
      <c r="BU35" s="195">
        <v>5000</v>
      </c>
      <c r="BV35" s="196"/>
      <c r="BW35" s="195">
        <v>4000</v>
      </c>
      <c r="BX35" s="196"/>
      <c r="BY35" s="195">
        <v>2000</v>
      </c>
      <c r="BZ35" s="196"/>
    </row>
    <row r="36" spans="2:78">
      <c r="B36" s="205"/>
      <c r="C36" s="205"/>
      <c r="D36" s="205"/>
      <c r="E36" s="205"/>
      <c r="F36" s="205"/>
      <c r="G36" s="205"/>
      <c r="H36" s="205"/>
      <c r="I36" s="205"/>
      <c r="K36" s="205"/>
      <c r="L36" s="205"/>
      <c r="M36" s="205"/>
      <c r="N36" s="205"/>
      <c r="O36" s="205"/>
      <c r="P36" s="205"/>
      <c r="Q36" s="205"/>
      <c r="R36" s="205"/>
      <c r="T36" s="205"/>
      <c r="U36" s="205"/>
      <c r="V36" s="205"/>
      <c r="W36" s="205"/>
      <c r="X36" s="205"/>
      <c r="Y36" s="205"/>
      <c r="Z36" s="205"/>
      <c r="AA36" s="205"/>
      <c r="AC36" s="184" t="s">
        <v>323</v>
      </c>
      <c r="AD36" s="184"/>
      <c r="AE36" s="183" t="s">
        <v>374</v>
      </c>
      <c r="AF36" s="183"/>
      <c r="AG36" s="183" t="s">
        <v>374</v>
      </c>
      <c r="AH36" s="183"/>
      <c r="AI36" s="183" t="s">
        <v>374</v>
      </c>
      <c r="AJ36" s="183"/>
      <c r="AL36" s="174"/>
      <c r="AM36" s="174"/>
      <c r="AN36" s="174"/>
      <c r="AO36" s="174"/>
      <c r="AP36" s="174"/>
      <c r="AQ36" s="174"/>
      <c r="AR36" s="174"/>
      <c r="AS36" s="174"/>
      <c r="AU36" s="211"/>
      <c r="AV36" s="211"/>
      <c r="AW36" s="211"/>
      <c r="AX36" s="211"/>
      <c r="AY36" s="211"/>
      <c r="AZ36" s="211"/>
      <c r="BA36" s="211"/>
      <c r="BB36" s="211"/>
      <c r="BD36" s="192" t="s">
        <v>19</v>
      </c>
      <c r="BE36" s="192"/>
      <c r="BF36" s="192"/>
      <c r="BG36" s="183" t="s">
        <v>260</v>
      </c>
      <c r="BH36" s="183"/>
      <c r="BI36" s="183" t="s">
        <v>260</v>
      </c>
      <c r="BJ36" s="183"/>
      <c r="BK36" s="86" t="s">
        <v>260</v>
      </c>
      <c r="BM36" s="179"/>
      <c r="BN36" s="179"/>
      <c r="BO36" s="189"/>
      <c r="BP36" s="189"/>
      <c r="BQ36" s="189"/>
      <c r="BR36" s="189"/>
      <c r="BS36" s="189"/>
      <c r="BT36" s="189"/>
      <c r="BU36" s="189"/>
      <c r="BV36" s="189"/>
      <c r="BW36" s="189"/>
      <c r="BX36" s="189"/>
      <c r="BY36" s="189"/>
      <c r="BZ36" s="189"/>
    </row>
    <row r="37" spans="2:78">
      <c r="B37" s="205"/>
      <c r="C37" s="205"/>
      <c r="D37" s="205"/>
      <c r="E37" s="205"/>
      <c r="F37" s="205"/>
      <c r="G37" s="205"/>
      <c r="H37" s="205"/>
      <c r="I37" s="205"/>
      <c r="K37" s="205"/>
      <c r="L37" s="205"/>
      <c r="M37" s="205"/>
      <c r="N37" s="205"/>
      <c r="O37" s="205"/>
      <c r="P37" s="205"/>
      <c r="Q37" s="205"/>
      <c r="R37" s="205"/>
      <c r="T37" s="205"/>
      <c r="U37" s="205"/>
      <c r="V37" s="205"/>
      <c r="W37" s="205"/>
      <c r="X37" s="205"/>
      <c r="Y37" s="205"/>
      <c r="Z37" s="205"/>
      <c r="AA37" s="205"/>
      <c r="AC37" s="184" t="s">
        <v>10</v>
      </c>
      <c r="AD37" s="184"/>
      <c r="AE37" s="183" t="s">
        <v>374</v>
      </c>
      <c r="AF37" s="183"/>
      <c r="AG37" s="183" t="s">
        <v>374</v>
      </c>
      <c r="AH37" s="183"/>
      <c r="AI37" s="183" t="s">
        <v>374</v>
      </c>
      <c r="AJ37" s="183"/>
      <c r="AL37" s="174"/>
      <c r="AM37" s="174"/>
      <c r="AN37" s="174"/>
      <c r="AO37" s="174"/>
      <c r="AP37" s="174"/>
      <c r="AQ37" s="174"/>
      <c r="AR37" s="174"/>
      <c r="AS37" s="174"/>
      <c r="AU37" s="211"/>
      <c r="AV37" s="211"/>
      <c r="AW37" s="211"/>
      <c r="AX37" s="211"/>
      <c r="AY37" s="211"/>
      <c r="AZ37" s="211"/>
      <c r="BA37" s="211"/>
      <c r="BB37" s="211"/>
      <c r="BD37" s="192" t="s">
        <v>20</v>
      </c>
      <c r="BE37" s="192"/>
      <c r="BF37" s="192"/>
      <c r="BG37" s="183" t="s">
        <v>261</v>
      </c>
      <c r="BH37" s="183"/>
      <c r="BI37" s="183" t="s">
        <v>262</v>
      </c>
      <c r="BJ37" s="183"/>
      <c r="BK37" s="86">
        <v>1000</v>
      </c>
    </row>
    <row r="38" spans="2:78">
      <c r="B38" s="205"/>
      <c r="C38" s="205"/>
      <c r="D38" s="205"/>
      <c r="E38" s="205"/>
      <c r="F38" s="205"/>
      <c r="G38" s="205"/>
      <c r="H38" s="205"/>
      <c r="I38" s="205"/>
      <c r="K38" s="205"/>
      <c r="L38" s="205"/>
      <c r="M38" s="205"/>
      <c r="N38" s="205"/>
      <c r="O38" s="205"/>
      <c r="P38" s="205"/>
      <c r="Q38" s="205"/>
      <c r="R38" s="205"/>
      <c r="T38" s="205"/>
      <c r="U38" s="205"/>
      <c r="V38" s="205"/>
      <c r="W38" s="205"/>
      <c r="X38" s="205"/>
      <c r="Y38" s="205"/>
      <c r="Z38" s="205"/>
      <c r="AA38" s="205"/>
      <c r="AC38" s="184" t="s">
        <v>11</v>
      </c>
      <c r="AD38" s="184"/>
      <c r="AE38" s="183" t="s">
        <v>364</v>
      </c>
      <c r="AF38" s="183"/>
      <c r="AG38" s="183" t="s">
        <v>365</v>
      </c>
      <c r="AH38" s="183"/>
      <c r="AI38" s="183" t="s">
        <v>365</v>
      </c>
      <c r="AJ38" s="183"/>
      <c r="AL38" s="174"/>
      <c r="AM38" s="174"/>
      <c r="AN38" s="174"/>
      <c r="AO38" s="174"/>
      <c r="AP38" s="174"/>
      <c r="AQ38" s="174"/>
      <c r="AR38" s="174"/>
      <c r="AS38" s="174"/>
      <c r="AU38" s="211"/>
      <c r="AV38" s="211"/>
      <c r="AW38" s="211"/>
      <c r="AX38" s="211"/>
      <c r="AY38" s="211"/>
      <c r="AZ38" s="211"/>
      <c r="BA38" s="211"/>
      <c r="BB38" s="211"/>
      <c r="BD38" s="192" t="s">
        <v>10</v>
      </c>
      <c r="BE38" s="192"/>
      <c r="BF38" s="192"/>
      <c r="BG38" s="183" t="s">
        <v>263</v>
      </c>
      <c r="BH38" s="183"/>
      <c r="BI38" s="183" t="s">
        <v>264</v>
      </c>
      <c r="BJ38" s="183"/>
      <c r="BK38" s="86">
        <v>200</v>
      </c>
      <c r="BM38" s="191" t="s">
        <v>49</v>
      </c>
      <c r="BN38" s="191"/>
      <c r="BO38" s="193">
        <v>7</v>
      </c>
      <c r="BP38" s="193"/>
      <c r="BQ38" s="193">
        <v>8</v>
      </c>
      <c r="BR38" s="193"/>
      <c r="BS38" s="193">
        <v>9</v>
      </c>
      <c r="BT38" s="193"/>
      <c r="BU38" s="193">
        <v>10</v>
      </c>
      <c r="BV38" s="193"/>
      <c r="BW38" s="193">
        <v>11</v>
      </c>
      <c r="BX38" s="193"/>
      <c r="BY38" s="193">
        <v>12</v>
      </c>
      <c r="BZ38" s="193"/>
    </row>
    <row r="39" spans="2:78" ht="12.75" customHeight="1">
      <c r="B39" s="205"/>
      <c r="C39" s="205"/>
      <c r="D39" s="205"/>
      <c r="E39" s="205"/>
      <c r="F39" s="205"/>
      <c r="G39" s="205"/>
      <c r="H39" s="205"/>
      <c r="I39" s="205"/>
      <c r="K39" s="205"/>
      <c r="L39" s="205"/>
      <c r="M39" s="205"/>
      <c r="N39" s="205"/>
      <c r="O39" s="205"/>
      <c r="P39" s="205"/>
      <c r="Q39" s="205"/>
      <c r="R39" s="205"/>
      <c r="T39" s="205"/>
      <c r="U39" s="205"/>
      <c r="V39" s="205"/>
      <c r="W39" s="205"/>
      <c r="X39" s="205"/>
      <c r="Y39" s="205"/>
      <c r="Z39" s="205"/>
      <c r="AA39" s="205"/>
      <c r="AC39" s="99"/>
      <c r="AD39" s="99"/>
      <c r="AE39" s="99"/>
      <c r="AF39" s="99"/>
      <c r="AG39" s="99"/>
      <c r="AH39" s="99"/>
      <c r="AI39" s="99"/>
      <c r="AJ39" s="99"/>
      <c r="AL39" s="174"/>
      <c r="AM39" s="174"/>
      <c r="AN39" s="174"/>
      <c r="AO39" s="174"/>
      <c r="AP39" s="174"/>
      <c r="AQ39" s="174"/>
      <c r="AR39" s="174"/>
      <c r="AS39" s="174"/>
      <c r="AU39" s="64"/>
      <c r="AV39" s="64"/>
      <c r="AW39" s="64"/>
      <c r="AX39" s="64"/>
      <c r="AY39" s="64"/>
      <c r="AZ39" s="64"/>
      <c r="BA39" s="64"/>
      <c r="BB39" s="64"/>
      <c r="BD39" s="103"/>
      <c r="BE39" s="191" t="s">
        <v>25</v>
      </c>
      <c r="BF39" s="212"/>
      <c r="BG39" s="183" t="s">
        <v>263</v>
      </c>
      <c r="BH39" s="183"/>
      <c r="BI39" s="183" t="s">
        <v>264</v>
      </c>
      <c r="BJ39" s="183"/>
      <c r="BK39" s="86">
        <v>479</v>
      </c>
      <c r="BM39" s="191" t="s">
        <v>53</v>
      </c>
      <c r="BN39" s="191"/>
      <c r="BO39" s="195">
        <v>2000</v>
      </c>
      <c r="BP39" s="196"/>
      <c r="BQ39" s="195">
        <v>500</v>
      </c>
      <c r="BR39" s="196"/>
      <c r="BS39" s="195">
        <v>2000</v>
      </c>
      <c r="BT39" s="196"/>
      <c r="BU39" s="195">
        <v>1500</v>
      </c>
      <c r="BV39" s="196"/>
      <c r="BW39" s="195">
        <v>4000</v>
      </c>
      <c r="BX39" s="196"/>
      <c r="BY39" s="195">
        <v>1500</v>
      </c>
      <c r="BZ39" s="196"/>
    </row>
    <row r="40" spans="2:78" ht="12.75" customHeight="1">
      <c r="B40" s="205"/>
      <c r="C40" s="205"/>
      <c r="D40" s="205"/>
      <c r="E40" s="205"/>
      <c r="F40" s="205"/>
      <c r="G40" s="205"/>
      <c r="H40" s="205"/>
      <c r="I40" s="205"/>
      <c r="K40" s="205"/>
      <c r="L40" s="205"/>
      <c r="M40" s="205"/>
      <c r="N40" s="205"/>
      <c r="O40" s="205"/>
      <c r="P40" s="205"/>
      <c r="Q40" s="205"/>
      <c r="R40" s="205"/>
      <c r="T40" s="205"/>
      <c r="U40" s="205"/>
      <c r="V40" s="205"/>
      <c r="W40" s="205"/>
      <c r="X40" s="205"/>
      <c r="Y40" s="205"/>
      <c r="Z40" s="205"/>
      <c r="AA40" s="205"/>
      <c r="AC40" s="99"/>
      <c r="AD40" s="99"/>
      <c r="AE40" s="206" t="s">
        <v>1</v>
      </c>
      <c r="AF40" s="206"/>
      <c r="AG40" s="206" t="s">
        <v>2</v>
      </c>
      <c r="AH40" s="206"/>
      <c r="AI40" s="206" t="s">
        <v>3</v>
      </c>
      <c r="AJ40" s="206"/>
      <c r="AL40" s="174"/>
      <c r="AM40" s="174"/>
      <c r="AN40" s="174"/>
      <c r="AO40" s="174"/>
      <c r="AP40" s="174"/>
      <c r="AQ40" s="174"/>
      <c r="AR40" s="174"/>
      <c r="AS40" s="174"/>
      <c r="AU40" s="192" t="s">
        <v>16</v>
      </c>
      <c r="AV40" s="192"/>
      <c r="AW40" s="192"/>
      <c r="AX40" s="64"/>
      <c r="AY40" s="64"/>
      <c r="AZ40" s="64"/>
      <c r="BA40" s="64"/>
      <c r="BB40" s="64"/>
      <c r="BD40" s="103"/>
      <c r="BE40" s="191" t="s">
        <v>26</v>
      </c>
      <c r="BF40" s="212"/>
      <c r="BG40" s="183" t="s">
        <v>260</v>
      </c>
      <c r="BH40" s="183"/>
      <c r="BI40" s="183" t="s">
        <v>260</v>
      </c>
      <c r="BJ40" s="183"/>
      <c r="BK40" s="86" t="s">
        <v>260</v>
      </c>
      <c r="BM40" s="179"/>
      <c r="BN40" s="179"/>
      <c r="BO40" s="189"/>
      <c r="BP40" s="189"/>
      <c r="BQ40" s="189"/>
      <c r="BR40" s="189"/>
      <c r="BS40" s="189"/>
      <c r="BT40" s="189"/>
      <c r="BU40" s="189"/>
      <c r="BV40" s="189"/>
      <c r="BW40" s="189"/>
      <c r="BX40" s="189"/>
      <c r="BY40" s="189"/>
      <c r="BZ40" s="189"/>
    </row>
    <row r="41" spans="2:78">
      <c r="B41" s="205"/>
      <c r="C41" s="205"/>
      <c r="D41" s="205"/>
      <c r="E41" s="205"/>
      <c r="F41" s="205"/>
      <c r="G41" s="205"/>
      <c r="H41" s="205"/>
      <c r="I41" s="205"/>
      <c r="K41" s="205"/>
      <c r="L41" s="205"/>
      <c r="M41" s="205"/>
      <c r="N41" s="205"/>
      <c r="O41" s="205"/>
      <c r="P41" s="205"/>
      <c r="Q41" s="205"/>
      <c r="R41" s="205"/>
      <c r="T41" s="205"/>
      <c r="U41" s="205"/>
      <c r="V41" s="205"/>
      <c r="W41" s="205"/>
      <c r="X41" s="205"/>
      <c r="Y41" s="205"/>
      <c r="Z41" s="205"/>
      <c r="AA41" s="205"/>
      <c r="AC41" s="184" t="s">
        <v>4</v>
      </c>
      <c r="AD41" s="184"/>
      <c r="AE41" s="183" t="s">
        <v>384</v>
      </c>
      <c r="AF41" s="183"/>
      <c r="AG41" s="183" t="s">
        <v>363</v>
      </c>
      <c r="AH41" s="183"/>
      <c r="AI41" s="183" t="s">
        <v>363</v>
      </c>
      <c r="AJ41" s="183"/>
      <c r="AL41" s="174"/>
      <c r="AM41" s="174"/>
      <c r="AN41" s="174"/>
      <c r="AO41" s="174"/>
      <c r="AP41" s="174"/>
      <c r="AQ41" s="174"/>
      <c r="AR41" s="174"/>
      <c r="AS41" s="174"/>
      <c r="AU41" s="211"/>
      <c r="AV41" s="211"/>
      <c r="AW41" s="211"/>
      <c r="AX41" s="211"/>
      <c r="AY41" s="211"/>
      <c r="AZ41" s="211"/>
      <c r="BA41" s="211"/>
      <c r="BB41" s="211"/>
      <c r="BD41" s="103"/>
      <c r="BE41" s="191" t="s">
        <v>27</v>
      </c>
      <c r="BF41" s="212"/>
      <c r="BG41" s="183" t="s">
        <v>260</v>
      </c>
      <c r="BH41" s="183"/>
      <c r="BI41" s="183" t="s">
        <v>260</v>
      </c>
      <c r="BJ41" s="183"/>
      <c r="BK41" s="86" t="s">
        <v>260</v>
      </c>
    </row>
    <row r="42" spans="2:78">
      <c r="B42" s="205"/>
      <c r="C42" s="205"/>
      <c r="D42" s="205"/>
      <c r="E42" s="205"/>
      <c r="F42" s="205"/>
      <c r="G42" s="205"/>
      <c r="H42" s="205"/>
      <c r="I42" s="205"/>
      <c r="K42" s="205"/>
      <c r="L42" s="205"/>
      <c r="M42" s="205"/>
      <c r="N42" s="205"/>
      <c r="O42" s="205"/>
      <c r="P42" s="205"/>
      <c r="Q42" s="205"/>
      <c r="R42" s="205"/>
      <c r="T42" s="205"/>
      <c r="U42" s="205"/>
      <c r="V42" s="205"/>
      <c r="W42" s="205"/>
      <c r="X42" s="205"/>
      <c r="Y42" s="205"/>
      <c r="Z42" s="205"/>
      <c r="AA42" s="205"/>
      <c r="AC42" s="184" t="s">
        <v>5</v>
      </c>
      <c r="AD42" s="184"/>
      <c r="AE42" s="183">
        <v>150</v>
      </c>
      <c r="AF42" s="183"/>
      <c r="AG42" s="183">
        <v>200</v>
      </c>
      <c r="AH42" s="183"/>
      <c r="AI42" s="183">
        <v>150</v>
      </c>
      <c r="AJ42" s="183"/>
      <c r="AL42" s="174"/>
      <c r="AM42" s="174"/>
      <c r="AN42" s="174"/>
      <c r="AO42" s="174"/>
      <c r="AP42" s="174"/>
      <c r="AQ42" s="174"/>
      <c r="AR42" s="174"/>
      <c r="AS42" s="174"/>
      <c r="AU42" s="211"/>
      <c r="AV42" s="211"/>
      <c r="AW42" s="211"/>
      <c r="AX42" s="211"/>
      <c r="AY42" s="211"/>
      <c r="AZ42" s="211"/>
      <c r="BA42" s="211"/>
      <c r="BB42" s="211"/>
      <c r="BD42" s="103"/>
      <c r="BE42" s="191" t="s">
        <v>28</v>
      </c>
      <c r="BF42" s="212"/>
      <c r="BG42" s="183" t="s">
        <v>263</v>
      </c>
      <c r="BH42" s="183"/>
      <c r="BI42" s="183" t="s">
        <v>264</v>
      </c>
      <c r="BJ42" s="183"/>
      <c r="BK42" s="86">
        <v>300</v>
      </c>
    </row>
    <row r="43" spans="2:78">
      <c r="B43" s="205"/>
      <c r="C43" s="205"/>
      <c r="D43" s="205"/>
      <c r="E43" s="205"/>
      <c r="F43" s="205"/>
      <c r="G43" s="205"/>
      <c r="H43" s="205"/>
      <c r="I43" s="205"/>
      <c r="K43" s="205"/>
      <c r="L43" s="205"/>
      <c r="M43" s="205"/>
      <c r="N43" s="205"/>
      <c r="O43" s="205"/>
      <c r="P43" s="205"/>
      <c r="Q43" s="205"/>
      <c r="R43" s="205"/>
      <c r="T43" s="205"/>
      <c r="U43" s="205"/>
      <c r="V43" s="205"/>
      <c r="W43" s="205"/>
      <c r="X43" s="205"/>
      <c r="Y43" s="205"/>
      <c r="Z43" s="205"/>
      <c r="AA43" s="205"/>
      <c r="AC43" s="184" t="s">
        <v>6</v>
      </c>
      <c r="AD43" s="184"/>
      <c r="AE43" s="183" t="s">
        <v>365</v>
      </c>
      <c r="AF43" s="183"/>
      <c r="AG43" s="183" t="s">
        <v>366</v>
      </c>
      <c r="AH43" s="183"/>
      <c r="AI43" s="183" t="s">
        <v>365</v>
      </c>
      <c r="AJ43" s="183"/>
      <c r="AL43" s="174"/>
      <c r="AM43" s="174"/>
      <c r="AN43" s="174"/>
      <c r="AO43" s="174"/>
      <c r="AP43" s="174"/>
      <c r="AQ43" s="174"/>
      <c r="AR43" s="174"/>
      <c r="AS43" s="174"/>
      <c r="AU43" s="211"/>
      <c r="AV43" s="211"/>
      <c r="AW43" s="211"/>
      <c r="AX43" s="211"/>
      <c r="AY43" s="211"/>
      <c r="AZ43" s="211"/>
      <c r="BA43" s="211"/>
      <c r="BB43" s="211"/>
      <c r="BD43" s="192" t="s">
        <v>21</v>
      </c>
      <c r="BE43" s="192"/>
      <c r="BF43" s="192"/>
      <c r="BG43" s="183" t="s">
        <v>260</v>
      </c>
      <c r="BH43" s="183"/>
      <c r="BI43" s="183" t="s">
        <v>260</v>
      </c>
      <c r="BJ43" s="183"/>
      <c r="BK43" s="86" t="s">
        <v>260</v>
      </c>
      <c r="BM43" s="192" t="s">
        <v>453</v>
      </c>
      <c r="BN43" s="192"/>
      <c r="BO43" s="192"/>
      <c r="BP43" s="192"/>
      <c r="BQ43" s="192"/>
      <c r="BR43" s="192"/>
    </row>
    <row r="44" spans="2:78">
      <c r="B44" s="205"/>
      <c r="C44" s="205"/>
      <c r="D44" s="205"/>
      <c r="E44" s="205"/>
      <c r="F44" s="205"/>
      <c r="G44" s="205"/>
      <c r="H44" s="205"/>
      <c r="I44" s="205"/>
      <c r="K44" s="205"/>
      <c r="L44" s="205"/>
      <c r="M44" s="205"/>
      <c r="N44" s="205"/>
      <c r="O44" s="205"/>
      <c r="P44" s="205"/>
      <c r="Q44" s="205"/>
      <c r="R44" s="205"/>
      <c r="T44" s="205"/>
      <c r="U44" s="205"/>
      <c r="V44" s="205"/>
      <c r="W44" s="205"/>
      <c r="X44" s="205"/>
      <c r="Y44" s="205"/>
      <c r="Z44" s="205"/>
      <c r="AA44" s="205"/>
      <c r="AC44" s="184" t="s">
        <v>7</v>
      </c>
      <c r="AD44" s="184"/>
      <c r="AE44" s="183" t="s">
        <v>379</v>
      </c>
      <c r="AF44" s="183"/>
      <c r="AG44" s="183" t="s">
        <v>372</v>
      </c>
      <c r="AH44" s="183"/>
      <c r="AI44" s="183" t="s">
        <v>367</v>
      </c>
      <c r="AJ44" s="183"/>
      <c r="AL44" s="174"/>
      <c r="AM44" s="174"/>
      <c r="AN44" s="174"/>
      <c r="AO44" s="174"/>
      <c r="AP44" s="174"/>
      <c r="AQ44" s="174"/>
      <c r="AR44" s="174"/>
      <c r="AS44" s="174"/>
      <c r="AU44" s="211"/>
      <c r="AV44" s="211"/>
      <c r="AW44" s="211"/>
      <c r="AX44" s="211"/>
      <c r="AY44" s="211"/>
      <c r="AZ44" s="211"/>
      <c r="BA44" s="211"/>
      <c r="BB44" s="211"/>
      <c r="BD44" s="192" t="s">
        <v>22</v>
      </c>
      <c r="BE44" s="192"/>
      <c r="BF44" s="192"/>
      <c r="BG44" s="183" t="s">
        <v>260</v>
      </c>
      <c r="BH44" s="183"/>
      <c r="BI44" s="183" t="s">
        <v>260</v>
      </c>
      <c r="BJ44" s="183"/>
      <c r="BK44" s="86" t="s">
        <v>260</v>
      </c>
    </row>
    <row r="45" spans="2:78">
      <c r="B45" s="205"/>
      <c r="C45" s="205"/>
      <c r="D45" s="205"/>
      <c r="E45" s="205"/>
      <c r="F45" s="205"/>
      <c r="G45" s="205"/>
      <c r="H45" s="205"/>
      <c r="I45" s="205"/>
      <c r="K45" s="205"/>
      <c r="L45" s="205"/>
      <c r="M45" s="205"/>
      <c r="N45" s="205"/>
      <c r="O45" s="205"/>
      <c r="P45" s="205"/>
      <c r="Q45" s="205"/>
      <c r="R45" s="205"/>
      <c r="T45" s="205"/>
      <c r="U45" s="205"/>
      <c r="V45" s="205"/>
      <c r="W45" s="205"/>
      <c r="X45" s="205"/>
      <c r="Y45" s="205"/>
      <c r="Z45" s="205"/>
      <c r="AA45" s="205"/>
      <c r="AC45" s="184" t="s">
        <v>8</v>
      </c>
      <c r="AD45" s="184"/>
      <c r="AE45" s="183" t="s">
        <v>380</v>
      </c>
      <c r="AF45" s="183"/>
      <c r="AG45" s="183" t="s">
        <v>381</v>
      </c>
      <c r="AH45" s="183"/>
      <c r="AI45" s="183" t="s">
        <v>370</v>
      </c>
      <c r="AJ45" s="183"/>
      <c r="AL45" s="174"/>
      <c r="AM45" s="174"/>
      <c r="AN45" s="174"/>
      <c r="AO45" s="174"/>
      <c r="AP45" s="174"/>
      <c r="AQ45" s="174"/>
      <c r="AR45" s="174"/>
      <c r="AS45" s="174"/>
      <c r="AU45" s="211"/>
      <c r="AV45" s="211"/>
      <c r="AW45" s="211"/>
      <c r="AX45" s="211"/>
      <c r="AY45" s="211"/>
      <c r="AZ45" s="211"/>
      <c r="BA45" s="211"/>
      <c r="BB45" s="211"/>
      <c r="BD45" s="192" t="s">
        <v>23</v>
      </c>
      <c r="BE45" s="192"/>
      <c r="BF45" s="192"/>
      <c r="BG45" s="183" t="s">
        <v>258</v>
      </c>
      <c r="BH45" s="183"/>
      <c r="BI45" s="183" t="s">
        <v>265</v>
      </c>
      <c r="BJ45" s="183"/>
      <c r="BK45" s="86">
        <v>100</v>
      </c>
      <c r="BO45" s="193" t="s">
        <v>55</v>
      </c>
      <c r="BP45" s="193"/>
      <c r="BQ45" s="193"/>
      <c r="BR45" s="193"/>
      <c r="BS45" s="194"/>
      <c r="BT45" s="194"/>
      <c r="BU45" s="194"/>
      <c r="BV45" s="194"/>
      <c r="BW45" s="194"/>
      <c r="BX45" s="194"/>
      <c r="BY45" s="194"/>
      <c r="BZ45" s="194"/>
    </row>
    <row r="46" spans="2:78">
      <c r="B46" s="205"/>
      <c r="C46" s="205"/>
      <c r="D46" s="205"/>
      <c r="E46" s="205"/>
      <c r="F46" s="205"/>
      <c r="G46" s="205"/>
      <c r="H46" s="205"/>
      <c r="I46" s="205"/>
      <c r="K46" s="205"/>
      <c r="L46" s="205"/>
      <c r="M46" s="205"/>
      <c r="N46" s="205"/>
      <c r="O46" s="205"/>
      <c r="P46" s="205"/>
      <c r="Q46" s="205"/>
      <c r="R46" s="205"/>
      <c r="T46" s="205"/>
      <c r="U46" s="205"/>
      <c r="V46" s="205"/>
      <c r="W46" s="205"/>
      <c r="X46" s="205"/>
      <c r="Y46" s="205"/>
      <c r="Z46" s="205"/>
      <c r="AA46" s="205"/>
      <c r="AC46" s="184" t="s">
        <v>9</v>
      </c>
      <c r="AD46" s="184"/>
      <c r="AE46" s="183" t="s">
        <v>364</v>
      </c>
      <c r="AF46" s="183"/>
      <c r="AG46" s="183" t="s">
        <v>372</v>
      </c>
      <c r="AH46" s="183"/>
      <c r="AI46" s="183" t="s">
        <v>364</v>
      </c>
      <c r="AJ46" s="183"/>
      <c r="AL46" s="174"/>
      <c r="AM46" s="174"/>
      <c r="AN46" s="174"/>
      <c r="AO46" s="174"/>
      <c r="AP46" s="174"/>
      <c r="AQ46" s="174"/>
      <c r="AR46" s="174"/>
      <c r="AS46" s="174"/>
      <c r="AU46" s="211"/>
      <c r="AV46" s="211"/>
      <c r="AW46" s="211"/>
      <c r="AX46" s="211"/>
      <c r="AY46" s="211"/>
      <c r="AZ46" s="211"/>
      <c r="BA46" s="211"/>
      <c r="BB46" s="211"/>
      <c r="BD46" s="192" t="s">
        <v>24</v>
      </c>
      <c r="BE46" s="192"/>
      <c r="BF46" s="192"/>
      <c r="BG46" s="183" t="s">
        <v>258</v>
      </c>
      <c r="BH46" s="183"/>
      <c r="BI46" s="183" t="s">
        <v>265</v>
      </c>
      <c r="BJ46" s="183"/>
      <c r="BK46" s="86">
        <v>100</v>
      </c>
      <c r="BM46" s="191" t="s">
        <v>51</v>
      </c>
      <c r="BN46" s="191"/>
      <c r="BO46" s="187">
        <f>SUM(BO25:BZ25)+SUM(BO29:BZ29)</f>
        <v>87500</v>
      </c>
      <c r="BP46" s="188"/>
      <c r="BQ46" s="188"/>
      <c r="BR46" s="188"/>
      <c r="BS46" s="185"/>
      <c r="BT46" s="186"/>
      <c r="BU46" s="186"/>
      <c r="BV46" s="186"/>
      <c r="BW46" s="185"/>
      <c r="BX46" s="186"/>
      <c r="BY46" s="186"/>
      <c r="BZ46" s="186"/>
    </row>
    <row r="47" spans="2:78">
      <c r="B47" s="205"/>
      <c r="C47" s="205"/>
      <c r="D47" s="205"/>
      <c r="E47" s="205"/>
      <c r="F47" s="205"/>
      <c r="G47" s="205"/>
      <c r="H47" s="205"/>
      <c r="I47" s="205"/>
      <c r="K47" s="205"/>
      <c r="L47" s="205"/>
      <c r="M47" s="205"/>
      <c r="N47" s="205"/>
      <c r="O47" s="205"/>
      <c r="P47" s="205"/>
      <c r="Q47" s="205"/>
      <c r="R47" s="205"/>
      <c r="T47" s="205"/>
      <c r="U47" s="205"/>
      <c r="V47" s="205"/>
      <c r="W47" s="205"/>
      <c r="X47" s="205"/>
      <c r="Y47" s="205"/>
      <c r="Z47" s="205"/>
      <c r="AA47" s="205"/>
      <c r="AC47" s="184" t="s">
        <v>323</v>
      </c>
      <c r="AD47" s="184"/>
      <c r="AE47" s="183" t="s">
        <v>374</v>
      </c>
      <c r="AF47" s="183"/>
      <c r="AG47" s="183" t="s">
        <v>374</v>
      </c>
      <c r="AH47" s="183"/>
      <c r="AI47" s="183" t="s">
        <v>374</v>
      </c>
      <c r="AJ47" s="183"/>
      <c r="AL47" s="174"/>
      <c r="AM47" s="174"/>
      <c r="AN47" s="174"/>
      <c r="AO47" s="174"/>
      <c r="AP47" s="174"/>
      <c r="AQ47" s="174"/>
      <c r="AR47" s="174"/>
      <c r="AS47" s="174"/>
      <c r="AU47" s="211"/>
      <c r="AV47" s="211"/>
      <c r="AW47" s="211"/>
      <c r="AX47" s="211"/>
      <c r="AY47" s="211"/>
      <c r="AZ47" s="211"/>
      <c r="BA47" s="211"/>
      <c r="BB47" s="211"/>
      <c r="BD47" s="192" t="s">
        <v>29</v>
      </c>
      <c r="BE47" s="192"/>
      <c r="BF47" s="192"/>
      <c r="BG47" s="183" t="s">
        <v>258</v>
      </c>
      <c r="BH47" s="183"/>
      <c r="BI47" s="183" t="s">
        <v>265</v>
      </c>
      <c r="BJ47" s="183"/>
      <c r="BK47" s="86">
        <v>150</v>
      </c>
      <c r="BM47" s="179"/>
      <c r="BN47" s="179"/>
      <c r="BO47" s="185"/>
      <c r="BP47" s="186"/>
      <c r="BQ47" s="186"/>
      <c r="BR47" s="186"/>
      <c r="BS47" s="185"/>
      <c r="BT47" s="186"/>
      <c r="BU47" s="186"/>
      <c r="BV47" s="186"/>
      <c r="BW47" s="185"/>
      <c r="BX47" s="186"/>
      <c r="BY47" s="186"/>
      <c r="BZ47" s="186"/>
    </row>
    <row r="48" spans="2:78" ht="12.75" customHeight="1">
      <c r="B48" s="205"/>
      <c r="C48" s="205"/>
      <c r="D48" s="205"/>
      <c r="E48" s="205"/>
      <c r="F48" s="205"/>
      <c r="G48" s="205"/>
      <c r="H48" s="205"/>
      <c r="I48" s="205"/>
      <c r="K48" s="205"/>
      <c r="L48" s="205"/>
      <c r="M48" s="205"/>
      <c r="N48" s="205"/>
      <c r="O48" s="205"/>
      <c r="P48" s="205"/>
      <c r="Q48" s="205"/>
      <c r="R48" s="205"/>
      <c r="T48" s="205"/>
      <c r="U48" s="205"/>
      <c r="V48" s="205"/>
      <c r="W48" s="205"/>
      <c r="X48" s="205"/>
      <c r="Y48" s="205"/>
      <c r="Z48" s="205"/>
      <c r="AA48" s="205"/>
      <c r="AC48" s="184" t="s">
        <v>10</v>
      </c>
      <c r="AD48" s="184"/>
      <c r="AE48" s="183" t="s">
        <v>374</v>
      </c>
      <c r="AF48" s="183"/>
      <c r="AG48" s="183" t="s">
        <v>374</v>
      </c>
      <c r="AH48" s="183"/>
      <c r="AI48" s="183" t="s">
        <v>375</v>
      </c>
      <c r="AJ48" s="183"/>
      <c r="AL48" s="174"/>
      <c r="AM48" s="174"/>
      <c r="AN48" s="174"/>
      <c r="AO48" s="174"/>
      <c r="AP48" s="174"/>
      <c r="AQ48" s="174"/>
      <c r="AR48" s="174"/>
      <c r="AS48" s="174"/>
      <c r="AU48" s="211"/>
      <c r="AV48" s="211"/>
      <c r="AW48" s="211"/>
      <c r="AX48" s="211"/>
      <c r="AY48" s="211"/>
      <c r="AZ48" s="211"/>
      <c r="BA48" s="211"/>
      <c r="BB48" s="211"/>
      <c r="BD48" s="97"/>
      <c r="BE48" s="97"/>
      <c r="BF48" s="97"/>
      <c r="BG48" s="97"/>
      <c r="BH48" s="97"/>
      <c r="BI48" s="97"/>
      <c r="BJ48" s="97"/>
      <c r="BK48" s="97"/>
      <c r="BM48" s="191" t="s">
        <v>53</v>
      </c>
      <c r="BN48" s="191"/>
      <c r="BO48" s="187">
        <f>SUM(BO35:BZ35)+SUM(BO39:BZ39)</f>
        <v>29500</v>
      </c>
      <c r="BP48" s="188"/>
      <c r="BQ48" s="188"/>
      <c r="BR48" s="188"/>
      <c r="BS48" s="189"/>
      <c r="BT48" s="190"/>
      <c r="BU48" s="190"/>
      <c r="BV48" s="190"/>
      <c r="BW48" s="189"/>
      <c r="BX48" s="190"/>
      <c r="BY48" s="190"/>
      <c r="BZ48" s="190"/>
    </row>
    <row r="49" spans="2:78" ht="12.75" customHeight="1">
      <c r="B49" s="205"/>
      <c r="C49" s="205"/>
      <c r="D49" s="205"/>
      <c r="E49" s="205"/>
      <c r="F49" s="205"/>
      <c r="G49" s="205"/>
      <c r="H49" s="205"/>
      <c r="I49" s="205"/>
      <c r="K49" s="205"/>
      <c r="L49" s="205"/>
      <c r="M49" s="205"/>
      <c r="N49" s="205"/>
      <c r="O49" s="205"/>
      <c r="P49" s="205"/>
      <c r="Q49" s="205"/>
      <c r="R49" s="205"/>
      <c r="T49" s="205"/>
      <c r="U49" s="205"/>
      <c r="V49" s="205"/>
      <c r="W49" s="205"/>
      <c r="X49" s="205"/>
      <c r="Y49" s="205"/>
      <c r="Z49" s="205"/>
      <c r="AA49" s="205"/>
      <c r="AC49" s="184" t="s">
        <v>11</v>
      </c>
      <c r="AD49" s="184"/>
      <c r="AE49" s="183" t="s">
        <v>365</v>
      </c>
      <c r="AF49" s="183"/>
      <c r="AG49" s="183" t="s">
        <v>372</v>
      </c>
      <c r="AH49" s="183"/>
      <c r="AI49" s="183" t="s">
        <v>372</v>
      </c>
      <c r="AJ49" s="183"/>
      <c r="AL49" s="174"/>
      <c r="AM49" s="174"/>
      <c r="AN49" s="174"/>
      <c r="AO49" s="174"/>
      <c r="AP49" s="174"/>
      <c r="AQ49" s="174"/>
      <c r="AR49" s="174"/>
      <c r="AS49" s="174"/>
      <c r="AU49" s="211"/>
      <c r="AV49" s="211"/>
      <c r="AW49" s="211"/>
      <c r="AX49" s="211"/>
      <c r="AY49" s="211"/>
      <c r="AZ49" s="211"/>
      <c r="BA49" s="211"/>
      <c r="BB49" s="211"/>
      <c r="BD49" s="97"/>
      <c r="BE49" s="97"/>
      <c r="BF49" s="97"/>
      <c r="BG49" s="97"/>
      <c r="BH49" s="97"/>
      <c r="BI49" s="97"/>
      <c r="BJ49" s="97"/>
      <c r="BK49" s="97"/>
      <c r="BM49" s="179"/>
      <c r="BN49" s="179"/>
      <c r="BO49" s="189"/>
      <c r="BP49" s="190"/>
      <c r="BQ49" s="190"/>
      <c r="BR49" s="190"/>
      <c r="BS49" s="189"/>
      <c r="BT49" s="190"/>
      <c r="BU49" s="190"/>
      <c r="BV49" s="190"/>
      <c r="BW49" s="189"/>
      <c r="BX49" s="190"/>
      <c r="BY49" s="190"/>
      <c r="BZ49" s="190"/>
    </row>
    <row r="50" spans="2:78">
      <c r="B50" s="205"/>
      <c r="C50" s="205"/>
      <c r="D50" s="205"/>
      <c r="E50" s="205"/>
      <c r="F50" s="205"/>
      <c r="G50" s="205"/>
      <c r="H50" s="205"/>
      <c r="I50" s="205"/>
      <c r="K50" s="205"/>
      <c r="L50" s="205"/>
      <c r="M50" s="205"/>
      <c r="N50" s="205"/>
      <c r="O50" s="205"/>
      <c r="P50" s="205"/>
      <c r="Q50" s="205"/>
      <c r="R50" s="205"/>
      <c r="T50" s="205"/>
      <c r="U50" s="205"/>
      <c r="V50" s="205"/>
      <c r="W50" s="205"/>
      <c r="X50" s="205"/>
      <c r="Y50" s="205"/>
      <c r="Z50" s="205"/>
      <c r="AA50" s="205"/>
      <c r="AC50" s="99"/>
      <c r="AD50" s="99"/>
      <c r="AE50" s="99"/>
      <c r="AF50" s="99"/>
      <c r="AG50" s="99"/>
      <c r="AH50" s="99"/>
      <c r="AI50" s="99"/>
      <c r="AJ50" s="99"/>
      <c r="AL50" s="174"/>
      <c r="AM50" s="174"/>
      <c r="AN50" s="174"/>
      <c r="AO50" s="174"/>
      <c r="AP50" s="174"/>
      <c r="AQ50" s="174"/>
      <c r="AR50" s="174"/>
      <c r="AS50" s="174"/>
      <c r="AU50" s="211"/>
      <c r="AV50" s="211"/>
      <c r="AW50" s="211"/>
      <c r="AX50" s="211"/>
      <c r="AY50" s="211"/>
      <c r="AZ50" s="211"/>
      <c r="BA50" s="211"/>
      <c r="BB50" s="211"/>
      <c r="BD50" s="97"/>
      <c r="BE50" s="97"/>
      <c r="BF50" s="97"/>
      <c r="BG50" s="97"/>
      <c r="BH50" s="97"/>
      <c r="BI50" s="97"/>
      <c r="BJ50" s="97"/>
      <c r="BK50" s="97"/>
    </row>
    <row r="51" spans="2:78">
      <c r="B51" s="205"/>
      <c r="C51" s="205"/>
      <c r="D51" s="205"/>
      <c r="E51" s="205"/>
      <c r="F51" s="205"/>
      <c r="G51" s="205"/>
      <c r="H51" s="205"/>
      <c r="I51" s="205"/>
      <c r="K51" s="205"/>
      <c r="L51" s="205"/>
      <c r="M51" s="205"/>
      <c r="N51" s="205"/>
      <c r="O51" s="205"/>
      <c r="P51" s="205"/>
      <c r="Q51" s="205"/>
      <c r="R51" s="205"/>
      <c r="T51" s="205"/>
      <c r="U51" s="205"/>
      <c r="V51" s="205"/>
      <c r="W51" s="205"/>
      <c r="X51" s="205"/>
      <c r="Y51" s="205"/>
      <c r="Z51" s="205"/>
      <c r="AA51" s="205"/>
      <c r="AC51" s="184" t="s">
        <v>12</v>
      </c>
      <c r="AD51" s="184"/>
      <c r="AE51" s="184"/>
      <c r="AF51" s="184"/>
      <c r="AG51" s="99"/>
      <c r="AH51" s="99"/>
      <c r="AI51" s="99"/>
      <c r="AJ51" s="99"/>
      <c r="AL51" s="174"/>
      <c r="AM51" s="174"/>
      <c r="AN51" s="174"/>
      <c r="AO51" s="174"/>
      <c r="AP51" s="174"/>
      <c r="AQ51" s="174"/>
      <c r="AR51" s="174"/>
      <c r="AS51" s="174"/>
      <c r="AU51" s="211"/>
      <c r="AV51" s="211"/>
      <c r="AW51" s="211"/>
      <c r="AX51" s="211"/>
      <c r="AY51" s="211"/>
      <c r="AZ51" s="211"/>
      <c r="BA51" s="211"/>
      <c r="BB51" s="211"/>
      <c r="BD51" s="97"/>
      <c r="BE51" s="97"/>
      <c r="BF51" s="97"/>
      <c r="BG51" s="97"/>
      <c r="BH51" s="97"/>
      <c r="BI51" s="97"/>
      <c r="BJ51" s="97"/>
      <c r="BK51" s="97"/>
    </row>
    <row r="52" spans="2:78">
      <c r="B52" s="205"/>
      <c r="C52" s="205"/>
      <c r="D52" s="205"/>
      <c r="E52" s="205"/>
      <c r="F52" s="205"/>
      <c r="G52" s="205"/>
      <c r="H52" s="205"/>
      <c r="I52" s="205"/>
      <c r="K52" s="205"/>
      <c r="L52" s="205"/>
      <c r="M52" s="205"/>
      <c r="N52" s="205"/>
      <c r="O52" s="205"/>
      <c r="P52" s="205"/>
      <c r="Q52" s="205"/>
      <c r="R52" s="205"/>
      <c r="T52" s="205"/>
      <c r="U52" s="205"/>
      <c r="V52" s="205"/>
      <c r="W52" s="205"/>
      <c r="X52" s="205"/>
      <c r="Y52" s="205"/>
      <c r="Z52" s="205"/>
      <c r="AA52" s="205"/>
      <c r="AC52" s="209" t="s">
        <v>385</v>
      </c>
      <c r="AD52" s="209"/>
      <c r="AE52" s="209"/>
      <c r="AF52" s="209"/>
      <c r="AG52" s="209"/>
      <c r="AH52" s="209"/>
      <c r="AI52" s="209"/>
      <c r="AJ52" s="209"/>
      <c r="AL52" s="174"/>
      <c r="AM52" s="174"/>
      <c r="AN52" s="174"/>
      <c r="AO52" s="174"/>
      <c r="AP52" s="174"/>
      <c r="AQ52" s="174"/>
      <c r="AR52" s="174"/>
      <c r="AS52" s="174"/>
      <c r="AU52" s="211"/>
      <c r="AV52" s="211"/>
      <c r="AW52" s="211"/>
      <c r="AX52" s="211"/>
      <c r="AY52" s="211"/>
      <c r="AZ52" s="211"/>
      <c r="BA52" s="211"/>
      <c r="BB52" s="211"/>
      <c r="BD52" s="97"/>
      <c r="BE52" s="97"/>
      <c r="BF52" s="97"/>
      <c r="BG52" s="97"/>
      <c r="BH52" s="97"/>
      <c r="BI52" s="97"/>
      <c r="BJ52" s="97"/>
      <c r="BK52" s="97"/>
    </row>
    <row r="53" spans="2:78">
      <c r="B53" s="205"/>
      <c r="C53" s="205"/>
      <c r="D53" s="205"/>
      <c r="E53" s="205"/>
      <c r="F53" s="205"/>
      <c r="G53" s="205"/>
      <c r="H53" s="205"/>
      <c r="I53" s="205"/>
      <c r="K53" s="205"/>
      <c r="L53" s="205"/>
      <c r="M53" s="205"/>
      <c r="N53" s="205"/>
      <c r="O53" s="205"/>
      <c r="P53" s="205"/>
      <c r="Q53" s="205"/>
      <c r="R53" s="205"/>
      <c r="T53" s="205"/>
      <c r="U53" s="205"/>
      <c r="V53" s="205"/>
      <c r="W53" s="205"/>
      <c r="X53" s="205"/>
      <c r="Y53" s="205"/>
      <c r="Z53" s="205"/>
      <c r="AA53" s="205"/>
      <c r="AC53" s="209"/>
      <c r="AD53" s="209"/>
      <c r="AE53" s="209"/>
      <c r="AF53" s="209"/>
      <c r="AG53" s="209"/>
      <c r="AH53" s="209"/>
      <c r="AI53" s="209"/>
      <c r="AJ53" s="209"/>
      <c r="AL53" s="174"/>
      <c r="AM53" s="174"/>
      <c r="AN53" s="174"/>
      <c r="AO53" s="174"/>
      <c r="AP53" s="174"/>
      <c r="AQ53" s="174"/>
      <c r="AR53" s="174"/>
      <c r="AS53" s="174"/>
      <c r="AU53" s="211"/>
      <c r="AV53" s="211"/>
      <c r="AW53" s="211"/>
      <c r="AX53" s="211"/>
      <c r="AY53" s="211"/>
      <c r="AZ53" s="211"/>
      <c r="BA53" s="211"/>
      <c r="BB53" s="211"/>
      <c r="BD53" s="97"/>
      <c r="BE53" s="97"/>
      <c r="BF53" s="97"/>
      <c r="BG53" s="97"/>
      <c r="BH53" s="97"/>
      <c r="BI53" s="97"/>
      <c r="BJ53" s="97"/>
      <c r="BK53" s="97"/>
    </row>
    <row r="54" spans="2:78">
      <c r="B54" s="205"/>
      <c r="C54" s="205"/>
      <c r="D54" s="205"/>
      <c r="E54" s="205"/>
      <c r="F54" s="205"/>
      <c r="G54" s="205"/>
      <c r="H54" s="205"/>
      <c r="I54" s="205"/>
      <c r="K54" s="205"/>
      <c r="L54" s="205"/>
      <c r="M54" s="205"/>
      <c r="N54" s="205"/>
      <c r="O54" s="205"/>
      <c r="P54" s="205"/>
      <c r="Q54" s="205"/>
      <c r="R54" s="205"/>
      <c r="T54" s="205"/>
      <c r="U54" s="205"/>
      <c r="V54" s="205"/>
      <c r="W54" s="205"/>
      <c r="X54" s="205"/>
      <c r="Y54" s="205"/>
      <c r="Z54" s="205"/>
      <c r="AA54" s="205"/>
      <c r="AC54" s="209"/>
      <c r="AD54" s="209"/>
      <c r="AE54" s="209"/>
      <c r="AF54" s="209"/>
      <c r="AG54" s="209"/>
      <c r="AH54" s="209"/>
      <c r="AI54" s="209"/>
      <c r="AJ54" s="209"/>
      <c r="AL54" s="174"/>
      <c r="AM54" s="174"/>
      <c r="AN54" s="174"/>
      <c r="AO54" s="174"/>
      <c r="AP54" s="174"/>
      <c r="AQ54" s="174"/>
      <c r="AR54" s="174"/>
      <c r="AS54" s="174"/>
      <c r="AU54" s="211"/>
      <c r="AV54" s="211"/>
      <c r="AW54" s="211"/>
      <c r="AX54" s="211"/>
      <c r="AY54" s="211"/>
      <c r="AZ54" s="211"/>
      <c r="BA54" s="211"/>
      <c r="BB54" s="211"/>
      <c r="BD54" s="97"/>
      <c r="BE54" s="97"/>
      <c r="BF54" s="97"/>
      <c r="BG54" s="97"/>
      <c r="BH54" s="97"/>
      <c r="BI54" s="97"/>
      <c r="BJ54" s="97"/>
      <c r="BK54" s="97"/>
    </row>
    <row r="55" spans="2:78">
      <c r="B55" s="205"/>
      <c r="C55" s="205"/>
      <c r="D55" s="205"/>
      <c r="E55" s="205"/>
      <c r="F55" s="205"/>
      <c r="G55" s="205"/>
      <c r="H55" s="205"/>
      <c r="I55" s="205"/>
      <c r="K55" s="205"/>
      <c r="L55" s="205"/>
      <c r="M55" s="205"/>
      <c r="N55" s="205"/>
      <c r="O55" s="205"/>
      <c r="P55" s="205"/>
      <c r="Q55" s="205"/>
      <c r="R55" s="205"/>
      <c r="T55" s="205"/>
      <c r="U55" s="205"/>
      <c r="V55" s="205"/>
      <c r="W55" s="205"/>
      <c r="X55" s="205"/>
      <c r="Y55" s="205"/>
      <c r="Z55" s="205"/>
      <c r="AA55" s="205"/>
      <c r="AC55" s="209"/>
      <c r="AD55" s="209"/>
      <c r="AE55" s="209"/>
      <c r="AF55" s="209"/>
      <c r="AG55" s="209"/>
      <c r="AH55" s="209"/>
      <c r="AI55" s="209"/>
      <c r="AJ55" s="209"/>
      <c r="AL55" s="174"/>
      <c r="AM55" s="174"/>
      <c r="AN55" s="174"/>
      <c r="AO55" s="174"/>
      <c r="AP55" s="174"/>
      <c r="AQ55" s="174"/>
      <c r="AR55" s="174"/>
      <c r="AS55" s="174"/>
      <c r="AU55" s="211"/>
      <c r="AV55" s="211"/>
      <c r="AW55" s="211"/>
      <c r="AX55" s="211"/>
      <c r="AY55" s="211"/>
      <c r="AZ55" s="211"/>
      <c r="BA55" s="211"/>
      <c r="BB55" s="211"/>
      <c r="BD55" s="97"/>
      <c r="BE55" s="97"/>
      <c r="BF55" s="97"/>
      <c r="BG55" s="97"/>
      <c r="BH55" s="97"/>
      <c r="BI55" s="97"/>
      <c r="BJ55" s="97"/>
      <c r="BK55" s="97"/>
    </row>
    <row r="56" spans="2:78">
      <c r="K56" s="6"/>
      <c r="AU56" s="61"/>
      <c r="AV56" s="61"/>
      <c r="AW56" s="61"/>
      <c r="AX56" s="61"/>
      <c r="AY56" s="61"/>
      <c r="AZ56" s="61"/>
      <c r="BA56" s="61"/>
      <c r="BB56" s="61"/>
      <c r="BM56" s="73"/>
      <c r="BN56" s="73"/>
      <c r="BO56" s="73"/>
      <c r="BP56" s="73"/>
      <c r="BQ56" s="73"/>
      <c r="BR56" s="73"/>
      <c r="BS56" s="73"/>
      <c r="BT56" s="73"/>
      <c r="BU56" s="73"/>
      <c r="BV56" s="73"/>
      <c r="BW56" s="73"/>
      <c r="BX56" s="73"/>
      <c r="BY56" s="73"/>
      <c r="BZ56" s="73"/>
    </row>
    <row r="57" spans="2:78">
      <c r="B57" s="175"/>
      <c r="C57" s="175"/>
      <c r="D57" s="175"/>
      <c r="E57" s="175"/>
      <c r="F57" s="175"/>
      <c r="G57" s="175"/>
      <c r="H57" s="175"/>
      <c r="I57" s="175"/>
      <c r="K57" s="175"/>
      <c r="L57" s="175"/>
      <c r="M57" s="175"/>
      <c r="N57" s="175"/>
      <c r="O57" s="175"/>
      <c r="P57" s="175"/>
      <c r="Q57" s="175"/>
      <c r="R57" s="175"/>
      <c r="T57" s="175"/>
      <c r="U57" s="175"/>
      <c r="V57" s="175"/>
      <c r="W57" s="175"/>
      <c r="X57" s="175"/>
      <c r="Y57" s="175"/>
      <c r="Z57" s="175"/>
      <c r="AA57" s="175"/>
      <c r="AC57" s="175"/>
      <c r="AD57" s="175"/>
      <c r="AE57" s="175"/>
      <c r="AF57" s="175"/>
      <c r="AG57" s="175"/>
      <c r="AH57" s="175"/>
      <c r="AI57" s="175"/>
      <c r="AJ57" s="175"/>
      <c r="AL57" s="175"/>
      <c r="AM57" s="175"/>
      <c r="AN57" s="175"/>
      <c r="AO57" s="175"/>
      <c r="AP57" s="175"/>
      <c r="AQ57" s="175"/>
      <c r="AR57" s="175"/>
      <c r="AS57" s="175"/>
      <c r="AU57" s="175"/>
      <c r="AV57" s="175"/>
      <c r="AW57" s="175"/>
      <c r="AX57" s="175"/>
      <c r="AY57" s="175"/>
      <c r="AZ57" s="175"/>
      <c r="BA57" s="175"/>
      <c r="BB57" s="175"/>
      <c r="BD57" s="175"/>
      <c r="BE57" s="175"/>
      <c r="BF57" s="175"/>
      <c r="BG57" s="175"/>
      <c r="BH57" s="175"/>
      <c r="BI57" s="175"/>
      <c r="BJ57" s="175"/>
      <c r="BK57" s="175"/>
      <c r="BM57" s="175"/>
      <c r="BN57" s="175"/>
      <c r="BO57" s="175"/>
      <c r="BP57" s="175"/>
      <c r="BQ57" s="175"/>
      <c r="BR57" s="175"/>
      <c r="BS57" s="175"/>
      <c r="BT57" s="175"/>
      <c r="BU57" s="168"/>
      <c r="BV57" s="168"/>
      <c r="BW57" s="168"/>
      <c r="BX57" s="168"/>
      <c r="BY57" s="168"/>
      <c r="BZ57" s="168"/>
    </row>
    <row r="59" spans="2:78" ht="17.399999999999999">
      <c r="B59" s="72"/>
      <c r="K59" s="72"/>
      <c r="T59" s="72"/>
      <c r="AC59" s="72"/>
      <c r="AL59" s="72"/>
      <c r="AU59" s="72"/>
      <c r="BD59" s="72"/>
      <c r="BM59" s="72"/>
    </row>
    <row r="61" spans="2:78" ht="4.95" customHeight="1"/>
  </sheetData>
  <sheetProtection password="EA12" sheet="1" objects="1" scenarios="1" selectLockedCells="1"/>
  <mergeCells count="418">
    <mergeCell ref="BG36:BH36"/>
    <mergeCell ref="BG37:BH37"/>
    <mergeCell ref="BG46:BH46"/>
    <mergeCell ref="BD45:BF45"/>
    <mergeCell ref="BG35:BH35"/>
    <mergeCell ref="BI47:BJ47"/>
    <mergeCell ref="BD3:BG3"/>
    <mergeCell ref="BG33:BH33"/>
    <mergeCell ref="BD34:BF34"/>
    <mergeCell ref="BD35:BF35"/>
    <mergeCell ref="BG40:BH40"/>
    <mergeCell ref="BG38:BH38"/>
    <mergeCell ref="BG39:BH39"/>
    <mergeCell ref="BD46:BF46"/>
    <mergeCell ref="BE39:BF39"/>
    <mergeCell ref="BD31:BF31"/>
    <mergeCell ref="BD38:BF38"/>
    <mergeCell ref="BE40:BF40"/>
    <mergeCell ref="BE42:BF42"/>
    <mergeCell ref="BE41:BF41"/>
    <mergeCell ref="BD8:BK29"/>
    <mergeCell ref="BK1:BK3"/>
    <mergeCell ref="BD7:BF7"/>
    <mergeCell ref="BD5:BG5"/>
    <mergeCell ref="BG45:BH45"/>
    <mergeCell ref="BI33:BJ33"/>
    <mergeCell ref="BD43:BF43"/>
    <mergeCell ref="BD44:BF44"/>
    <mergeCell ref="BD36:BF36"/>
    <mergeCell ref="BD37:BF37"/>
    <mergeCell ref="AI48:AJ48"/>
    <mergeCell ref="AC51:AF51"/>
    <mergeCell ref="AL5:AO5"/>
    <mergeCell ref="AL18:AO18"/>
    <mergeCell ref="AL7:AS16"/>
    <mergeCell ref="AL33:AS55"/>
    <mergeCell ref="AU15:BB38"/>
    <mergeCell ref="AL20:AS29"/>
    <mergeCell ref="AL31:AO31"/>
    <mergeCell ref="AU40:AW40"/>
    <mergeCell ref="AU41:BB55"/>
    <mergeCell ref="AC42:AD42"/>
    <mergeCell ref="AE42:AF42"/>
    <mergeCell ref="AG42:AH42"/>
    <mergeCell ref="AI42:AJ42"/>
    <mergeCell ref="AC43:AD43"/>
    <mergeCell ref="AE43:AF43"/>
    <mergeCell ref="AG43:AH43"/>
    <mergeCell ref="AL3:AO3"/>
    <mergeCell ref="AS1:AS3"/>
    <mergeCell ref="BB1:BB3"/>
    <mergeCell ref="AU5:AX5"/>
    <mergeCell ref="AU11:BB12"/>
    <mergeCell ref="AU3:AX3"/>
    <mergeCell ref="AU14:AW14"/>
    <mergeCell ref="AU8:BB8"/>
    <mergeCell ref="AU7:AW7"/>
    <mergeCell ref="AU10:AW10"/>
    <mergeCell ref="AI43:AJ43"/>
    <mergeCell ref="AC52:AJ55"/>
    <mergeCell ref="AC47:AD47"/>
    <mergeCell ref="AE47:AF47"/>
    <mergeCell ref="AG47:AH47"/>
    <mergeCell ref="AI47:AJ47"/>
    <mergeCell ref="AC49:AD49"/>
    <mergeCell ref="AE49:AF49"/>
    <mergeCell ref="AG49:AH49"/>
    <mergeCell ref="AI49:AJ49"/>
    <mergeCell ref="AC46:AD46"/>
    <mergeCell ref="AE46:AF46"/>
    <mergeCell ref="AG46:AH46"/>
    <mergeCell ref="AI46:AJ46"/>
    <mergeCell ref="AC48:AD48"/>
    <mergeCell ref="AE48:AF48"/>
    <mergeCell ref="AG48:AH48"/>
    <mergeCell ref="AE40:AF40"/>
    <mergeCell ref="AG40:AH40"/>
    <mergeCell ref="AI40:AJ40"/>
    <mergeCell ref="AC41:AD41"/>
    <mergeCell ref="AE41:AF41"/>
    <mergeCell ref="AG41:AH41"/>
    <mergeCell ref="AI41:AJ41"/>
    <mergeCell ref="AC37:AD37"/>
    <mergeCell ref="AE37:AF37"/>
    <mergeCell ref="AG37:AH37"/>
    <mergeCell ref="AI37:AJ37"/>
    <mergeCell ref="AC38:AD38"/>
    <mergeCell ref="AE38:AF38"/>
    <mergeCell ref="AG38:AH38"/>
    <mergeCell ref="AI38:AJ38"/>
    <mergeCell ref="AC35:AD35"/>
    <mergeCell ref="AE35:AF35"/>
    <mergeCell ref="AG35:AH35"/>
    <mergeCell ref="AI35:AJ35"/>
    <mergeCell ref="AC36:AD36"/>
    <mergeCell ref="AE36:AF36"/>
    <mergeCell ref="AG36:AH36"/>
    <mergeCell ref="AI36:AJ36"/>
    <mergeCell ref="AC33:AD33"/>
    <mergeCell ref="AE33:AF33"/>
    <mergeCell ref="AG33:AH33"/>
    <mergeCell ref="AI33:AJ33"/>
    <mergeCell ref="AC34:AD34"/>
    <mergeCell ref="AE34:AF34"/>
    <mergeCell ref="AG34:AH34"/>
    <mergeCell ref="AI34:AJ34"/>
    <mergeCell ref="AC31:AD31"/>
    <mergeCell ref="AE31:AF31"/>
    <mergeCell ref="AG31:AH31"/>
    <mergeCell ref="AI31:AJ31"/>
    <mergeCell ref="AC32:AD32"/>
    <mergeCell ref="AE32:AF32"/>
    <mergeCell ref="AG32:AH32"/>
    <mergeCell ref="AI32:AJ32"/>
    <mergeCell ref="AE29:AF29"/>
    <mergeCell ref="AG29:AH29"/>
    <mergeCell ref="AI29:AJ29"/>
    <mergeCell ref="AC30:AD30"/>
    <mergeCell ref="AE30:AF30"/>
    <mergeCell ref="AG30:AH30"/>
    <mergeCell ref="AI30:AJ30"/>
    <mergeCell ref="AC26:AD26"/>
    <mergeCell ref="AE26:AF26"/>
    <mergeCell ref="AG26:AH26"/>
    <mergeCell ref="AI26:AJ26"/>
    <mergeCell ref="AC27:AD27"/>
    <mergeCell ref="AE27:AF27"/>
    <mergeCell ref="AG27:AH27"/>
    <mergeCell ref="AI27:AJ27"/>
    <mergeCell ref="AC24:AD24"/>
    <mergeCell ref="AE24:AF24"/>
    <mergeCell ref="AG24:AH24"/>
    <mergeCell ref="AI24:AJ24"/>
    <mergeCell ref="AC25:AD25"/>
    <mergeCell ref="AE25:AF25"/>
    <mergeCell ref="AG25:AH25"/>
    <mergeCell ref="AI25:AJ25"/>
    <mergeCell ref="AC22:AD22"/>
    <mergeCell ref="AE22:AF22"/>
    <mergeCell ref="AG22:AH22"/>
    <mergeCell ref="AI22:AJ22"/>
    <mergeCell ref="AC23:AD23"/>
    <mergeCell ref="AE23:AF23"/>
    <mergeCell ref="AG23:AH23"/>
    <mergeCell ref="AI23:AJ23"/>
    <mergeCell ref="AC20:AD20"/>
    <mergeCell ref="AE20:AF20"/>
    <mergeCell ref="AG20:AH20"/>
    <mergeCell ref="AI20:AJ20"/>
    <mergeCell ref="AC21:AD21"/>
    <mergeCell ref="AE21:AF21"/>
    <mergeCell ref="AG21:AH21"/>
    <mergeCell ref="AI21:AJ21"/>
    <mergeCell ref="AE18:AF18"/>
    <mergeCell ref="AG18:AH18"/>
    <mergeCell ref="AI18:AJ18"/>
    <mergeCell ref="AC19:AD19"/>
    <mergeCell ref="AE19:AF19"/>
    <mergeCell ref="AG19:AH19"/>
    <mergeCell ref="AI19:AJ19"/>
    <mergeCell ref="AC15:AD15"/>
    <mergeCell ref="AE15:AF15"/>
    <mergeCell ref="AG15:AH15"/>
    <mergeCell ref="AI15:AJ15"/>
    <mergeCell ref="AC16:AD16"/>
    <mergeCell ref="AE16:AF16"/>
    <mergeCell ref="AG16:AH16"/>
    <mergeCell ref="AI16:AJ16"/>
    <mergeCell ref="AC13:AD13"/>
    <mergeCell ref="AE13:AF13"/>
    <mergeCell ref="AG13:AH13"/>
    <mergeCell ref="AI13:AJ13"/>
    <mergeCell ref="AC14:AD14"/>
    <mergeCell ref="AE14:AF14"/>
    <mergeCell ref="AG14:AH14"/>
    <mergeCell ref="AI14:AJ14"/>
    <mergeCell ref="AC11:AD11"/>
    <mergeCell ref="AE11:AF11"/>
    <mergeCell ref="AG11:AH11"/>
    <mergeCell ref="AI11:AJ11"/>
    <mergeCell ref="AC12:AD12"/>
    <mergeCell ref="AE12:AF12"/>
    <mergeCell ref="AG12:AH12"/>
    <mergeCell ref="AI12:AJ12"/>
    <mergeCell ref="AC9:AD9"/>
    <mergeCell ref="AE9:AF9"/>
    <mergeCell ref="AG9:AH9"/>
    <mergeCell ref="AI9:AJ9"/>
    <mergeCell ref="AC10:AD10"/>
    <mergeCell ref="AE10:AF10"/>
    <mergeCell ref="AG10:AH10"/>
    <mergeCell ref="AI10:AJ10"/>
    <mergeCell ref="AI7:AJ7"/>
    <mergeCell ref="AJ1:AJ3"/>
    <mergeCell ref="AC5:AF5"/>
    <mergeCell ref="AC8:AD8"/>
    <mergeCell ref="AE8:AF8"/>
    <mergeCell ref="AG8:AH8"/>
    <mergeCell ref="AI8:AJ8"/>
    <mergeCell ref="AC3:AF3"/>
    <mergeCell ref="I1:I3"/>
    <mergeCell ref="R1:R3"/>
    <mergeCell ref="K3:N3"/>
    <mergeCell ref="AE7:AF7"/>
    <mergeCell ref="T5:W5"/>
    <mergeCell ref="AG7:AH7"/>
    <mergeCell ref="K30:N30"/>
    <mergeCell ref="K32:R55"/>
    <mergeCell ref="K7:R28"/>
    <mergeCell ref="T7:AA55"/>
    <mergeCell ref="B3:E3"/>
    <mergeCell ref="T3:W3"/>
    <mergeCell ref="B7:I55"/>
    <mergeCell ref="B5:E5"/>
    <mergeCell ref="K5:N5"/>
    <mergeCell ref="AA1:AA3"/>
    <mergeCell ref="BO12:BQ12"/>
    <mergeCell ref="BR18:BT18"/>
    <mergeCell ref="BO17:BQ17"/>
    <mergeCell ref="BR17:BT17"/>
    <mergeCell ref="BQ24:BR24"/>
    <mergeCell ref="BM24:BN24"/>
    <mergeCell ref="BX9:BZ10"/>
    <mergeCell ref="BU12:BW12"/>
    <mergeCell ref="BX12:BZ12"/>
    <mergeCell ref="BR11:BT11"/>
    <mergeCell ref="BU11:BW11"/>
    <mergeCell ref="BX11:BZ11"/>
    <mergeCell ref="BR12:BT12"/>
    <mergeCell ref="BR14:BT14"/>
    <mergeCell ref="BO14:BQ14"/>
    <mergeCell ref="BM15:BN15"/>
    <mergeCell ref="BM16:BN16"/>
    <mergeCell ref="BO16:BQ16"/>
    <mergeCell ref="BR19:BT19"/>
    <mergeCell ref="BR20:BT20"/>
    <mergeCell ref="BM20:BN20"/>
    <mergeCell ref="BX20:BZ20"/>
    <mergeCell ref="BS24:BT24"/>
    <mergeCell ref="BU24:BV24"/>
    <mergeCell ref="BM25:BN25"/>
    <mergeCell ref="BX16:BZ16"/>
    <mergeCell ref="BM28:BN28"/>
    <mergeCell ref="BM29:BN29"/>
    <mergeCell ref="BM30:BN30"/>
    <mergeCell ref="BX18:BZ18"/>
    <mergeCell ref="BI40:BJ40"/>
    <mergeCell ref="BM7:BP7"/>
    <mergeCell ref="BO11:BQ11"/>
    <mergeCell ref="BO13:BQ13"/>
    <mergeCell ref="BO15:BQ15"/>
    <mergeCell ref="BM12:BN12"/>
    <mergeCell ref="BM13:BN13"/>
    <mergeCell ref="BM14:BN14"/>
    <mergeCell ref="BM11:BN11"/>
    <mergeCell ref="BI34:BJ34"/>
    <mergeCell ref="BM32:BR32"/>
    <mergeCell ref="BO36:BP36"/>
    <mergeCell ref="BQ36:BR36"/>
    <mergeCell ref="BI35:BJ35"/>
    <mergeCell ref="BI36:BJ36"/>
    <mergeCell ref="BI37:BJ37"/>
    <mergeCell ref="BI38:BJ38"/>
    <mergeCell ref="BI39:BJ39"/>
    <mergeCell ref="BG34:BH34"/>
    <mergeCell ref="BY1:BZ3"/>
    <mergeCell ref="BO9:BQ10"/>
    <mergeCell ref="BR13:BT13"/>
    <mergeCell ref="BU13:BW13"/>
    <mergeCell ref="BX13:BZ13"/>
    <mergeCell ref="BM1:BQ1"/>
    <mergeCell ref="BM5:BP5"/>
    <mergeCell ref="BQ5:BS5"/>
    <mergeCell ref="BR9:BT10"/>
    <mergeCell ref="BU9:BW10"/>
    <mergeCell ref="BX17:BZ17"/>
    <mergeCell ref="BR15:BT15"/>
    <mergeCell ref="BU15:BW15"/>
    <mergeCell ref="BX15:BZ15"/>
    <mergeCell ref="BU14:BW14"/>
    <mergeCell ref="BX14:BZ14"/>
    <mergeCell ref="BU16:BW16"/>
    <mergeCell ref="BO19:BQ19"/>
    <mergeCell ref="BM19:BN19"/>
    <mergeCell ref="BM17:BN17"/>
    <mergeCell ref="BM18:BN18"/>
    <mergeCell ref="BU18:BW18"/>
    <mergeCell ref="BM22:BQ22"/>
    <mergeCell ref="BW24:BX24"/>
    <mergeCell ref="BR22:BZ22"/>
    <mergeCell ref="BY24:BZ24"/>
    <mergeCell ref="BU17:BW17"/>
    <mergeCell ref="BU19:BW19"/>
    <mergeCell ref="BX19:BZ19"/>
    <mergeCell ref="BO18:BQ18"/>
    <mergeCell ref="BR16:BT16"/>
    <mergeCell ref="BS26:BT26"/>
    <mergeCell ref="BU26:BV26"/>
    <mergeCell ref="BS25:BT25"/>
    <mergeCell ref="BQ25:BR25"/>
    <mergeCell ref="BY25:BZ25"/>
    <mergeCell ref="BO26:BP26"/>
    <mergeCell ref="BQ26:BR26"/>
    <mergeCell ref="BO24:BP24"/>
    <mergeCell ref="BO20:BQ20"/>
    <mergeCell ref="BU20:BW20"/>
    <mergeCell ref="BM26:BN26"/>
    <mergeCell ref="BU29:BV29"/>
    <mergeCell ref="BW29:BX29"/>
    <mergeCell ref="BQ30:BR30"/>
    <mergeCell ref="BS30:BT30"/>
    <mergeCell ref="BO30:BP30"/>
    <mergeCell ref="BU28:BV28"/>
    <mergeCell ref="BY30:BZ30"/>
    <mergeCell ref="BW25:BX25"/>
    <mergeCell ref="BO25:BP25"/>
    <mergeCell ref="BS28:BT28"/>
    <mergeCell ref="BY29:BZ29"/>
    <mergeCell ref="BO28:BP28"/>
    <mergeCell ref="BO29:BP29"/>
    <mergeCell ref="BQ29:BR29"/>
    <mergeCell ref="BS29:BT29"/>
    <mergeCell ref="BY28:BZ28"/>
    <mergeCell ref="BW28:BX28"/>
    <mergeCell ref="BQ28:BR28"/>
    <mergeCell ref="BU30:BV30"/>
    <mergeCell ref="BW30:BX30"/>
    <mergeCell ref="BU25:BV25"/>
    <mergeCell ref="BW26:BX26"/>
    <mergeCell ref="BY26:BZ26"/>
    <mergeCell ref="BW34:BX34"/>
    <mergeCell ref="BY34:BZ34"/>
    <mergeCell ref="BU34:BV34"/>
    <mergeCell ref="BS34:BT34"/>
    <mergeCell ref="BW35:BX35"/>
    <mergeCell ref="BY35:BZ35"/>
    <mergeCell ref="BU35:BV35"/>
    <mergeCell ref="BM34:BN34"/>
    <mergeCell ref="BO34:BP34"/>
    <mergeCell ref="BQ35:BR35"/>
    <mergeCell ref="BS35:BT35"/>
    <mergeCell ref="BQ34:BR34"/>
    <mergeCell ref="BM35:BN35"/>
    <mergeCell ref="BS36:BT36"/>
    <mergeCell ref="BO35:BP35"/>
    <mergeCell ref="BW39:BX39"/>
    <mergeCell ref="BY39:BZ39"/>
    <mergeCell ref="BM38:BN38"/>
    <mergeCell ref="BO38:BP38"/>
    <mergeCell ref="BQ38:BR38"/>
    <mergeCell ref="BS38:BT38"/>
    <mergeCell ref="BU38:BV38"/>
    <mergeCell ref="BW38:BX38"/>
    <mergeCell ref="BY38:BZ38"/>
    <mergeCell ref="BS39:BT39"/>
    <mergeCell ref="BQ39:BR39"/>
    <mergeCell ref="BU36:BV36"/>
    <mergeCell ref="BU39:BV39"/>
    <mergeCell ref="BW36:BX36"/>
    <mergeCell ref="BY36:BZ36"/>
    <mergeCell ref="BM36:BN36"/>
    <mergeCell ref="BM39:BN39"/>
    <mergeCell ref="BO39:BP39"/>
    <mergeCell ref="BW40:BX40"/>
    <mergeCell ref="BY40:BZ40"/>
    <mergeCell ref="BM40:BN40"/>
    <mergeCell ref="BO40:BP40"/>
    <mergeCell ref="BQ40:BR40"/>
    <mergeCell ref="BS40:BT40"/>
    <mergeCell ref="BU40:BV40"/>
    <mergeCell ref="BO45:BR45"/>
    <mergeCell ref="BO46:BR46"/>
    <mergeCell ref="BM46:BN46"/>
    <mergeCell ref="BS45:BV45"/>
    <mergeCell ref="BW45:BZ45"/>
    <mergeCell ref="BS46:BV46"/>
    <mergeCell ref="BW46:BZ46"/>
    <mergeCell ref="BM43:BR43"/>
    <mergeCell ref="BO47:BR47"/>
    <mergeCell ref="BO48:BR48"/>
    <mergeCell ref="BO49:BR49"/>
    <mergeCell ref="BM47:BN47"/>
    <mergeCell ref="BM48:BN48"/>
    <mergeCell ref="BD57:BK57"/>
    <mergeCell ref="BM57:BT57"/>
    <mergeCell ref="BW49:BZ49"/>
    <mergeCell ref="BS47:BV47"/>
    <mergeCell ref="BW47:BZ47"/>
    <mergeCell ref="BS48:BV48"/>
    <mergeCell ref="BW48:BZ48"/>
    <mergeCell ref="BM49:BN49"/>
    <mergeCell ref="BS49:BV49"/>
    <mergeCell ref="BG47:BH47"/>
    <mergeCell ref="BD47:BF47"/>
    <mergeCell ref="B57:I57"/>
    <mergeCell ref="K57:R57"/>
    <mergeCell ref="T57:AA57"/>
    <mergeCell ref="AC57:AJ57"/>
    <mergeCell ref="AL57:AS57"/>
    <mergeCell ref="AU57:BB57"/>
    <mergeCell ref="BI41:BJ41"/>
    <mergeCell ref="BG44:BH44"/>
    <mergeCell ref="BG41:BH41"/>
    <mergeCell ref="BG42:BH42"/>
    <mergeCell ref="BG43:BH43"/>
    <mergeCell ref="BI42:BJ42"/>
    <mergeCell ref="BI46:BJ46"/>
    <mergeCell ref="BI43:BJ43"/>
    <mergeCell ref="BI44:BJ44"/>
    <mergeCell ref="BI45:BJ45"/>
    <mergeCell ref="AC44:AD44"/>
    <mergeCell ref="AE44:AF44"/>
    <mergeCell ref="AG44:AH44"/>
    <mergeCell ref="AI44:AJ44"/>
    <mergeCell ref="AC45:AD45"/>
    <mergeCell ref="AE45:AF45"/>
    <mergeCell ref="AG45:AH45"/>
    <mergeCell ref="AI45:AJ45"/>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indexed="45"/>
  </sheetPr>
  <dimension ref="B1:AA59"/>
  <sheetViews>
    <sheetView showGridLines="0" topLeftCell="J1" zoomScale="85" zoomScaleNormal="85" workbookViewId="0">
      <selection activeCell="K7" sqref="K7:R28"/>
    </sheetView>
  </sheetViews>
  <sheetFormatPr baseColWidth="10" defaultColWidth="11.44140625" defaultRowHeight="13.2"/>
  <cols>
    <col min="1" max="2" width="4.6640625" customWidth="1"/>
    <col min="10" max="11" width="4.6640625" customWidth="1"/>
    <col min="19" max="20" width="4.6640625" customWidth="1"/>
  </cols>
  <sheetData>
    <row r="1" spans="2:27" ht="18" customHeight="1">
      <c r="B1" s="87"/>
      <c r="C1" s="88"/>
      <c r="D1" s="88"/>
      <c r="I1" s="182"/>
      <c r="K1" s="87"/>
      <c r="L1" s="87"/>
      <c r="M1" s="87"/>
      <c r="R1" s="182"/>
      <c r="T1" s="87"/>
      <c r="U1" s="87"/>
      <c r="V1" s="87"/>
      <c r="AA1" s="182"/>
    </row>
    <row r="2" spans="2:27" ht="12.75" customHeight="1">
      <c r="I2" s="182"/>
      <c r="R2" s="182"/>
      <c r="AA2" s="182"/>
    </row>
    <row r="3" spans="2:27" ht="18.75" customHeight="1">
      <c r="B3" s="87"/>
      <c r="D3" s="88"/>
      <c r="E3" s="88"/>
      <c r="I3" s="182"/>
      <c r="K3" s="87"/>
      <c r="L3" s="87"/>
      <c r="N3" s="87"/>
      <c r="R3" s="182"/>
      <c r="T3" s="87"/>
      <c r="U3" s="87"/>
      <c r="V3" s="87"/>
      <c r="W3" s="87"/>
      <c r="AA3" s="182"/>
    </row>
    <row r="5" spans="2:27">
      <c r="B5" s="179"/>
      <c r="C5" s="179"/>
      <c r="D5" s="179"/>
      <c r="E5" s="179"/>
      <c r="F5" s="217">
        <v>40634</v>
      </c>
      <c r="G5" s="217"/>
      <c r="K5" s="179"/>
      <c r="L5" s="179"/>
      <c r="M5" s="179"/>
      <c r="N5" s="179"/>
      <c r="T5" s="179"/>
      <c r="U5" s="179"/>
      <c r="V5" s="179"/>
      <c r="W5" s="179"/>
    </row>
    <row r="7" spans="2:27" ht="12.75" customHeight="1">
      <c r="B7" s="179"/>
      <c r="C7" s="179"/>
      <c r="D7" s="179"/>
      <c r="E7" s="179"/>
      <c r="F7" s="179"/>
      <c r="G7" s="179"/>
      <c r="H7" s="179"/>
      <c r="I7" s="179"/>
      <c r="K7" s="205" t="s">
        <v>266</v>
      </c>
      <c r="L7" s="216"/>
      <c r="M7" s="216"/>
      <c r="N7" s="216"/>
      <c r="O7" s="216"/>
      <c r="P7" s="216"/>
      <c r="Q7" s="216"/>
      <c r="R7" s="216"/>
      <c r="T7" s="205" t="s">
        <v>268</v>
      </c>
      <c r="U7" s="216"/>
      <c r="V7" s="216"/>
      <c r="W7" s="216"/>
      <c r="X7" s="216"/>
      <c r="Y7" s="216"/>
      <c r="Z7" s="216"/>
      <c r="AA7" s="216"/>
    </row>
    <row r="8" spans="2:27">
      <c r="B8" s="97"/>
      <c r="C8" s="97"/>
      <c r="D8" s="97"/>
      <c r="E8" s="97"/>
      <c r="F8" s="97"/>
      <c r="G8" s="97"/>
      <c r="H8" s="97"/>
      <c r="I8" s="97"/>
      <c r="K8" s="216"/>
      <c r="L8" s="216"/>
      <c r="M8" s="216"/>
      <c r="N8" s="216"/>
      <c r="O8" s="216"/>
      <c r="P8" s="216"/>
      <c r="Q8" s="216"/>
      <c r="R8" s="216"/>
      <c r="T8" s="216"/>
      <c r="U8" s="216"/>
      <c r="V8" s="216"/>
      <c r="W8" s="216"/>
      <c r="X8" s="216"/>
      <c r="Y8" s="216"/>
      <c r="Z8" s="216"/>
      <c r="AA8" s="216"/>
    </row>
    <row r="9" spans="2:27">
      <c r="B9" s="205" t="s">
        <v>386</v>
      </c>
      <c r="C9" s="216"/>
      <c r="D9" s="216"/>
      <c r="E9" s="216"/>
      <c r="F9" s="216"/>
      <c r="G9" s="216"/>
      <c r="H9" s="216"/>
      <c r="I9" s="216"/>
      <c r="K9" s="216"/>
      <c r="L9" s="216"/>
      <c r="M9" s="216"/>
      <c r="N9" s="216"/>
      <c r="O9" s="216"/>
      <c r="P9" s="216"/>
      <c r="Q9" s="216"/>
      <c r="R9" s="216"/>
      <c r="T9" s="216"/>
      <c r="U9" s="216"/>
      <c r="V9" s="216"/>
      <c r="W9" s="216"/>
      <c r="X9" s="216"/>
      <c r="Y9" s="216"/>
      <c r="Z9" s="216"/>
      <c r="AA9" s="216"/>
    </row>
    <row r="10" spans="2:27">
      <c r="B10" s="216"/>
      <c r="C10" s="216"/>
      <c r="D10" s="216"/>
      <c r="E10" s="216"/>
      <c r="F10" s="216"/>
      <c r="G10" s="216"/>
      <c r="H10" s="216"/>
      <c r="I10" s="216"/>
      <c r="K10" s="216"/>
      <c r="L10" s="216"/>
      <c r="M10" s="216"/>
      <c r="N10" s="216"/>
      <c r="O10" s="216"/>
      <c r="P10" s="216"/>
      <c r="Q10" s="216"/>
      <c r="R10" s="216"/>
      <c r="T10" s="216"/>
      <c r="U10" s="216"/>
      <c r="V10" s="216"/>
      <c r="W10" s="216"/>
      <c r="X10" s="216"/>
      <c r="Y10" s="216"/>
      <c r="Z10" s="216"/>
      <c r="AA10" s="216"/>
    </row>
    <row r="11" spans="2:27">
      <c r="B11" s="216"/>
      <c r="C11" s="216"/>
      <c r="D11" s="216"/>
      <c r="E11" s="216"/>
      <c r="F11" s="216"/>
      <c r="G11" s="216"/>
      <c r="H11" s="216"/>
      <c r="I11" s="216"/>
      <c r="K11" s="216"/>
      <c r="L11" s="216"/>
      <c r="M11" s="216"/>
      <c r="N11" s="216"/>
      <c r="O11" s="216"/>
      <c r="P11" s="216"/>
      <c r="Q11" s="216"/>
      <c r="R11" s="216"/>
      <c r="T11" s="216"/>
      <c r="U11" s="216"/>
      <c r="V11" s="216"/>
      <c r="W11" s="216"/>
      <c r="X11" s="216"/>
      <c r="Y11" s="216"/>
      <c r="Z11" s="216"/>
      <c r="AA11" s="216"/>
    </row>
    <row r="12" spans="2:27">
      <c r="B12" s="216"/>
      <c r="C12" s="216"/>
      <c r="D12" s="216"/>
      <c r="E12" s="216"/>
      <c r="F12" s="216"/>
      <c r="G12" s="216"/>
      <c r="H12" s="216"/>
      <c r="I12" s="216"/>
      <c r="K12" s="216"/>
      <c r="L12" s="216"/>
      <c r="M12" s="216"/>
      <c r="N12" s="216"/>
      <c r="O12" s="216"/>
      <c r="P12" s="216"/>
      <c r="Q12" s="216"/>
      <c r="R12" s="216"/>
      <c r="T12" s="216"/>
      <c r="U12" s="216"/>
      <c r="V12" s="216"/>
      <c r="W12" s="216"/>
      <c r="X12" s="216"/>
      <c r="Y12" s="216"/>
      <c r="Z12" s="216"/>
      <c r="AA12" s="216"/>
    </row>
    <row r="13" spans="2:27">
      <c r="B13" s="216"/>
      <c r="C13" s="216"/>
      <c r="D13" s="216"/>
      <c r="E13" s="216"/>
      <c r="F13" s="216"/>
      <c r="G13" s="216"/>
      <c r="H13" s="216"/>
      <c r="I13" s="216"/>
      <c r="K13" s="216"/>
      <c r="L13" s="216"/>
      <c r="M13" s="216"/>
      <c r="N13" s="216"/>
      <c r="O13" s="216"/>
      <c r="P13" s="216"/>
      <c r="Q13" s="216"/>
      <c r="R13" s="216"/>
      <c r="T13" s="216"/>
      <c r="U13" s="216"/>
      <c r="V13" s="216"/>
      <c r="W13" s="216"/>
      <c r="X13" s="216"/>
      <c r="Y13" s="216"/>
      <c r="Z13" s="216"/>
      <c r="AA13" s="216"/>
    </row>
    <row r="14" spans="2:27">
      <c r="B14" s="216"/>
      <c r="C14" s="216"/>
      <c r="D14" s="216"/>
      <c r="E14" s="216"/>
      <c r="F14" s="216"/>
      <c r="G14" s="216"/>
      <c r="H14" s="216"/>
      <c r="I14" s="216"/>
      <c r="K14" s="216"/>
      <c r="L14" s="216"/>
      <c r="M14" s="216"/>
      <c r="N14" s="216"/>
      <c r="O14" s="216"/>
      <c r="P14" s="216"/>
      <c r="Q14" s="216"/>
      <c r="R14" s="216"/>
      <c r="T14" s="216"/>
      <c r="U14" s="216"/>
      <c r="V14" s="216"/>
      <c r="W14" s="216"/>
      <c r="X14" s="216"/>
      <c r="Y14" s="216"/>
      <c r="Z14" s="216"/>
      <c r="AA14" s="216"/>
    </row>
    <row r="15" spans="2:27">
      <c r="B15" s="216"/>
      <c r="C15" s="216"/>
      <c r="D15" s="216"/>
      <c r="E15" s="216"/>
      <c r="F15" s="216"/>
      <c r="G15" s="216"/>
      <c r="H15" s="216"/>
      <c r="I15" s="216"/>
      <c r="K15" s="216"/>
      <c r="L15" s="216"/>
      <c r="M15" s="216"/>
      <c r="N15" s="216"/>
      <c r="O15" s="216"/>
      <c r="P15" s="216"/>
      <c r="Q15" s="216"/>
      <c r="R15" s="216"/>
      <c r="T15" s="216"/>
      <c r="U15" s="216"/>
      <c r="V15" s="216"/>
      <c r="W15" s="216"/>
      <c r="X15" s="216"/>
      <c r="Y15" s="216"/>
      <c r="Z15" s="216"/>
      <c r="AA15" s="216"/>
    </row>
    <row r="16" spans="2:27">
      <c r="B16" s="216"/>
      <c r="C16" s="216"/>
      <c r="D16" s="216"/>
      <c r="E16" s="216"/>
      <c r="F16" s="216"/>
      <c r="G16" s="216"/>
      <c r="H16" s="216"/>
      <c r="I16" s="216"/>
      <c r="K16" s="216"/>
      <c r="L16" s="216"/>
      <c r="M16" s="216"/>
      <c r="N16" s="216"/>
      <c r="O16" s="216"/>
      <c r="P16" s="216"/>
      <c r="Q16" s="216"/>
      <c r="R16" s="216"/>
      <c r="T16" s="216"/>
      <c r="U16" s="216"/>
      <c r="V16" s="216"/>
      <c r="W16" s="216"/>
      <c r="X16" s="216"/>
      <c r="Y16" s="216"/>
      <c r="Z16" s="216"/>
      <c r="AA16" s="216"/>
    </row>
    <row r="17" spans="2:27">
      <c r="B17" s="216"/>
      <c r="C17" s="216"/>
      <c r="D17" s="216"/>
      <c r="E17" s="216"/>
      <c r="F17" s="216"/>
      <c r="G17" s="216"/>
      <c r="H17" s="216"/>
      <c r="I17" s="216"/>
      <c r="K17" s="216"/>
      <c r="L17" s="216"/>
      <c r="M17" s="216"/>
      <c r="N17" s="216"/>
      <c r="O17" s="216"/>
      <c r="P17" s="216"/>
      <c r="Q17" s="216"/>
      <c r="R17" s="216"/>
      <c r="T17" s="216"/>
      <c r="U17" s="216"/>
      <c r="V17" s="216"/>
      <c r="W17" s="216"/>
      <c r="X17" s="216"/>
      <c r="Y17" s="216"/>
      <c r="Z17" s="216"/>
      <c r="AA17" s="216"/>
    </row>
    <row r="18" spans="2:27">
      <c r="B18" s="216"/>
      <c r="C18" s="216"/>
      <c r="D18" s="216"/>
      <c r="E18" s="216"/>
      <c r="F18" s="216"/>
      <c r="G18" s="216"/>
      <c r="H18" s="216"/>
      <c r="I18" s="216"/>
      <c r="K18" s="216"/>
      <c r="L18" s="216"/>
      <c r="M18" s="216"/>
      <c r="N18" s="216"/>
      <c r="O18" s="216"/>
      <c r="P18" s="216"/>
      <c r="Q18" s="216"/>
      <c r="R18" s="216"/>
      <c r="T18" s="216"/>
      <c r="U18" s="216"/>
      <c r="V18" s="216"/>
      <c r="W18" s="216"/>
      <c r="X18" s="216"/>
      <c r="Y18" s="216"/>
      <c r="Z18" s="216"/>
      <c r="AA18" s="216"/>
    </row>
    <row r="19" spans="2:27">
      <c r="B19" s="216"/>
      <c r="C19" s="216"/>
      <c r="D19" s="216"/>
      <c r="E19" s="216"/>
      <c r="F19" s="216"/>
      <c r="G19" s="216"/>
      <c r="H19" s="216"/>
      <c r="I19" s="216"/>
      <c r="K19" s="216"/>
      <c r="L19" s="216"/>
      <c r="M19" s="216"/>
      <c r="N19" s="216"/>
      <c r="O19" s="216"/>
      <c r="P19" s="216"/>
      <c r="Q19" s="216"/>
      <c r="R19" s="216"/>
      <c r="T19" s="216"/>
      <c r="U19" s="216"/>
      <c r="V19" s="216"/>
      <c r="W19" s="216"/>
      <c r="X19" s="216"/>
      <c r="Y19" s="216"/>
      <c r="Z19" s="216"/>
      <c r="AA19" s="216"/>
    </row>
    <row r="20" spans="2:27">
      <c r="B20" s="216"/>
      <c r="C20" s="216"/>
      <c r="D20" s="216"/>
      <c r="E20" s="216"/>
      <c r="F20" s="216"/>
      <c r="G20" s="216"/>
      <c r="H20" s="216"/>
      <c r="I20" s="216"/>
      <c r="K20" s="216"/>
      <c r="L20" s="216"/>
      <c r="M20" s="216"/>
      <c r="N20" s="216"/>
      <c r="O20" s="216"/>
      <c r="P20" s="216"/>
      <c r="Q20" s="216"/>
      <c r="R20" s="216"/>
      <c r="T20" s="216"/>
      <c r="U20" s="216"/>
      <c r="V20" s="216"/>
      <c r="W20" s="216"/>
      <c r="X20" s="216"/>
      <c r="Y20" s="216"/>
      <c r="Z20" s="216"/>
      <c r="AA20" s="216"/>
    </row>
    <row r="21" spans="2:27">
      <c r="B21" s="216"/>
      <c r="C21" s="216"/>
      <c r="D21" s="216"/>
      <c r="E21" s="216"/>
      <c r="F21" s="216"/>
      <c r="G21" s="216"/>
      <c r="H21" s="216"/>
      <c r="I21" s="216"/>
      <c r="K21" s="216"/>
      <c r="L21" s="216"/>
      <c r="M21" s="216"/>
      <c r="N21" s="216"/>
      <c r="O21" s="216"/>
      <c r="P21" s="216"/>
      <c r="Q21" s="216"/>
      <c r="R21" s="216"/>
      <c r="T21" s="216"/>
      <c r="U21" s="216"/>
      <c r="V21" s="216"/>
      <c r="W21" s="216"/>
      <c r="X21" s="216"/>
      <c r="Y21" s="216"/>
      <c r="Z21" s="216"/>
      <c r="AA21" s="216"/>
    </row>
    <row r="22" spans="2:27">
      <c r="B22" s="216"/>
      <c r="C22" s="216"/>
      <c r="D22" s="216"/>
      <c r="E22" s="216"/>
      <c r="F22" s="216"/>
      <c r="G22" s="216"/>
      <c r="H22" s="216"/>
      <c r="I22" s="216"/>
      <c r="K22" s="216"/>
      <c r="L22" s="216"/>
      <c r="M22" s="216"/>
      <c r="N22" s="216"/>
      <c r="O22" s="216"/>
      <c r="P22" s="216"/>
      <c r="Q22" s="216"/>
      <c r="R22" s="216"/>
      <c r="T22" s="216"/>
      <c r="U22" s="216"/>
      <c r="V22" s="216"/>
      <c r="W22" s="216"/>
      <c r="X22" s="216"/>
      <c r="Y22" s="216"/>
      <c r="Z22" s="216"/>
      <c r="AA22" s="216"/>
    </row>
    <row r="23" spans="2:27">
      <c r="B23" s="216"/>
      <c r="C23" s="216"/>
      <c r="D23" s="216"/>
      <c r="E23" s="216"/>
      <c r="F23" s="216"/>
      <c r="G23" s="216"/>
      <c r="H23" s="216"/>
      <c r="I23" s="216"/>
      <c r="K23" s="216"/>
      <c r="L23" s="216"/>
      <c r="M23" s="216"/>
      <c r="N23" s="216"/>
      <c r="O23" s="216"/>
      <c r="P23" s="216"/>
      <c r="Q23" s="216"/>
      <c r="R23" s="216"/>
      <c r="T23" s="216"/>
      <c r="U23" s="216"/>
      <c r="V23" s="216"/>
      <c r="W23" s="216"/>
      <c r="X23" s="216"/>
      <c r="Y23" s="216"/>
      <c r="Z23" s="216"/>
      <c r="AA23" s="216"/>
    </row>
    <row r="24" spans="2:27">
      <c r="B24" s="216"/>
      <c r="C24" s="216"/>
      <c r="D24" s="216"/>
      <c r="E24" s="216"/>
      <c r="F24" s="216"/>
      <c r="G24" s="216"/>
      <c r="H24" s="216"/>
      <c r="I24" s="216"/>
      <c r="K24" s="216"/>
      <c r="L24" s="216"/>
      <c r="M24" s="216"/>
      <c r="N24" s="216"/>
      <c r="O24" s="216"/>
      <c r="P24" s="216"/>
      <c r="Q24" s="216"/>
      <c r="R24" s="216"/>
      <c r="T24" s="216"/>
      <c r="U24" s="216"/>
      <c r="V24" s="216"/>
      <c r="W24" s="216"/>
      <c r="X24" s="216"/>
      <c r="Y24" s="216"/>
      <c r="Z24" s="216"/>
      <c r="AA24" s="216"/>
    </row>
    <row r="25" spans="2:27">
      <c r="B25" s="216"/>
      <c r="C25" s="216"/>
      <c r="D25" s="216"/>
      <c r="E25" s="216"/>
      <c r="F25" s="216"/>
      <c r="G25" s="216"/>
      <c r="H25" s="216"/>
      <c r="I25" s="216"/>
      <c r="K25" s="216"/>
      <c r="L25" s="216"/>
      <c r="M25" s="216"/>
      <c r="N25" s="216"/>
      <c r="O25" s="216"/>
      <c r="P25" s="216"/>
      <c r="Q25" s="216"/>
      <c r="R25" s="216"/>
      <c r="T25" s="216"/>
      <c r="U25" s="216"/>
      <c r="V25" s="216"/>
      <c r="W25" s="216"/>
      <c r="X25" s="216"/>
      <c r="Y25" s="216"/>
      <c r="Z25" s="216"/>
      <c r="AA25" s="216"/>
    </row>
    <row r="26" spans="2:27">
      <c r="B26" s="216"/>
      <c r="C26" s="216"/>
      <c r="D26" s="216"/>
      <c r="E26" s="216"/>
      <c r="F26" s="216"/>
      <c r="G26" s="216"/>
      <c r="H26" s="216"/>
      <c r="I26" s="216"/>
      <c r="K26" s="216"/>
      <c r="L26" s="216"/>
      <c r="M26" s="216"/>
      <c r="N26" s="216"/>
      <c r="O26" s="216"/>
      <c r="P26" s="216"/>
      <c r="Q26" s="216"/>
      <c r="R26" s="216"/>
      <c r="T26" s="216"/>
      <c r="U26" s="216"/>
      <c r="V26" s="216"/>
      <c r="W26" s="216"/>
      <c r="X26" s="216"/>
      <c r="Y26" s="216"/>
      <c r="Z26" s="216"/>
      <c r="AA26" s="216"/>
    </row>
    <row r="27" spans="2:27">
      <c r="B27" s="216"/>
      <c r="C27" s="216"/>
      <c r="D27" s="216"/>
      <c r="E27" s="216"/>
      <c r="F27" s="216"/>
      <c r="G27" s="216"/>
      <c r="H27" s="216"/>
      <c r="I27" s="216"/>
      <c r="K27" s="216"/>
      <c r="L27" s="216"/>
      <c r="M27" s="216"/>
      <c r="N27" s="216"/>
      <c r="O27" s="216"/>
      <c r="P27" s="216"/>
      <c r="Q27" s="216"/>
      <c r="R27" s="216"/>
      <c r="T27" s="216"/>
      <c r="U27" s="216"/>
      <c r="V27" s="216"/>
      <c r="W27" s="216"/>
      <c r="X27" s="216"/>
      <c r="Y27" s="216"/>
      <c r="Z27" s="216"/>
      <c r="AA27" s="216"/>
    </row>
    <row r="28" spans="2:27">
      <c r="B28" s="216"/>
      <c r="C28" s="216"/>
      <c r="D28" s="216"/>
      <c r="E28" s="216"/>
      <c r="F28" s="216"/>
      <c r="G28" s="216"/>
      <c r="H28" s="216"/>
      <c r="I28" s="216"/>
      <c r="K28" s="216"/>
      <c r="L28" s="216"/>
      <c r="M28" s="216"/>
      <c r="N28" s="216"/>
      <c r="O28" s="216"/>
      <c r="P28" s="216"/>
      <c r="Q28" s="216"/>
      <c r="R28" s="216"/>
      <c r="T28" s="216"/>
      <c r="U28" s="216"/>
      <c r="V28" s="216"/>
      <c r="W28" s="216"/>
      <c r="X28" s="216"/>
      <c r="Y28" s="216"/>
      <c r="Z28" s="216"/>
      <c r="AA28" s="216"/>
    </row>
    <row r="29" spans="2:27">
      <c r="B29" s="216"/>
      <c r="C29" s="216"/>
      <c r="D29" s="216"/>
      <c r="E29" s="216"/>
      <c r="F29" s="216"/>
      <c r="G29" s="216"/>
      <c r="H29" s="216"/>
      <c r="I29" s="216"/>
    </row>
    <row r="30" spans="2:27">
      <c r="B30" s="216"/>
      <c r="C30" s="216"/>
      <c r="D30" s="216"/>
      <c r="E30" s="216"/>
      <c r="F30" s="216"/>
      <c r="G30" s="216"/>
      <c r="H30" s="216"/>
      <c r="I30" s="216"/>
      <c r="K30" s="179"/>
      <c r="L30" s="179"/>
      <c r="M30" s="179"/>
      <c r="N30" s="179"/>
      <c r="T30" s="179"/>
      <c r="U30" s="179"/>
      <c r="V30" s="179"/>
      <c r="W30" s="179"/>
    </row>
    <row r="31" spans="2:27" ht="12.75" customHeight="1">
      <c r="B31" s="216"/>
      <c r="C31" s="216"/>
      <c r="D31" s="216"/>
      <c r="E31" s="216"/>
      <c r="F31" s="216"/>
      <c r="G31" s="216"/>
      <c r="H31" s="216"/>
      <c r="I31" s="216"/>
      <c r="K31" s="52"/>
      <c r="N31" s="53"/>
      <c r="O31" s="53"/>
      <c r="P31" s="53"/>
      <c r="Q31" s="53"/>
      <c r="R31" s="53"/>
      <c r="T31" s="52"/>
      <c r="W31" s="53"/>
      <c r="X31" s="53"/>
      <c r="Y31" s="53"/>
      <c r="Z31" s="53"/>
      <c r="AA31" s="53"/>
    </row>
    <row r="32" spans="2:27" ht="12.75" customHeight="1">
      <c r="B32" s="216"/>
      <c r="C32" s="216"/>
      <c r="D32" s="216"/>
      <c r="E32" s="216"/>
      <c r="F32" s="216"/>
      <c r="G32" s="216"/>
      <c r="H32" s="216"/>
      <c r="I32" s="216"/>
      <c r="K32" s="205" t="s">
        <v>267</v>
      </c>
      <c r="L32" s="205"/>
      <c r="M32" s="205"/>
      <c r="N32" s="205"/>
      <c r="O32" s="205"/>
      <c r="P32" s="205"/>
      <c r="Q32" s="205"/>
      <c r="R32" s="205"/>
      <c r="T32" s="205" t="s">
        <v>269</v>
      </c>
      <c r="U32" s="205"/>
      <c r="V32" s="205"/>
      <c r="W32" s="205"/>
      <c r="X32" s="205"/>
      <c r="Y32" s="205"/>
      <c r="Z32" s="205"/>
      <c r="AA32" s="205"/>
    </row>
    <row r="33" spans="2:27">
      <c r="B33" s="216"/>
      <c r="C33" s="216"/>
      <c r="D33" s="216"/>
      <c r="E33" s="216"/>
      <c r="F33" s="216"/>
      <c r="G33" s="216"/>
      <c r="H33" s="216"/>
      <c r="I33" s="216"/>
      <c r="K33" s="205"/>
      <c r="L33" s="205"/>
      <c r="M33" s="205"/>
      <c r="N33" s="205"/>
      <c r="O33" s="205"/>
      <c r="P33" s="205"/>
      <c r="Q33" s="205"/>
      <c r="R33" s="205"/>
      <c r="T33" s="205"/>
      <c r="U33" s="205"/>
      <c r="V33" s="205"/>
      <c r="W33" s="205"/>
      <c r="X33" s="205"/>
      <c r="Y33" s="205"/>
      <c r="Z33" s="205"/>
      <c r="AA33" s="205"/>
    </row>
    <row r="34" spans="2:27">
      <c r="B34" s="216"/>
      <c r="C34" s="216"/>
      <c r="D34" s="216"/>
      <c r="E34" s="216"/>
      <c r="F34" s="216"/>
      <c r="G34" s="216"/>
      <c r="H34" s="216"/>
      <c r="I34" s="216"/>
      <c r="K34" s="205"/>
      <c r="L34" s="205"/>
      <c r="M34" s="205"/>
      <c r="N34" s="205"/>
      <c r="O34" s="205"/>
      <c r="P34" s="205"/>
      <c r="Q34" s="205"/>
      <c r="R34" s="205"/>
      <c r="T34" s="205"/>
      <c r="U34" s="205"/>
      <c r="V34" s="205"/>
      <c r="W34" s="205"/>
      <c r="X34" s="205"/>
      <c r="Y34" s="205"/>
      <c r="Z34" s="205"/>
      <c r="AA34" s="205"/>
    </row>
    <row r="35" spans="2:27">
      <c r="B35" s="216"/>
      <c r="C35" s="216"/>
      <c r="D35" s="216"/>
      <c r="E35" s="216"/>
      <c r="F35" s="216"/>
      <c r="G35" s="216"/>
      <c r="H35" s="216"/>
      <c r="I35" s="216"/>
      <c r="K35" s="205"/>
      <c r="L35" s="205"/>
      <c r="M35" s="205"/>
      <c r="N35" s="205"/>
      <c r="O35" s="205"/>
      <c r="P35" s="205"/>
      <c r="Q35" s="205"/>
      <c r="R35" s="205"/>
      <c r="T35" s="205"/>
      <c r="U35" s="205"/>
      <c r="V35" s="205"/>
      <c r="W35" s="205"/>
      <c r="X35" s="205"/>
      <c r="Y35" s="205"/>
      <c r="Z35" s="205"/>
      <c r="AA35" s="205"/>
    </row>
    <row r="36" spans="2:27">
      <c r="B36" s="216"/>
      <c r="C36" s="216"/>
      <c r="D36" s="216"/>
      <c r="E36" s="216"/>
      <c r="F36" s="216"/>
      <c r="G36" s="216"/>
      <c r="H36" s="216"/>
      <c r="I36" s="216"/>
      <c r="K36" s="205"/>
      <c r="L36" s="205"/>
      <c r="M36" s="205"/>
      <c r="N36" s="205"/>
      <c r="O36" s="205"/>
      <c r="P36" s="205"/>
      <c r="Q36" s="205"/>
      <c r="R36" s="205"/>
      <c r="T36" s="205"/>
      <c r="U36" s="205"/>
      <c r="V36" s="205"/>
      <c r="W36" s="205"/>
      <c r="X36" s="205"/>
      <c r="Y36" s="205"/>
      <c r="Z36" s="205"/>
      <c r="AA36" s="205"/>
    </row>
    <row r="37" spans="2:27">
      <c r="B37" s="216"/>
      <c r="C37" s="216"/>
      <c r="D37" s="216"/>
      <c r="E37" s="216"/>
      <c r="F37" s="216"/>
      <c r="G37" s="216"/>
      <c r="H37" s="216"/>
      <c r="I37" s="216"/>
      <c r="K37" s="205"/>
      <c r="L37" s="205"/>
      <c r="M37" s="205"/>
      <c r="N37" s="205"/>
      <c r="O37" s="205"/>
      <c r="P37" s="205"/>
      <c r="Q37" s="205"/>
      <c r="R37" s="205"/>
      <c r="T37" s="205"/>
      <c r="U37" s="205"/>
      <c r="V37" s="205"/>
      <c r="W37" s="205"/>
      <c r="X37" s="205"/>
      <c r="Y37" s="205"/>
      <c r="Z37" s="205"/>
      <c r="AA37" s="205"/>
    </row>
    <row r="38" spans="2:27">
      <c r="B38" s="216"/>
      <c r="C38" s="216"/>
      <c r="D38" s="216"/>
      <c r="E38" s="216"/>
      <c r="F38" s="216"/>
      <c r="G38" s="216"/>
      <c r="H38" s="216"/>
      <c r="I38" s="216"/>
      <c r="K38" s="205"/>
      <c r="L38" s="205"/>
      <c r="M38" s="205"/>
      <c r="N38" s="205"/>
      <c r="O38" s="205"/>
      <c r="P38" s="205"/>
      <c r="Q38" s="205"/>
      <c r="R38" s="205"/>
      <c r="T38" s="205"/>
      <c r="U38" s="205"/>
      <c r="V38" s="205"/>
      <c r="W38" s="205"/>
      <c r="X38" s="205"/>
      <c r="Y38" s="205"/>
      <c r="Z38" s="205"/>
      <c r="AA38" s="205"/>
    </row>
    <row r="39" spans="2:27">
      <c r="B39" s="216"/>
      <c r="C39" s="216"/>
      <c r="D39" s="216"/>
      <c r="E39" s="216"/>
      <c r="F39" s="216"/>
      <c r="G39" s="216"/>
      <c r="H39" s="216"/>
      <c r="I39" s="216"/>
      <c r="K39" s="205"/>
      <c r="L39" s="205"/>
      <c r="M39" s="205"/>
      <c r="N39" s="205"/>
      <c r="O39" s="205"/>
      <c r="P39" s="205"/>
      <c r="Q39" s="205"/>
      <c r="R39" s="205"/>
      <c r="T39" s="205"/>
      <c r="U39" s="205"/>
      <c r="V39" s="205"/>
      <c r="W39" s="205"/>
      <c r="X39" s="205"/>
      <c r="Y39" s="205"/>
      <c r="Z39" s="205"/>
      <c r="AA39" s="205"/>
    </row>
    <row r="40" spans="2:27">
      <c r="B40" s="216"/>
      <c r="C40" s="216"/>
      <c r="D40" s="216"/>
      <c r="E40" s="216"/>
      <c r="F40" s="216"/>
      <c r="G40" s="216"/>
      <c r="H40" s="216"/>
      <c r="I40" s="216"/>
      <c r="K40" s="205"/>
      <c r="L40" s="205"/>
      <c r="M40" s="205"/>
      <c r="N40" s="205"/>
      <c r="O40" s="205"/>
      <c r="P40" s="205"/>
      <c r="Q40" s="205"/>
      <c r="R40" s="205"/>
      <c r="T40" s="205"/>
      <c r="U40" s="205"/>
      <c r="V40" s="205"/>
      <c r="W40" s="205"/>
      <c r="X40" s="205"/>
      <c r="Y40" s="205"/>
      <c r="Z40" s="205"/>
      <c r="AA40" s="205"/>
    </row>
    <row r="41" spans="2:27">
      <c r="B41" s="216"/>
      <c r="C41" s="216"/>
      <c r="D41" s="216"/>
      <c r="E41" s="216"/>
      <c r="F41" s="216"/>
      <c r="G41" s="216"/>
      <c r="H41" s="216"/>
      <c r="I41" s="216"/>
      <c r="K41" s="205"/>
      <c r="L41" s="205"/>
      <c r="M41" s="205"/>
      <c r="N41" s="205"/>
      <c r="O41" s="205"/>
      <c r="P41" s="205"/>
      <c r="Q41" s="205"/>
      <c r="R41" s="205"/>
      <c r="T41" s="205"/>
      <c r="U41" s="205"/>
      <c r="V41" s="205"/>
      <c r="W41" s="205"/>
      <c r="X41" s="205"/>
      <c r="Y41" s="205"/>
      <c r="Z41" s="205"/>
      <c r="AA41" s="205"/>
    </row>
    <row r="42" spans="2:27">
      <c r="B42" s="216"/>
      <c r="C42" s="216"/>
      <c r="D42" s="216"/>
      <c r="E42" s="216"/>
      <c r="F42" s="216"/>
      <c r="G42" s="216"/>
      <c r="H42" s="216"/>
      <c r="I42" s="216"/>
      <c r="K42" s="205"/>
      <c r="L42" s="205"/>
      <c r="M42" s="205"/>
      <c r="N42" s="205"/>
      <c r="O42" s="205"/>
      <c r="P42" s="205"/>
      <c r="Q42" s="205"/>
      <c r="R42" s="205"/>
      <c r="T42" s="205"/>
      <c r="U42" s="205"/>
      <c r="V42" s="205"/>
      <c r="W42" s="205"/>
      <c r="X42" s="205"/>
      <c r="Y42" s="205"/>
      <c r="Z42" s="205"/>
      <c r="AA42" s="205"/>
    </row>
    <row r="43" spans="2:27">
      <c r="B43" s="216"/>
      <c r="C43" s="216"/>
      <c r="D43" s="216"/>
      <c r="E43" s="216"/>
      <c r="F43" s="216"/>
      <c r="G43" s="216"/>
      <c r="H43" s="216"/>
      <c r="I43" s="216"/>
      <c r="K43" s="205"/>
      <c r="L43" s="205"/>
      <c r="M43" s="205"/>
      <c r="N43" s="205"/>
      <c r="O43" s="205"/>
      <c r="P43" s="205"/>
      <c r="Q43" s="205"/>
      <c r="R43" s="205"/>
      <c r="T43" s="205"/>
      <c r="U43" s="205"/>
      <c r="V43" s="205"/>
      <c r="W43" s="205"/>
      <c r="X43" s="205"/>
      <c r="Y43" s="205"/>
      <c r="Z43" s="205"/>
      <c r="AA43" s="205"/>
    </row>
    <row r="44" spans="2:27">
      <c r="B44" s="216"/>
      <c r="C44" s="216"/>
      <c r="D44" s="216"/>
      <c r="E44" s="216"/>
      <c r="F44" s="216"/>
      <c r="G44" s="216"/>
      <c r="H44" s="216"/>
      <c r="I44" s="216"/>
      <c r="K44" s="205"/>
      <c r="L44" s="205"/>
      <c r="M44" s="205"/>
      <c r="N44" s="205"/>
      <c r="O44" s="205"/>
      <c r="P44" s="205"/>
      <c r="Q44" s="205"/>
      <c r="R44" s="205"/>
      <c r="T44" s="205"/>
      <c r="U44" s="205"/>
      <c r="V44" s="205"/>
      <c r="W44" s="205"/>
      <c r="X44" s="205"/>
      <c r="Y44" s="205"/>
      <c r="Z44" s="205"/>
      <c r="AA44" s="205"/>
    </row>
    <row r="45" spans="2:27">
      <c r="B45" s="216"/>
      <c r="C45" s="216"/>
      <c r="D45" s="216"/>
      <c r="E45" s="216"/>
      <c r="F45" s="216"/>
      <c r="G45" s="216"/>
      <c r="H45" s="216"/>
      <c r="I45" s="216"/>
      <c r="K45" s="205"/>
      <c r="L45" s="205"/>
      <c r="M45" s="205"/>
      <c r="N45" s="205"/>
      <c r="O45" s="205"/>
      <c r="P45" s="205"/>
      <c r="Q45" s="205"/>
      <c r="R45" s="205"/>
      <c r="T45" s="205"/>
      <c r="U45" s="205"/>
      <c r="V45" s="205"/>
      <c r="W45" s="205"/>
      <c r="X45" s="205"/>
      <c r="Y45" s="205"/>
      <c r="Z45" s="205"/>
      <c r="AA45" s="205"/>
    </row>
    <row r="46" spans="2:27">
      <c r="B46" s="216"/>
      <c r="C46" s="216"/>
      <c r="D46" s="216"/>
      <c r="E46" s="216"/>
      <c r="F46" s="216"/>
      <c r="G46" s="216"/>
      <c r="H46" s="216"/>
      <c r="I46" s="216"/>
      <c r="K46" s="205"/>
      <c r="L46" s="205"/>
      <c r="M46" s="205"/>
      <c r="N46" s="205"/>
      <c r="O46" s="205"/>
      <c r="P46" s="205"/>
      <c r="Q46" s="205"/>
      <c r="R46" s="205"/>
      <c r="T46" s="205"/>
      <c r="U46" s="205"/>
      <c r="V46" s="205"/>
      <c r="W46" s="205"/>
      <c r="X46" s="205"/>
      <c r="Y46" s="205"/>
      <c r="Z46" s="205"/>
      <c r="AA46" s="205"/>
    </row>
    <row r="47" spans="2:27">
      <c r="B47" s="216"/>
      <c r="C47" s="216"/>
      <c r="D47" s="216"/>
      <c r="E47" s="216"/>
      <c r="F47" s="216"/>
      <c r="G47" s="216"/>
      <c r="H47" s="216"/>
      <c r="I47" s="216"/>
      <c r="K47" s="205"/>
      <c r="L47" s="205"/>
      <c r="M47" s="205"/>
      <c r="N47" s="205"/>
      <c r="O47" s="205"/>
      <c r="P47" s="205"/>
      <c r="Q47" s="205"/>
      <c r="R47" s="205"/>
      <c r="T47" s="205"/>
      <c r="U47" s="205"/>
      <c r="V47" s="205"/>
      <c r="W47" s="205"/>
      <c r="X47" s="205"/>
      <c r="Y47" s="205"/>
      <c r="Z47" s="205"/>
      <c r="AA47" s="205"/>
    </row>
    <row r="48" spans="2:27">
      <c r="B48" s="216"/>
      <c r="C48" s="216"/>
      <c r="D48" s="216"/>
      <c r="E48" s="216"/>
      <c r="F48" s="216"/>
      <c r="G48" s="216"/>
      <c r="H48" s="216"/>
      <c r="I48" s="216"/>
      <c r="K48" s="205"/>
      <c r="L48" s="205"/>
      <c r="M48" s="205"/>
      <c r="N48" s="205"/>
      <c r="O48" s="205"/>
      <c r="P48" s="205"/>
      <c r="Q48" s="205"/>
      <c r="R48" s="205"/>
      <c r="T48" s="205"/>
      <c r="U48" s="205"/>
      <c r="V48" s="205"/>
      <c r="W48" s="205"/>
      <c r="X48" s="205"/>
      <c r="Y48" s="205"/>
      <c r="Z48" s="205"/>
      <c r="AA48" s="205"/>
    </row>
    <row r="49" spans="2:27">
      <c r="B49" s="216"/>
      <c r="C49" s="216"/>
      <c r="D49" s="216"/>
      <c r="E49" s="216"/>
      <c r="F49" s="216"/>
      <c r="G49" s="216"/>
      <c r="H49" s="216"/>
      <c r="I49" s="216"/>
      <c r="K49" s="205"/>
      <c r="L49" s="205"/>
      <c r="M49" s="205"/>
      <c r="N49" s="205"/>
      <c r="O49" s="205"/>
      <c r="P49" s="205"/>
      <c r="Q49" s="205"/>
      <c r="R49" s="205"/>
      <c r="T49" s="205"/>
      <c r="U49" s="205"/>
      <c r="V49" s="205"/>
      <c r="W49" s="205"/>
      <c r="X49" s="205"/>
      <c r="Y49" s="205"/>
      <c r="Z49" s="205"/>
      <c r="AA49" s="205"/>
    </row>
    <row r="50" spans="2:27">
      <c r="B50" s="216"/>
      <c r="C50" s="216"/>
      <c r="D50" s="216"/>
      <c r="E50" s="216"/>
      <c r="F50" s="216"/>
      <c r="G50" s="216"/>
      <c r="H50" s="216"/>
      <c r="I50" s="216"/>
      <c r="K50" s="205"/>
      <c r="L50" s="205"/>
      <c r="M50" s="205"/>
      <c r="N50" s="205"/>
      <c r="O50" s="205"/>
      <c r="P50" s="205"/>
      <c r="Q50" s="205"/>
      <c r="R50" s="205"/>
      <c r="T50" s="205"/>
      <c r="U50" s="205"/>
      <c r="V50" s="205"/>
      <c r="W50" s="205"/>
      <c r="X50" s="205"/>
      <c r="Y50" s="205"/>
      <c r="Z50" s="205"/>
      <c r="AA50" s="205"/>
    </row>
    <row r="51" spans="2:27">
      <c r="B51" s="216"/>
      <c r="C51" s="216"/>
      <c r="D51" s="216"/>
      <c r="E51" s="216"/>
      <c r="F51" s="216"/>
      <c r="G51" s="216"/>
      <c r="H51" s="216"/>
      <c r="I51" s="216"/>
      <c r="K51" s="205"/>
      <c r="L51" s="205"/>
      <c r="M51" s="205"/>
      <c r="N51" s="205"/>
      <c r="O51" s="205"/>
      <c r="P51" s="205"/>
      <c r="Q51" s="205"/>
      <c r="R51" s="205"/>
      <c r="T51" s="205"/>
      <c r="U51" s="205"/>
      <c r="V51" s="205"/>
      <c r="W51" s="205"/>
      <c r="X51" s="205"/>
      <c r="Y51" s="205"/>
      <c r="Z51" s="205"/>
      <c r="AA51" s="205"/>
    </row>
    <row r="52" spans="2:27">
      <c r="B52" s="216"/>
      <c r="C52" s="216"/>
      <c r="D52" s="216"/>
      <c r="E52" s="216"/>
      <c r="F52" s="216"/>
      <c r="G52" s="216"/>
      <c r="H52" s="216"/>
      <c r="I52" s="216"/>
      <c r="K52" s="205"/>
      <c r="L52" s="205"/>
      <c r="M52" s="205"/>
      <c r="N52" s="205"/>
      <c r="O52" s="205"/>
      <c r="P52" s="205"/>
      <c r="Q52" s="205"/>
      <c r="R52" s="205"/>
      <c r="T52" s="205"/>
      <c r="U52" s="205"/>
      <c r="V52" s="205"/>
      <c r="W52" s="205"/>
      <c r="X52" s="205"/>
      <c r="Y52" s="205"/>
      <c r="Z52" s="205"/>
      <c r="AA52" s="205"/>
    </row>
    <row r="53" spans="2:27">
      <c r="B53" s="216"/>
      <c r="C53" s="216"/>
      <c r="D53" s="216"/>
      <c r="E53" s="216"/>
      <c r="F53" s="216"/>
      <c r="G53" s="216"/>
      <c r="H53" s="216"/>
      <c r="I53" s="216"/>
      <c r="K53" s="205"/>
      <c r="L53" s="205"/>
      <c r="M53" s="205"/>
      <c r="N53" s="205"/>
      <c r="O53" s="205"/>
      <c r="P53" s="205"/>
      <c r="Q53" s="205"/>
      <c r="R53" s="205"/>
      <c r="T53" s="205"/>
      <c r="U53" s="205"/>
      <c r="V53" s="205"/>
      <c r="W53" s="205"/>
      <c r="X53" s="205"/>
      <c r="Y53" s="205"/>
      <c r="Z53" s="205"/>
      <c r="AA53" s="205"/>
    </row>
    <row r="54" spans="2:27">
      <c r="B54" s="216"/>
      <c r="C54" s="216"/>
      <c r="D54" s="216"/>
      <c r="E54" s="216"/>
      <c r="F54" s="216"/>
      <c r="G54" s="216"/>
      <c r="H54" s="216"/>
      <c r="I54" s="216"/>
      <c r="K54" s="205"/>
      <c r="L54" s="205"/>
      <c r="M54" s="205"/>
      <c r="N54" s="205"/>
      <c r="O54" s="205"/>
      <c r="P54" s="205"/>
      <c r="Q54" s="205"/>
      <c r="R54" s="205"/>
      <c r="T54" s="205"/>
      <c r="U54" s="205"/>
      <c r="V54" s="205"/>
      <c r="W54" s="205"/>
      <c r="X54" s="205"/>
      <c r="Y54" s="205"/>
      <c r="Z54" s="205"/>
      <c r="AA54" s="205"/>
    </row>
    <row r="55" spans="2:27">
      <c r="B55" s="216"/>
      <c r="C55" s="216"/>
      <c r="D55" s="216"/>
      <c r="E55" s="216"/>
      <c r="F55" s="216"/>
      <c r="G55" s="216"/>
      <c r="H55" s="216"/>
      <c r="I55" s="216"/>
      <c r="K55" s="205"/>
      <c r="L55" s="205"/>
      <c r="M55" s="205"/>
      <c r="N55" s="205"/>
      <c r="O55" s="205"/>
      <c r="P55" s="205"/>
      <c r="Q55" s="205"/>
      <c r="R55" s="205"/>
      <c r="T55" s="205"/>
      <c r="U55" s="205"/>
      <c r="V55" s="205"/>
      <c r="W55" s="205"/>
      <c r="X55" s="205"/>
      <c r="Y55" s="205"/>
      <c r="Z55" s="205"/>
      <c r="AA55" s="205"/>
    </row>
    <row r="57" spans="2:27">
      <c r="B57" s="175"/>
      <c r="C57" s="175"/>
      <c r="D57" s="175"/>
      <c r="E57" s="175"/>
      <c r="F57" s="175"/>
      <c r="G57" s="175"/>
      <c r="H57" s="175"/>
      <c r="I57" s="175"/>
      <c r="K57" s="175"/>
      <c r="L57" s="175"/>
      <c r="M57" s="175"/>
      <c r="N57" s="175"/>
      <c r="O57" s="175"/>
      <c r="P57" s="175"/>
      <c r="Q57" s="175"/>
      <c r="R57" s="175"/>
      <c r="T57" s="175"/>
      <c r="U57" s="175"/>
      <c r="V57" s="175"/>
      <c r="W57" s="175"/>
      <c r="X57" s="175"/>
      <c r="Y57" s="175"/>
      <c r="Z57" s="175"/>
      <c r="AA57" s="175"/>
    </row>
    <row r="59" spans="2:27" ht="17.399999999999999">
      <c r="B59" s="72"/>
      <c r="K59" s="72"/>
      <c r="T59" s="72"/>
    </row>
  </sheetData>
  <sheetProtection password="CC9B" sheet="1" objects="1" scenarios="1"/>
  <mergeCells count="18">
    <mergeCell ref="F5:G5"/>
    <mergeCell ref="B7:I7"/>
    <mergeCell ref="B9:I55"/>
    <mergeCell ref="I1:I3"/>
    <mergeCell ref="B5:E5"/>
    <mergeCell ref="K5:N5"/>
    <mergeCell ref="K7:R28"/>
    <mergeCell ref="R1:R3"/>
    <mergeCell ref="AA1:AA3"/>
    <mergeCell ref="T5:W5"/>
    <mergeCell ref="T7:AA28"/>
    <mergeCell ref="T30:W30"/>
    <mergeCell ref="B57:I57"/>
    <mergeCell ref="K57:R57"/>
    <mergeCell ref="T57:AA57"/>
    <mergeCell ref="K32:R55"/>
    <mergeCell ref="T32:AA55"/>
    <mergeCell ref="K30:N30"/>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indexed="53"/>
  </sheetPr>
  <dimension ref="A1:AA61"/>
  <sheetViews>
    <sheetView showGridLines="0" zoomScale="85" zoomScaleNormal="85" workbookViewId="0">
      <selection activeCell="K7" sqref="K7:R24"/>
    </sheetView>
  </sheetViews>
  <sheetFormatPr baseColWidth="10" defaultColWidth="11.44140625" defaultRowHeight="13.2"/>
  <cols>
    <col min="1" max="2" width="4.6640625" customWidth="1"/>
    <col min="10" max="11" width="4.6640625" customWidth="1"/>
    <col min="19" max="20" width="4.6640625" customWidth="1"/>
  </cols>
  <sheetData>
    <row r="1" spans="2:27" ht="18" customHeight="1">
      <c r="B1" s="87"/>
      <c r="C1" s="88"/>
      <c r="D1" s="88"/>
      <c r="I1" s="182"/>
      <c r="K1" s="87"/>
      <c r="L1" s="88"/>
      <c r="M1" s="88"/>
      <c r="R1" s="182"/>
      <c r="T1" s="87"/>
      <c r="U1" s="88"/>
      <c r="V1" s="88"/>
      <c r="AA1" s="182"/>
    </row>
    <row r="2" spans="2:27" ht="12.75" customHeight="1">
      <c r="I2" s="182"/>
      <c r="R2" s="182"/>
      <c r="AA2" s="182"/>
    </row>
    <row r="3" spans="2:27" ht="18.75" customHeight="1">
      <c r="B3" s="87"/>
      <c r="C3" s="87"/>
      <c r="D3" s="87"/>
      <c r="E3" s="87"/>
      <c r="F3" s="87"/>
      <c r="I3" s="182"/>
      <c r="K3" s="87"/>
      <c r="L3" s="87"/>
      <c r="M3" s="87"/>
      <c r="N3" s="87"/>
      <c r="O3" s="87"/>
      <c r="R3" s="182"/>
      <c r="T3" s="87"/>
      <c r="U3" s="87"/>
      <c r="V3" s="87"/>
      <c r="W3" s="87"/>
      <c r="X3" s="87"/>
      <c r="AA3" s="182"/>
    </row>
    <row r="5" spans="2:27">
      <c r="B5" s="179"/>
      <c r="C5" s="179"/>
      <c r="D5" s="179"/>
      <c r="E5" s="179"/>
      <c r="K5" s="179"/>
      <c r="L5" s="179"/>
      <c r="M5" s="179"/>
      <c r="N5" s="179"/>
      <c r="T5" s="179"/>
      <c r="U5" s="179"/>
      <c r="V5" s="179"/>
      <c r="W5" s="179"/>
      <c r="X5" s="179"/>
    </row>
    <row r="7" spans="2:27" ht="12.75" customHeight="1">
      <c r="B7" s="218" t="s">
        <v>58</v>
      </c>
      <c r="C7" s="218"/>
      <c r="D7" s="226" t="s">
        <v>270</v>
      </c>
      <c r="E7" s="226"/>
      <c r="F7" s="226"/>
      <c r="G7" s="226"/>
      <c r="H7" s="226"/>
      <c r="I7" s="226"/>
      <c r="K7" s="205" t="s">
        <v>455</v>
      </c>
      <c r="L7" s="216"/>
      <c r="M7" s="216"/>
      <c r="N7" s="216"/>
      <c r="O7" s="216"/>
      <c r="P7" s="216"/>
      <c r="Q7" s="216"/>
      <c r="R7" s="216"/>
      <c r="T7" s="218" t="s">
        <v>64</v>
      </c>
      <c r="U7" s="218"/>
      <c r="V7" s="218"/>
      <c r="W7" s="229"/>
      <c r="X7" s="229"/>
      <c r="Y7" s="229"/>
      <c r="Z7" s="229"/>
      <c r="AA7" s="229"/>
    </row>
    <row r="8" spans="2:27">
      <c r="B8" s="194"/>
      <c r="C8" s="194"/>
      <c r="D8" s="93"/>
      <c r="E8" s="93"/>
      <c r="F8" s="93"/>
      <c r="G8" s="93"/>
      <c r="H8" s="93"/>
      <c r="I8" s="93"/>
      <c r="K8" s="216"/>
      <c r="L8" s="216"/>
      <c r="M8" s="216"/>
      <c r="N8" s="216"/>
      <c r="O8" s="216"/>
      <c r="P8" s="216"/>
      <c r="Q8" s="216"/>
      <c r="R8" s="216"/>
      <c r="T8" s="218" t="s">
        <v>65</v>
      </c>
      <c r="U8" s="218"/>
      <c r="V8" s="218"/>
      <c r="W8" s="230" t="s">
        <v>290</v>
      </c>
      <c r="X8" s="230"/>
      <c r="Y8" s="230"/>
      <c r="Z8" s="230"/>
      <c r="AA8" s="230"/>
    </row>
    <row r="9" spans="2:27">
      <c r="B9" s="218" t="s">
        <v>59</v>
      </c>
      <c r="C9" s="218"/>
      <c r="D9" s="218"/>
      <c r="E9" s="97"/>
      <c r="F9" s="97"/>
      <c r="G9" s="97"/>
      <c r="H9" s="97"/>
      <c r="I9" s="97"/>
      <c r="K9" s="216"/>
      <c r="L9" s="216"/>
      <c r="M9" s="216"/>
      <c r="N9" s="216"/>
      <c r="O9" s="216"/>
      <c r="P9" s="216"/>
      <c r="Q9" s="216"/>
      <c r="R9" s="216"/>
      <c r="T9" s="218" t="s">
        <v>59</v>
      </c>
      <c r="U9" s="218"/>
      <c r="V9" s="218"/>
      <c r="W9" s="45"/>
      <c r="X9" s="45"/>
      <c r="Y9" s="45"/>
      <c r="Z9" s="45"/>
      <c r="AA9" s="45"/>
    </row>
    <row r="10" spans="2:27">
      <c r="B10" s="205" t="s">
        <v>271</v>
      </c>
      <c r="C10" s="216"/>
      <c r="D10" s="216"/>
      <c r="E10" s="216"/>
      <c r="F10" s="216"/>
      <c r="G10" s="216"/>
      <c r="H10" s="216"/>
      <c r="I10" s="216"/>
      <c r="K10" s="216"/>
      <c r="L10" s="216"/>
      <c r="M10" s="216"/>
      <c r="N10" s="216"/>
      <c r="O10" s="216"/>
      <c r="P10" s="216"/>
      <c r="Q10" s="216"/>
      <c r="R10" s="216"/>
      <c r="T10" s="232" t="s">
        <v>312</v>
      </c>
      <c r="U10" s="232"/>
      <c r="V10" s="232"/>
      <c r="W10" s="232"/>
      <c r="X10" s="232"/>
      <c r="Y10" s="232"/>
      <c r="Z10" s="232"/>
      <c r="AA10" s="232"/>
    </row>
    <row r="11" spans="2:27">
      <c r="B11" s="216"/>
      <c r="C11" s="216"/>
      <c r="D11" s="216"/>
      <c r="E11" s="216"/>
      <c r="F11" s="216"/>
      <c r="G11" s="216"/>
      <c r="H11" s="216"/>
      <c r="I11" s="216"/>
      <c r="K11" s="228"/>
      <c r="L11" s="228"/>
      <c r="M11" s="228"/>
      <c r="N11" s="228"/>
      <c r="O11" s="228"/>
      <c r="P11" s="228"/>
      <c r="Q11" s="228"/>
      <c r="R11" s="228"/>
      <c r="T11" s="232"/>
      <c r="U11" s="232"/>
      <c r="V11" s="232"/>
      <c r="W11" s="232"/>
      <c r="X11" s="232"/>
      <c r="Y11" s="232"/>
      <c r="Z11" s="232"/>
      <c r="AA11" s="232"/>
    </row>
    <row r="12" spans="2:27">
      <c r="B12" s="216"/>
      <c r="C12" s="216"/>
      <c r="D12" s="216"/>
      <c r="E12" s="216"/>
      <c r="F12" s="216"/>
      <c r="G12" s="216"/>
      <c r="H12" s="216"/>
      <c r="I12" s="216"/>
      <c r="K12" s="228"/>
      <c r="L12" s="228"/>
      <c r="M12" s="228"/>
      <c r="N12" s="228"/>
      <c r="O12" s="228"/>
      <c r="P12" s="228"/>
      <c r="Q12" s="228"/>
      <c r="R12" s="228"/>
      <c r="T12" s="218" t="s">
        <v>66</v>
      </c>
      <c r="U12" s="218"/>
      <c r="V12" s="219" t="s">
        <v>291</v>
      </c>
      <c r="W12" s="219"/>
      <c r="X12" s="219"/>
      <c r="Y12" s="218" t="s">
        <v>71</v>
      </c>
      <c r="Z12" s="218"/>
      <c r="AA12" s="105">
        <v>900</v>
      </c>
    </row>
    <row r="13" spans="2:27">
      <c r="B13" s="218" t="s">
        <v>60</v>
      </c>
      <c r="C13" s="218"/>
      <c r="D13" s="218"/>
      <c r="E13" s="97"/>
      <c r="F13" s="97"/>
      <c r="G13" s="97"/>
      <c r="H13" s="97"/>
      <c r="I13" s="97"/>
      <c r="K13" s="228"/>
      <c r="L13" s="228"/>
      <c r="M13" s="228"/>
      <c r="N13" s="228"/>
      <c r="O13" s="228"/>
      <c r="P13" s="228"/>
      <c r="Q13" s="228"/>
      <c r="R13" s="228"/>
      <c r="T13" s="218" t="s">
        <v>67</v>
      </c>
      <c r="U13" s="218"/>
      <c r="V13" s="219" t="s">
        <v>292</v>
      </c>
      <c r="W13" s="219"/>
      <c r="X13" s="219"/>
      <c r="Y13" s="218" t="s">
        <v>72</v>
      </c>
      <c r="Z13" s="218"/>
      <c r="AA13" s="94" t="s">
        <v>285</v>
      </c>
    </row>
    <row r="14" spans="2:27">
      <c r="B14" s="205" t="s">
        <v>272</v>
      </c>
      <c r="C14" s="216"/>
      <c r="D14" s="216"/>
      <c r="E14" s="216"/>
      <c r="F14" s="216"/>
      <c r="G14" s="216"/>
      <c r="H14" s="216"/>
      <c r="I14" s="216"/>
      <c r="K14" s="228"/>
      <c r="L14" s="228"/>
      <c r="M14" s="228"/>
      <c r="N14" s="228"/>
      <c r="O14" s="228"/>
      <c r="P14" s="228"/>
      <c r="Q14" s="228"/>
      <c r="R14" s="228"/>
      <c r="T14" s="218" t="s">
        <v>462</v>
      </c>
      <c r="U14" s="218"/>
      <c r="V14" s="219" t="s">
        <v>293</v>
      </c>
      <c r="W14" s="219"/>
      <c r="X14" s="219"/>
      <c r="Y14" s="218" t="s">
        <v>73</v>
      </c>
      <c r="Z14" s="218"/>
      <c r="AA14" s="94" t="s">
        <v>257</v>
      </c>
    </row>
    <row r="15" spans="2:27">
      <c r="B15" s="216"/>
      <c r="C15" s="216"/>
      <c r="D15" s="216"/>
      <c r="E15" s="216"/>
      <c r="F15" s="216"/>
      <c r="G15" s="216"/>
      <c r="H15" s="216"/>
      <c r="I15" s="216"/>
      <c r="K15" s="228"/>
      <c r="L15" s="228"/>
      <c r="M15" s="228"/>
      <c r="N15" s="228"/>
      <c r="O15" s="228"/>
      <c r="P15" s="228"/>
      <c r="Q15" s="228"/>
      <c r="R15" s="228"/>
      <c r="T15" s="218" t="s">
        <v>68</v>
      </c>
      <c r="U15" s="218"/>
      <c r="V15" s="219" t="s">
        <v>294</v>
      </c>
      <c r="W15" s="219"/>
      <c r="X15" s="219"/>
      <c r="Y15" s="218" t="s">
        <v>463</v>
      </c>
      <c r="Z15" s="218"/>
      <c r="AA15" s="105">
        <v>270</v>
      </c>
    </row>
    <row r="16" spans="2:27">
      <c r="B16" s="216"/>
      <c r="C16" s="216"/>
      <c r="D16" s="216"/>
      <c r="E16" s="216"/>
      <c r="F16" s="216"/>
      <c r="G16" s="216"/>
      <c r="H16" s="216"/>
      <c r="I16" s="216"/>
      <c r="K16" s="228"/>
      <c r="L16" s="228"/>
      <c r="M16" s="228"/>
      <c r="N16" s="228"/>
      <c r="O16" s="228"/>
      <c r="P16" s="228"/>
      <c r="Q16" s="228"/>
      <c r="R16" s="228"/>
      <c r="T16" s="218" t="s">
        <v>69</v>
      </c>
      <c r="U16" s="218"/>
      <c r="V16" s="231" t="s">
        <v>295</v>
      </c>
      <c r="W16" s="219"/>
      <c r="X16" s="219"/>
      <c r="Y16" s="218" t="s">
        <v>464</v>
      </c>
      <c r="Z16" s="218"/>
      <c r="AA16" s="105">
        <v>0</v>
      </c>
    </row>
    <row r="17" spans="2:27">
      <c r="B17" s="216"/>
      <c r="C17" s="216"/>
      <c r="D17" s="216"/>
      <c r="E17" s="216"/>
      <c r="F17" s="216"/>
      <c r="G17" s="216"/>
      <c r="H17" s="216"/>
      <c r="I17" s="216"/>
      <c r="K17" s="228"/>
      <c r="L17" s="228"/>
      <c r="M17" s="228"/>
      <c r="N17" s="228"/>
      <c r="O17" s="228"/>
      <c r="P17" s="228"/>
      <c r="Q17" s="228"/>
      <c r="R17" s="228"/>
      <c r="T17" s="218" t="s">
        <v>70</v>
      </c>
      <c r="U17" s="218"/>
      <c r="V17" s="219" t="s">
        <v>296</v>
      </c>
      <c r="W17" s="219"/>
      <c r="X17" s="219"/>
      <c r="Y17" s="218" t="s">
        <v>74</v>
      </c>
      <c r="Z17" s="218"/>
      <c r="AA17" s="106">
        <v>40634</v>
      </c>
    </row>
    <row r="18" spans="2:27">
      <c r="B18" s="97"/>
      <c r="C18" s="97"/>
      <c r="D18" s="97"/>
      <c r="E18" s="97"/>
      <c r="F18" s="97"/>
      <c r="G18" s="97"/>
      <c r="H18" s="97"/>
      <c r="I18" s="97"/>
      <c r="K18" s="228"/>
      <c r="L18" s="228"/>
      <c r="M18" s="228"/>
      <c r="N18" s="228"/>
      <c r="O18" s="228"/>
      <c r="P18" s="228"/>
      <c r="Q18" s="228"/>
      <c r="R18" s="228"/>
      <c r="T18" s="45"/>
      <c r="U18" s="45"/>
      <c r="V18" s="45"/>
      <c r="W18" s="45"/>
      <c r="X18" s="45"/>
      <c r="Y18" s="45"/>
      <c r="Z18" s="45"/>
      <c r="AA18" s="45"/>
    </row>
    <row r="19" spans="2:27">
      <c r="B19" s="218" t="s">
        <v>61</v>
      </c>
      <c r="C19" s="218"/>
      <c r="D19" s="226" t="s">
        <v>273</v>
      </c>
      <c r="E19" s="227"/>
      <c r="F19" s="227"/>
      <c r="G19" s="227"/>
      <c r="H19" s="227"/>
      <c r="I19" s="227"/>
      <c r="K19" s="228"/>
      <c r="L19" s="228"/>
      <c r="M19" s="228"/>
      <c r="N19" s="228"/>
      <c r="O19" s="228"/>
      <c r="P19" s="228"/>
      <c r="Q19" s="228"/>
      <c r="R19" s="228"/>
      <c r="T19" s="218" t="s">
        <v>75</v>
      </c>
      <c r="U19" s="218"/>
      <c r="V19" s="218"/>
      <c r="W19" s="220"/>
      <c r="X19" s="220"/>
      <c r="Y19" s="220"/>
      <c r="Z19" s="220"/>
      <c r="AA19" s="220"/>
    </row>
    <row r="20" spans="2:27">
      <c r="B20" s="194"/>
      <c r="C20" s="194"/>
      <c r="D20" s="93"/>
      <c r="E20" s="93"/>
      <c r="F20" s="93"/>
      <c r="G20" s="93"/>
      <c r="H20" s="93"/>
      <c r="I20" s="93"/>
      <c r="K20" s="228"/>
      <c r="L20" s="228"/>
      <c r="M20" s="228"/>
      <c r="N20" s="228"/>
      <c r="O20" s="228"/>
      <c r="P20" s="228"/>
      <c r="Q20" s="228"/>
      <c r="R20" s="228"/>
      <c r="T20" s="218" t="s">
        <v>65</v>
      </c>
      <c r="U20" s="218"/>
      <c r="V20" s="218"/>
      <c r="W20" s="223" t="s">
        <v>297</v>
      </c>
      <c r="X20" s="224"/>
      <c r="Y20" s="224"/>
      <c r="Z20" s="224"/>
      <c r="AA20" s="225"/>
    </row>
    <row r="21" spans="2:27">
      <c r="B21" s="218" t="s">
        <v>59</v>
      </c>
      <c r="C21" s="218"/>
      <c r="D21" s="218"/>
      <c r="E21" s="97"/>
      <c r="F21" s="97"/>
      <c r="G21" s="97"/>
      <c r="H21" s="97"/>
      <c r="I21" s="97"/>
      <c r="K21" s="228"/>
      <c r="L21" s="228"/>
      <c r="M21" s="228"/>
      <c r="N21" s="228"/>
      <c r="O21" s="228"/>
      <c r="P21" s="228"/>
      <c r="Q21" s="228"/>
      <c r="R21" s="228"/>
      <c r="T21" s="218" t="s">
        <v>59</v>
      </c>
      <c r="U21" s="218"/>
      <c r="V21" s="218"/>
      <c r="W21" s="45"/>
      <c r="X21" s="45"/>
      <c r="Y21" s="45"/>
      <c r="Z21" s="45"/>
      <c r="AA21" s="45"/>
    </row>
    <row r="22" spans="2:27" ht="12.75" customHeight="1">
      <c r="B22" s="205" t="s">
        <v>274</v>
      </c>
      <c r="C22" s="216"/>
      <c r="D22" s="216"/>
      <c r="E22" s="216"/>
      <c r="F22" s="216"/>
      <c r="G22" s="216"/>
      <c r="H22" s="216"/>
      <c r="I22" s="216"/>
      <c r="K22" s="228"/>
      <c r="L22" s="228"/>
      <c r="M22" s="228"/>
      <c r="N22" s="228"/>
      <c r="O22" s="228"/>
      <c r="P22" s="228"/>
      <c r="Q22" s="228"/>
      <c r="R22" s="228"/>
      <c r="T22" s="232" t="s">
        <v>313</v>
      </c>
      <c r="U22" s="232"/>
      <c r="V22" s="232"/>
      <c r="W22" s="232"/>
      <c r="X22" s="232"/>
      <c r="Y22" s="232"/>
      <c r="Z22" s="232"/>
      <c r="AA22" s="232"/>
    </row>
    <row r="23" spans="2:27">
      <c r="B23" s="216"/>
      <c r="C23" s="216"/>
      <c r="D23" s="216"/>
      <c r="E23" s="216"/>
      <c r="F23" s="216"/>
      <c r="G23" s="216"/>
      <c r="H23" s="216"/>
      <c r="I23" s="216"/>
      <c r="K23" s="228"/>
      <c r="L23" s="228"/>
      <c r="M23" s="228"/>
      <c r="N23" s="228"/>
      <c r="O23" s="228"/>
      <c r="P23" s="228"/>
      <c r="Q23" s="228"/>
      <c r="R23" s="228"/>
      <c r="T23" s="232"/>
      <c r="U23" s="232"/>
      <c r="V23" s="232"/>
      <c r="W23" s="232"/>
      <c r="X23" s="232"/>
      <c r="Y23" s="232"/>
      <c r="Z23" s="232"/>
      <c r="AA23" s="232"/>
    </row>
    <row r="24" spans="2:27">
      <c r="B24" s="216"/>
      <c r="C24" s="216"/>
      <c r="D24" s="216"/>
      <c r="E24" s="216"/>
      <c r="F24" s="216"/>
      <c r="G24" s="216"/>
      <c r="H24" s="216"/>
      <c r="I24" s="216"/>
      <c r="K24" s="228"/>
      <c r="L24" s="228"/>
      <c r="M24" s="228"/>
      <c r="N24" s="228"/>
      <c r="O24" s="228"/>
      <c r="P24" s="228"/>
      <c r="Q24" s="228"/>
      <c r="R24" s="228"/>
      <c r="T24" s="218" t="s">
        <v>66</v>
      </c>
      <c r="U24" s="218"/>
      <c r="V24" s="219" t="s">
        <v>298</v>
      </c>
      <c r="W24" s="219"/>
      <c r="X24" s="219"/>
      <c r="Y24" s="218" t="s">
        <v>71</v>
      </c>
      <c r="Z24" s="218"/>
      <c r="AA24" s="105">
        <v>900</v>
      </c>
    </row>
    <row r="25" spans="2:27">
      <c r="B25" s="218" t="s">
        <v>60</v>
      </c>
      <c r="C25" s="218"/>
      <c r="D25" s="218"/>
      <c r="E25" s="97"/>
      <c r="F25" s="97"/>
      <c r="G25" s="97"/>
      <c r="H25" s="97"/>
      <c r="I25" s="97"/>
      <c r="K25" s="45"/>
      <c r="L25" s="45"/>
      <c r="M25" s="45"/>
      <c r="N25" s="99"/>
      <c r="O25" s="99"/>
      <c r="P25" s="99"/>
      <c r="Q25" s="99"/>
      <c r="R25" s="99"/>
      <c r="T25" s="218" t="s">
        <v>67</v>
      </c>
      <c r="U25" s="218"/>
      <c r="V25" s="219" t="s">
        <v>292</v>
      </c>
      <c r="W25" s="219"/>
      <c r="X25" s="219"/>
      <c r="Y25" s="218" t="s">
        <v>72</v>
      </c>
      <c r="Z25" s="218"/>
      <c r="AA25" s="94" t="s">
        <v>285</v>
      </c>
    </row>
    <row r="26" spans="2:27">
      <c r="B26" s="216" t="s">
        <v>272</v>
      </c>
      <c r="C26" s="216"/>
      <c r="D26" s="216"/>
      <c r="E26" s="216"/>
      <c r="F26" s="216"/>
      <c r="G26" s="216"/>
      <c r="H26" s="216"/>
      <c r="I26" s="216"/>
      <c r="K26" s="179"/>
      <c r="L26" s="179"/>
      <c r="M26" s="179"/>
      <c r="N26" s="179"/>
      <c r="O26" s="99"/>
      <c r="Q26" s="99"/>
      <c r="R26" s="99"/>
      <c r="T26" s="218" t="s">
        <v>462</v>
      </c>
      <c r="U26" s="218"/>
      <c r="V26" s="219" t="s">
        <v>293</v>
      </c>
      <c r="W26" s="219"/>
      <c r="X26" s="219"/>
      <c r="Y26" s="218" t="s">
        <v>73</v>
      </c>
      <c r="Z26" s="218"/>
      <c r="AA26" s="94" t="s">
        <v>257</v>
      </c>
    </row>
    <row r="27" spans="2:27">
      <c r="B27" s="216"/>
      <c r="C27" s="216"/>
      <c r="D27" s="216"/>
      <c r="E27" s="216"/>
      <c r="F27" s="216"/>
      <c r="G27" s="216"/>
      <c r="H27" s="216"/>
      <c r="I27" s="216"/>
      <c r="K27" s="99"/>
      <c r="L27" s="99"/>
      <c r="M27" s="99"/>
      <c r="N27" s="99"/>
      <c r="O27" s="99"/>
      <c r="P27" s="99"/>
      <c r="Q27" s="99"/>
      <c r="R27" s="99"/>
      <c r="T27" s="218" t="s">
        <v>68</v>
      </c>
      <c r="U27" s="218"/>
      <c r="V27" s="219" t="s">
        <v>294</v>
      </c>
      <c r="W27" s="219"/>
      <c r="X27" s="219"/>
      <c r="Y27" s="218" t="s">
        <v>463</v>
      </c>
      <c r="Z27" s="218"/>
      <c r="AA27" s="105">
        <v>270</v>
      </c>
    </row>
    <row r="28" spans="2:27">
      <c r="B28" s="216"/>
      <c r="C28" s="216"/>
      <c r="D28" s="216"/>
      <c r="E28" s="216"/>
      <c r="F28" s="216"/>
      <c r="G28" s="216"/>
      <c r="H28" s="216"/>
      <c r="I28" s="216"/>
      <c r="K28" s="221" t="s">
        <v>299</v>
      </c>
      <c r="L28" s="221"/>
      <c r="M28" s="221"/>
      <c r="N28" s="221"/>
      <c r="O28" s="221"/>
      <c r="P28" s="221"/>
      <c r="Q28" s="221"/>
      <c r="R28" s="221"/>
      <c r="T28" s="218" t="s">
        <v>69</v>
      </c>
      <c r="U28" s="218"/>
      <c r="V28" s="219" t="s">
        <v>295</v>
      </c>
      <c r="W28" s="219"/>
      <c r="X28" s="219"/>
      <c r="Y28" s="218" t="s">
        <v>464</v>
      </c>
      <c r="Z28" s="218"/>
      <c r="AA28" s="105">
        <v>0</v>
      </c>
    </row>
    <row r="29" spans="2:27">
      <c r="B29" s="216"/>
      <c r="C29" s="216"/>
      <c r="D29" s="216"/>
      <c r="E29" s="216"/>
      <c r="F29" s="216"/>
      <c r="G29" s="216"/>
      <c r="H29" s="216"/>
      <c r="I29" s="216"/>
      <c r="K29" s="221"/>
      <c r="L29" s="221"/>
      <c r="M29" s="221"/>
      <c r="N29" s="221"/>
      <c r="O29" s="221"/>
      <c r="P29" s="221"/>
      <c r="Q29" s="221"/>
      <c r="R29" s="221"/>
      <c r="T29" s="218" t="s">
        <v>70</v>
      </c>
      <c r="U29" s="218"/>
      <c r="V29" s="219" t="s">
        <v>296</v>
      </c>
      <c r="W29" s="219"/>
      <c r="X29" s="219"/>
      <c r="Y29" s="218" t="s">
        <v>74</v>
      </c>
      <c r="Z29" s="218"/>
      <c r="AA29" s="106">
        <v>40648</v>
      </c>
    </row>
    <row r="30" spans="2:27">
      <c r="B30" s="97"/>
      <c r="C30" s="97"/>
      <c r="D30" s="97"/>
      <c r="E30" s="97"/>
      <c r="F30" s="97"/>
      <c r="G30" s="97"/>
      <c r="H30" s="97"/>
      <c r="I30" s="97"/>
      <c r="K30" s="99"/>
      <c r="L30" s="99"/>
      <c r="M30" s="99"/>
      <c r="N30" s="99"/>
      <c r="O30" s="99"/>
      <c r="P30" s="99"/>
      <c r="Q30" s="99"/>
      <c r="R30" s="99"/>
      <c r="T30" s="99"/>
      <c r="U30" s="99"/>
      <c r="V30" s="99"/>
      <c r="W30" s="99"/>
      <c r="X30" s="99"/>
      <c r="Y30" s="99"/>
      <c r="Z30" s="99"/>
      <c r="AA30" s="99"/>
    </row>
    <row r="31" spans="2:27">
      <c r="B31" s="218" t="s">
        <v>62</v>
      </c>
      <c r="C31" s="218"/>
      <c r="D31" s="226" t="s">
        <v>275</v>
      </c>
      <c r="E31" s="226"/>
      <c r="F31" s="226"/>
      <c r="G31" s="226"/>
      <c r="H31" s="226"/>
      <c r="I31" s="226"/>
      <c r="K31" s="179"/>
      <c r="L31" s="179"/>
      <c r="M31" s="179"/>
      <c r="N31" s="179"/>
      <c r="O31" s="45"/>
      <c r="Q31" s="45"/>
      <c r="R31" s="45"/>
      <c r="T31" s="218" t="s">
        <v>76</v>
      </c>
      <c r="U31" s="218"/>
      <c r="V31" s="218"/>
      <c r="W31" s="220"/>
      <c r="X31" s="220"/>
      <c r="Y31" s="220"/>
      <c r="Z31" s="220"/>
      <c r="AA31" s="220"/>
    </row>
    <row r="32" spans="2:27">
      <c r="B32" s="194"/>
      <c r="C32" s="194"/>
      <c r="D32" s="93"/>
      <c r="E32" s="93"/>
      <c r="F32" s="93"/>
      <c r="G32" s="93"/>
      <c r="H32" s="93"/>
      <c r="I32" s="93"/>
      <c r="K32" s="45"/>
      <c r="L32" s="45"/>
      <c r="M32" s="104"/>
      <c r="N32" s="104"/>
      <c r="O32" s="104"/>
      <c r="P32" s="104"/>
      <c r="Q32" s="104"/>
      <c r="R32" s="104"/>
      <c r="T32" s="218" t="s">
        <v>65</v>
      </c>
      <c r="U32" s="218"/>
      <c r="V32" s="218"/>
      <c r="W32" s="223" t="s">
        <v>300</v>
      </c>
      <c r="X32" s="224"/>
      <c r="Y32" s="224"/>
      <c r="Z32" s="224"/>
      <c r="AA32" s="225"/>
    </row>
    <row r="33" spans="1:27" ht="12.75" customHeight="1">
      <c r="B33" s="218" t="s">
        <v>59</v>
      </c>
      <c r="C33" s="218"/>
      <c r="D33" s="218"/>
      <c r="E33" s="97"/>
      <c r="F33" s="97"/>
      <c r="G33" s="97"/>
      <c r="H33" s="97"/>
      <c r="I33" s="97"/>
      <c r="K33" s="221" t="s">
        <v>293</v>
      </c>
      <c r="L33" s="221"/>
      <c r="M33" s="221"/>
      <c r="N33" s="221"/>
      <c r="O33" s="221"/>
      <c r="P33" s="221"/>
      <c r="Q33" s="221"/>
      <c r="R33" s="221"/>
      <c r="T33" s="218" t="s">
        <v>59</v>
      </c>
      <c r="U33" s="218"/>
      <c r="V33" s="218"/>
      <c r="W33" s="45"/>
      <c r="X33" s="45"/>
      <c r="Y33" s="45"/>
      <c r="Z33" s="45"/>
      <c r="AA33" s="45"/>
    </row>
    <row r="34" spans="1:27" ht="12.75" customHeight="1">
      <c r="B34" s="205" t="s">
        <v>276</v>
      </c>
      <c r="C34" s="216"/>
      <c r="D34" s="216"/>
      <c r="E34" s="216"/>
      <c r="F34" s="216"/>
      <c r="G34" s="216"/>
      <c r="H34" s="216"/>
      <c r="I34" s="216"/>
      <c r="K34" s="221"/>
      <c r="L34" s="221"/>
      <c r="M34" s="221"/>
      <c r="N34" s="221"/>
      <c r="O34" s="221"/>
      <c r="P34" s="221"/>
      <c r="Q34" s="221"/>
      <c r="R34" s="221"/>
      <c r="T34" s="232" t="s">
        <v>314</v>
      </c>
      <c r="U34" s="232"/>
      <c r="V34" s="232"/>
      <c r="W34" s="232"/>
      <c r="X34" s="232"/>
      <c r="Y34" s="232"/>
      <c r="Z34" s="232"/>
      <c r="AA34" s="232"/>
    </row>
    <row r="35" spans="1:27">
      <c r="B35" s="216"/>
      <c r="C35" s="216"/>
      <c r="D35" s="216"/>
      <c r="E35" s="216"/>
      <c r="F35" s="216"/>
      <c r="G35" s="216"/>
      <c r="H35" s="216"/>
      <c r="I35" s="216"/>
      <c r="K35" s="221"/>
      <c r="L35" s="221"/>
      <c r="M35" s="221"/>
      <c r="N35" s="221"/>
      <c r="O35" s="221"/>
      <c r="P35" s="221"/>
      <c r="Q35" s="221"/>
      <c r="R35" s="221"/>
      <c r="T35" s="232"/>
      <c r="U35" s="232"/>
      <c r="V35" s="232"/>
      <c r="W35" s="232"/>
      <c r="X35" s="232"/>
      <c r="Y35" s="232"/>
      <c r="Z35" s="232"/>
      <c r="AA35" s="232"/>
    </row>
    <row r="36" spans="1:27">
      <c r="B36" s="216"/>
      <c r="C36" s="216"/>
      <c r="D36" s="216"/>
      <c r="E36" s="216"/>
      <c r="F36" s="216"/>
      <c r="G36" s="216"/>
      <c r="H36" s="216"/>
      <c r="I36" s="216"/>
      <c r="K36" s="221"/>
      <c r="L36" s="221"/>
      <c r="M36" s="221"/>
      <c r="N36" s="221"/>
      <c r="O36" s="221"/>
      <c r="P36" s="221"/>
      <c r="Q36" s="221"/>
      <c r="R36" s="221"/>
      <c r="T36" s="218" t="s">
        <v>66</v>
      </c>
      <c r="U36" s="218"/>
      <c r="V36" s="219" t="s">
        <v>301</v>
      </c>
      <c r="W36" s="219"/>
      <c r="X36" s="219"/>
      <c r="Y36" s="218" t="s">
        <v>71</v>
      </c>
      <c r="Z36" s="218"/>
      <c r="AA36" s="105">
        <v>900</v>
      </c>
    </row>
    <row r="37" spans="1:27">
      <c r="B37" s="218" t="s">
        <v>60</v>
      </c>
      <c r="C37" s="218"/>
      <c r="D37" s="218"/>
      <c r="E37" s="97"/>
      <c r="F37" s="97"/>
      <c r="G37" s="97"/>
      <c r="H37" s="97"/>
      <c r="I37" s="97"/>
      <c r="K37" s="45"/>
      <c r="L37" s="45"/>
      <c r="M37" s="45"/>
      <c r="N37" s="99"/>
      <c r="O37" s="99"/>
      <c r="P37" s="99"/>
      <c r="Q37" s="99"/>
      <c r="R37" s="99"/>
      <c r="T37" s="218" t="s">
        <v>67</v>
      </c>
      <c r="U37" s="218"/>
      <c r="V37" s="219" t="s">
        <v>301</v>
      </c>
      <c r="W37" s="219"/>
      <c r="X37" s="219"/>
      <c r="Y37" s="218" t="s">
        <v>72</v>
      </c>
      <c r="Z37" s="218"/>
      <c r="AA37" s="94" t="s">
        <v>285</v>
      </c>
    </row>
    <row r="38" spans="1:27">
      <c r="B38" s="216" t="s">
        <v>272</v>
      </c>
      <c r="C38" s="216"/>
      <c r="D38" s="216"/>
      <c r="E38" s="216"/>
      <c r="F38" s="216"/>
      <c r="G38" s="216"/>
      <c r="H38" s="216"/>
      <c r="I38" s="216"/>
      <c r="K38" s="179"/>
      <c r="L38" s="179"/>
      <c r="M38" s="179"/>
      <c r="N38" s="179"/>
      <c r="O38" s="179"/>
      <c r="P38" s="99"/>
      <c r="Q38" s="99"/>
      <c r="R38" s="99"/>
      <c r="T38" s="218" t="s">
        <v>462</v>
      </c>
      <c r="U38" s="218"/>
      <c r="V38" s="219" t="s">
        <v>293</v>
      </c>
      <c r="W38" s="219"/>
      <c r="X38" s="219"/>
      <c r="Y38" s="218" t="s">
        <v>73</v>
      </c>
      <c r="Z38" s="218"/>
      <c r="AA38" s="94" t="s">
        <v>257</v>
      </c>
    </row>
    <row r="39" spans="1:27">
      <c r="B39" s="216"/>
      <c r="C39" s="216"/>
      <c r="D39" s="216"/>
      <c r="E39" s="216"/>
      <c r="F39" s="216"/>
      <c r="G39" s="216"/>
      <c r="H39" s="216"/>
      <c r="I39" s="216"/>
      <c r="K39" s="99"/>
      <c r="L39" s="99"/>
      <c r="M39" s="99"/>
      <c r="N39" s="99"/>
      <c r="O39" s="99"/>
      <c r="P39" s="99"/>
      <c r="Q39" s="99"/>
      <c r="R39" s="99"/>
      <c r="T39" s="218" t="s">
        <v>68</v>
      </c>
      <c r="U39" s="218"/>
      <c r="V39" s="219" t="s">
        <v>294</v>
      </c>
      <c r="W39" s="219"/>
      <c r="X39" s="219"/>
      <c r="Y39" s="218" t="s">
        <v>463</v>
      </c>
      <c r="Z39" s="218"/>
      <c r="AA39" s="105">
        <v>270</v>
      </c>
    </row>
    <row r="40" spans="1:27">
      <c r="A40" t="s">
        <v>302</v>
      </c>
      <c r="B40" s="216"/>
      <c r="C40" s="216"/>
      <c r="D40" s="216"/>
      <c r="E40" s="216"/>
      <c r="F40" s="216"/>
      <c r="G40" s="216"/>
      <c r="H40" s="216"/>
      <c r="I40" s="216"/>
      <c r="K40" s="221" t="s">
        <v>303</v>
      </c>
      <c r="L40" s="221"/>
      <c r="M40" s="221"/>
      <c r="N40" s="221"/>
      <c r="O40" s="221"/>
      <c r="P40" s="221"/>
      <c r="Q40" s="221"/>
      <c r="R40" s="221"/>
      <c r="T40" s="218" t="s">
        <v>69</v>
      </c>
      <c r="U40" s="218"/>
      <c r="V40" s="222" t="s">
        <v>304</v>
      </c>
      <c r="W40" s="219"/>
      <c r="X40" s="219"/>
      <c r="Y40" s="218" t="s">
        <v>464</v>
      </c>
      <c r="Z40" s="218"/>
      <c r="AA40" s="105">
        <v>0</v>
      </c>
    </row>
    <row r="41" spans="1:27">
      <c r="B41" s="216"/>
      <c r="C41" s="216"/>
      <c r="D41" s="216"/>
      <c r="E41" s="216"/>
      <c r="F41" s="216"/>
      <c r="G41" s="216"/>
      <c r="H41" s="216"/>
      <c r="I41" s="216"/>
      <c r="K41" s="221"/>
      <c r="L41" s="221"/>
      <c r="M41" s="221"/>
      <c r="N41" s="221"/>
      <c r="O41" s="221"/>
      <c r="P41" s="221"/>
      <c r="Q41" s="221"/>
      <c r="R41" s="221"/>
      <c r="T41" s="218" t="s">
        <v>70</v>
      </c>
      <c r="U41" s="218"/>
      <c r="V41" s="219" t="s">
        <v>296</v>
      </c>
      <c r="W41" s="219"/>
      <c r="X41" s="219"/>
      <c r="Y41" s="218" t="s">
        <v>74</v>
      </c>
      <c r="Z41" s="218"/>
      <c r="AA41" s="106">
        <v>40634</v>
      </c>
    </row>
    <row r="42" spans="1:27">
      <c r="B42" s="97"/>
      <c r="C42" s="97"/>
      <c r="D42" s="97"/>
      <c r="E42" s="97"/>
      <c r="F42" s="97"/>
      <c r="G42" s="97"/>
      <c r="H42" s="97"/>
      <c r="I42" s="97"/>
      <c r="K42" s="99"/>
      <c r="L42" s="99"/>
      <c r="M42" s="99"/>
      <c r="N42" s="99"/>
      <c r="O42" s="99"/>
      <c r="P42" s="99"/>
      <c r="Q42" s="99"/>
      <c r="R42" s="99"/>
      <c r="T42" s="99"/>
      <c r="U42" s="99"/>
      <c r="V42" s="99"/>
      <c r="W42" s="99"/>
      <c r="X42" s="99"/>
      <c r="Y42" s="99"/>
      <c r="Z42" s="99"/>
      <c r="AA42" s="99"/>
    </row>
    <row r="43" spans="1:27">
      <c r="B43" s="218" t="s">
        <v>63</v>
      </c>
      <c r="C43" s="218"/>
      <c r="D43" s="226" t="s">
        <v>305</v>
      </c>
      <c r="E43" s="226"/>
      <c r="F43" s="226"/>
      <c r="G43" s="226"/>
      <c r="H43" s="226"/>
      <c r="I43" s="226"/>
      <c r="K43" s="179"/>
      <c r="L43" s="179"/>
      <c r="M43" s="179"/>
      <c r="N43" s="179"/>
      <c r="O43" s="179"/>
      <c r="Q43" s="45"/>
      <c r="R43" s="45"/>
      <c r="T43" s="218" t="s">
        <v>77</v>
      </c>
      <c r="U43" s="218"/>
      <c r="V43" s="218"/>
      <c r="W43" s="220"/>
      <c r="X43" s="220"/>
      <c r="Y43" s="220"/>
      <c r="Z43" s="220"/>
      <c r="AA43" s="220"/>
    </row>
    <row r="44" spans="1:27">
      <c r="B44" s="194"/>
      <c r="C44" s="194"/>
      <c r="D44" s="93"/>
      <c r="E44" s="93"/>
      <c r="F44" s="93"/>
      <c r="G44" s="93"/>
      <c r="H44" s="93"/>
      <c r="I44" s="93"/>
      <c r="K44" s="45"/>
      <c r="L44" s="45"/>
      <c r="M44" s="104"/>
      <c r="N44" s="104"/>
      <c r="O44" s="104"/>
      <c r="P44" s="104"/>
      <c r="Q44" s="104"/>
      <c r="R44" s="104"/>
      <c r="T44" s="218" t="s">
        <v>65</v>
      </c>
      <c r="U44" s="218"/>
      <c r="V44" s="218"/>
      <c r="W44" s="223" t="s">
        <v>306</v>
      </c>
      <c r="X44" s="224"/>
      <c r="Y44" s="224"/>
      <c r="Z44" s="224"/>
      <c r="AA44" s="225"/>
    </row>
    <row r="45" spans="1:27" ht="12.75" customHeight="1">
      <c r="B45" s="218" t="s">
        <v>59</v>
      </c>
      <c r="C45" s="218"/>
      <c r="D45" s="218"/>
      <c r="E45" s="97"/>
      <c r="F45" s="97"/>
      <c r="G45" s="97"/>
      <c r="H45" s="97"/>
      <c r="I45" s="97"/>
      <c r="K45" s="221" t="s">
        <v>307</v>
      </c>
      <c r="L45" s="221"/>
      <c r="M45" s="221"/>
      <c r="N45" s="221"/>
      <c r="O45" s="221"/>
      <c r="P45" s="221"/>
      <c r="Q45" s="221"/>
      <c r="R45" s="221"/>
      <c r="T45" s="218" t="s">
        <v>59</v>
      </c>
      <c r="U45" s="218"/>
      <c r="V45" s="218"/>
      <c r="W45" s="45"/>
      <c r="X45" s="45"/>
      <c r="Y45" s="45"/>
      <c r="Z45" s="45"/>
      <c r="AA45" s="45"/>
    </row>
    <row r="46" spans="1:27" ht="12.75" customHeight="1">
      <c r="B46" s="205" t="s">
        <v>308</v>
      </c>
      <c r="C46" s="216"/>
      <c r="D46" s="216"/>
      <c r="E46" s="216"/>
      <c r="F46" s="216"/>
      <c r="G46" s="216"/>
      <c r="H46" s="216"/>
      <c r="I46" s="216"/>
      <c r="K46" s="221"/>
      <c r="L46" s="221"/>
      <c r="M46" s="221"/>
      <c r="N46" s="221"/>
      <c r="O46" s="221"/>
      <c r="P46" s="221"/>
      <c r="Q46" s="221"/>
      <c r="R46" s="221"/>
      <c r="T46" s="232" t="s">
        <v>315</v>
      </c>
      <c r="U46" s="232"/>
      <c r="V46" s="232"/>
      <c r="W46" s="232"/>
      <c r="X46" s="232"/>
      <c r="Y46" s="232"/>
      <c r="Z46" s="232"/>
      <c r="AA46" s="232"/>
    </row>
    <row r="47" spans="1:27">
      <c r="B47" s="216"/>
      <c r="C47" s="216"/>
      <c r="D47" s="216"/>
      <c r="E47" s="216"/>
      <c r="F47" s="216"/>
      <c r="G47" s="216"/>
      <c r="H47" s="216"/>
      <c r="I47" s="216"/>
      <c r="K47" s="221"/>
      <c r="L47" s="221"/>
      <c r="M47" s="221"/>
      <c r="N47" s="221"/>
      <c r="O47" s="221"/>
      <c r="P47" s="221"/>
      <c r="Q47" s="221"/>
      <c r="R47" s="221"/>
      <c r="T47" s="232"/>
      <c r="U47" s="232"/>
      <c r="V47" s="232"/>
      <c r="W47" s="232"/>
      <c r="X47" s="232"/>
      <c r="Y47" s="232"/>
      <c r="Z47" s="232"/>
      <c r="AA47" s="232"/>
    </row>
    <row r="48" spans="1:27">
      <c r="B48" s="216"/>
      <c r="C48" s="216"/>
      <c r="D48" s="216"/>
      <c r="E48" s="216"/>
      <c r="F48" s="216"/>
      <c r="G48" s="216"/>
      <c r="H48" s="216"/>
      <c r="I48" s="216"/>
      <c r="K48" s="221"/>
      <c r="L48" s="221"/>
      <c r="M48" s="221"/>
      <c r="N48" s="221"/>
      <c r="O48" s="221"/>
      <c r="P48" s="221"/>
      <c r="Q48" s="221"/>
      <c r="R48" s="221"/>
      <c r="T48" s="218" t="s">
        <v>66</v>
      </c>
      <c r="U48" s="218"/>
      <c r="V48" s="219" t="s">
        <v>309</v>
      </c>
      <c r="W48" s="219"/>
      <c r="X48" s="219"/>
      <c r="Y48" s="218" t="s">
        <v>71</v>
      </c>
      <c r="Z48" s="218"/>
      <c r="AA48" s="105">
        <v>900</v>
      </c>
    </row>
    <row r="49" spans="2:27">
      <c r="B49" s="218" t="s">
        <v>60</v>
      </c>
      <c r="C49" s="218"/>
      <c r="D49" s="218"/>
      <c r="E49" s="97"/>
      <c r="F49" s="97"/>
      <c r="G49" s="97"/>
      <c r="H49" s="97"/>
      <c r="I49" s="97"/>
      <c r="K49" s="45"/>
      <c r="L49" s="45"/>
      <c r="M49" s="45"/>
      <c r="N49" s="99"/>
      <c r="O49" s="99"/>
      <c r="P49" s="99"/>
      <c r="Q49" s="99"/>
      <c r="R49" s="99"/>
      <c r="T49" s="218" t="s">
        <v>67</v>
      </c>
      <c r="U49" s="218"/>
      <c r="V49" s="219" t="s">
        <v>310</v>
      </c>
      <c r="W49" s="219"/>
      <c r="X49" s="219"/>
      <c r="Y49" s="218" t="s">
        <v>72</v>
      </c>
      <c r="Z49" s="218"/>
      <c r="AA49" s="94" t="s">
        <v>285</v>
      </c>
    </row>
    <row r="50" spans="2:27">
      <c r="B50" s="216" t="s">
        <v>272</v>
      </c>
      <c r="C50" s="216"/>
      <c r="D50" s="216"/>
      <c r="E50" s="216"/>
      <c r="F50" s="216"/>
      <c r="G50" s="216"/>
      <c r="H50" s="216"/>
      <c r="I50" s="216"/>
      <c r="K50" s="179"/>
      <c r="L50" s="179"/>
      <c r="M50" s="179"/>
      <c r="N50" s="179"/>
      <c r="O50" s="99"/>
      <c r="Q50" s="99"/>
      <c r="R50" s="99"/>
      <c r="T50" s="218" t="s">
        <v>462</v>
      </c>
      <c r="U50" s="218"/>
      <c r="V50" s="219" t="s">
        <v>293</v>
      </c>
      <c r="W50" s="219"/>
      <c r="X50" s="219"/>
      <c r="Y50" s="218" t="s">
        <v>73</v>
      </c>
      <c r="Z50" s="218"/>
      <c r="AA50" s="94" t="s">
        <v>257</v>
      </c>
    </row>
    <row r="51" spans="2:27">
      <c r="B51" s="216"/>
      <c r="C51" s="216"/>
      <c r="D51" s="216"/>
      <c r="E51" s="216"/>
      <c r="F51" s="216"/>
      <c r="G51" s="216"/>
      <c r="H51" s="216"/>
      <c r="I51" s="216"/>
      <c r="K51" s="99"/>
      <c r="L51" s="99"/>
      <c r="M51" s="99"/>
      <c r="N51" s="99"/>
      <c r="O51" s="99"/>
      <c r="P51" s="99"/>
      <c r="Q51" s="99"/>
      <c r="R51" s="99"/>
      <c r="T51" s="218" t="s">
        <v>68</v>
      </c>
      <c r="U51" s="218"/>
      <c r="V51" s="219" t="s">
        <v>294</v>
      </c>
      <c r="W51" s="219"/>
      <c r="X51" s="219"/>
      <c r="Y51" s="218" t="s">
        <v>463</v>
      </c>
      <c r="Z51" s="218"/>
      <c r="AA51" s="105">
        <v>270</v>
      </c>
    </row>
    <row r="52" spans="2:27" ht="12.75" customHeight="1">
      <c r="B52" s="216"/>
      <c r="C52" s="216"/>
      <c r="D52" s="216"/>
      <c r="E52" s="216"/>
      <c r="F52" s="216"/>
      <c r="G52" s="216"/>
      <c r="H52" s="216"/>
      <c r="I52" s="216"/>
      <c r="K52" s="209" t="s">
        <v>311</v>
      </c>
      <c r="L52" s="209"/>
      <c r="M52" s="209"/>
      <c r="N52" s="209"/>
      <c r="O52" s="209"/>
      <c r="P52" s="209"/>
      <c r="Q52" s="209"/>
      <c r="R52" s="209"/>
      <c r="T52" s="218" t="s">
        <v>69</v>
      </c>
      <c r="U52" s="218"/>
      <c r="V52" s="219" t="s">
        <v>295</v>
      </c>
      <c r="W52" s="219"/>
      <c r="X52" s="219"/>
      <c r="Y52" s="218" t="s">
        <v>464</v>
      </c>
      <c r="Z52" s="218"/>
      <c r="AA52" s="105">
        <v>0</v>
      </c>
    </row>
    <row r="53" spans="2:27">
      <c r="B53" s="216"/>
      <c r="C53" s="216"/>
      <c r="D53" s="216"/>
      <c r="E53" s="216"/>
      <c r="F53" s="216"/>
      <c r="G53" s="216"/>
      <c r="H53" s="216"/>
      <c r="I53" s="216"/>
      <c r="K53" s="209"/>
      <c r="L53" s="209"/>
      <c r="M53" s="209"/>
      <c r="N53" s="209"/>
      <c r="O53" s="209"/>
      <c r="P53" s="209"/>
      <c r="Q53" s="209"/>
      <c r="R53" s="209"/>
      <c r="T53" s="218" t="s">
        <v>70</v>
      </c>
      <c r="U53" s="218"/>
      <c r="V53" s="219" t="s">
        <v>296</v>
      </c>
      <c r="W53" s="219"/>
      <c r="X53" s="219"/>
      <c r="Y53" s="218" t="s">
        <v>74</v>
      </c>
      <c r="Z53" s="218"/>
      <c r="AA53" s="106">
        <v>40663</v>
      </c>
    </row>
    <row r="54" spans="2:27">
      <c r="B54" s="97"/>
      <c r="C54" s="97"/>
      <c r="D54" s="97"/>
      <c r="E54" s="97"/>
      <c r="F54" s="97"/>
      <c r="G54" s="97"/>
      <c r="H54" s="97"/>
      <c r="I54" s="97"/>
      <c r="K54" s="209"/>
      <c r="L54" s="209"/>
      <c r="M54" s="209"/>
      <c r="N54" s="209"/>
      <c r="O54" s="209"/>
      <c r="P54" s="209"/>
      <c r="Q54" s="209"/>
      <c r="R54" s="209"/>
      <c r="T54" s="99"/>
      <c r="U54" s="99"/>
      <c r="V54" s="99"/>
      <c r="W54" s="99"/>
      <c r="X54" s="99"/>
      <c r="Y54" s="99"/>
      <c r="Z54" s="99"/>
      <c r="AA54" s="99"/>
    </row>
    <row r="55" spans="2:27">
      <c r="K55" s="209"/>
      <c r="L55" s="209"/>
      <c r="M55" s="209"/>
      <c r="N55" s="209"/>
      <c r="O55" s="209"/>
      <c r="P55" s="209"/>
      <c r="Q55" s="209"/>
      <c r="R55" s="209"/>
    </row>
    <row r="57" spans="2:27">
      <c r="B57" s="175"/>
      <c r="C57" s="175"/>
      <c r="D57" s="175"/>
      <c r="E57" s="175"/>
      <c r="F57" s="175"/>
      <c r="G57" s="175"/>
      <c r="H57" s="175"/>
      <c r="I57" s="175"/>
      <c r="K57" s="175"/>
      <c r="L57" s="175"/>
      <c r="M57" s="175"/>
      <c r="N57" s="175"/>
      <c r="O57" s="175"/>
      <c r="P57" s="175"/>
      <c r="Q57" s="175"/>
      <c r="R57" s="175"/>
      <c r="T57" s="175"/>
      <c r="U57" s="175"/>
      <c r="V57" s="175"/>
      <c r="W57" s="175"/>
      <c r="X57" s="175"/>
      <c r="Y57" s="175"/>
      <c r="Z57" s="175"/>
      <c r="AA57" s="175"/>
    </row>
    <row r="59" spans="2:27" ht="17.399999999999999">
      <c r="B59" s="72"/>
      <c r="K59" s="72"/>
      <c r="T59" s="72"/>
    </row>
    <row r="61" spans="2:27" ht="3" customHeight="1"/>
  </sheetData>
  <sheetProtection password="CC9B" sheet="1" objects="1" scenarios="1"/>
  <mergeCells count="148">
    <mergeCell ref="K45:R48"/>
    <mergeCell ref="T10:AA10"/>
    <mergeCell ref="T11:AA11"/>
    <mergeCell ref="T22:AA22"/>
    <mergeCell ref="T23:AA23"/>
    <mergeCell ref="T34:AA34"/>
    <mergeCell ref="T35:AA35"/>
    <mergeCell ref="T46:AA46"/>
    <mergeCell ref="T47:AA47"/>
    <mergeCell ref="T48:U48"/>
    <mergeCell ref="Y28:Z28"/>
    <mergeCell ref="Y26:Z26"/>
    <mergeCell ref="T25:U25"/>
    <mergeCell ref="V25:X25"/>
    <mergeCell ref="Y25:Z25"/>
    <mergeCell ref="V26:X26"/>
    <mergeCell ref="V28:X28"/>
    <mergeCell ref="Y27:Z27"/>
    <mergeCell ref="T17:U17"/>
    <mergeCell ref="T21:V21"/>
    <mergeCell ref="W19:AA19"/>
    <mergeCell ref="V17:X17"/>
    <mergeCell ref="T44:V44"/>
    <mergeCell ref="Y17:Z17"/>
    <mergeCell ref="T51:U51"/>
    <mergeCell ref="V51:X51"/>
    <mergeCell ref="Y51:Z51"/>
    <mergeCell ref="T52:U52"/>
    <mergeCell ref="V52:X52"/>
    <mergeCell ref="Y52:Z52"/>
    <mergeCell ref="Y48:Z48"/>
    <mergeCell ref="T50:U50"/>
    <mergeCell ref="V50:X50"/>
    <mergeCell ref="Y50:Z50"/>
    <mergeCell ref="T49:U49"/>
    <mergeCell ref="V49:X49"/>
    <mergeCell ref="Y49:Z49"/>
    <mergeCell ref="V48:X48"/>
    <mergeCell ref="R1:R3"/>
    <mergeCell ref="T24:U24"/>
    <mergeCell ref="V24:X24"/>
    <mergeCell ref="T20:V20"/>
    <mergeCell ref="T13:U13"/>
    <mergeCell ref="T14:U14"/>
    <mergeCell ref="W7:AA7"/>
    <mergeCell ref="Y13:Z13"/>
    <mergeCell ref="Y14:Z14"/>
    <mergeCell ref="Y15:Z15"/>
    <mergeCell ref="AA1:AA3"/>
    <mergeCell ref="T12:U12"/>
    <mergeCell ref="T7:V7"/>
    <mergeCell ref="T8:V8"/>
    <mergeCell ref="W8:AA8"/>
    <mergeCell ref="T9:V9"/>
    <mergeCell ref="Y12:Z12"/>
    <mergeCell ref="V12:X12"/>
    <mergeCell ref="Y16:Z16"/>
    <mergeCell ref="T16:U16"/>
    <mergeCell ref="V13:X13"/>
    <mergeCell ref="V16:X16"/>
    <mergeCell ref="T15:U15"/>
    <mergeCell ref="Y24:Z24"/>
    <mergeCell ref="K26:N26"/>
    <mergeCell ref="T28:U28"/>
    <mergeCell ref="T29:U29"/>
    <mergeCell ref="T31:V31"/>
    <mergeCell ref="Y37:Z37"/>
    <mergeCell ref="T32:V32"/>
    <mergeCell ref="W32:AA32"/>
    <mergeCell ref="T33:V33"/>
    <mergeCell ref="T37:U37"/>
    <mergeCell ref="V37:X37"/>
    <mergeCell ref="T36:U36"/>
    <mergeCell ref="V36:X36"/>
    <mergeCell ref="Y36:Z36"/>
    <mergeCell ref="K33:R36"/>
    <mergeCell ref="T5:X5"/>
    <mergeCell ref="B50:I53"/>
    <mergeCell ref="B38:I41"/>
    <mergeCell ref="B43:C43"/>
    <mergeCell ref="D43:I43"/>
    <mergeCell ref="B44:C44"/>
    <mergeCell ref="D31:I31"/>
    <mergeCell ref="V29:X29"/>
    <mergeCell ref="B22:I24"/>
    <mergeCell ref="B25:D25"/>
    <mergeCell ref="B46:I48"/>
    <mergeCell ref="B49:D49"/>
    <mergeCell ref="B31:C31"/>
    <mergeCell ref="T27:U27"/>
    <mergeCell ref="T26:U26"/>
    <mergeCell ref="K28:R29"/>
    <mergeCell ref="K31:N31"/>
    <mergeCell ref="K50:N50"/>
    <mergeCell ref="T38:U38"/>
    <mergeCell ref="W31:AA31"/>
    <mergeCell ref="B32:C32"/>
    <mergeCell ref="B33:D33"/>
    <mergeCell ref="B34:I36"/>
    <mergeCell ref="B37:D37"/>
    <mergeCell ref="T45:V45"/>
    <mergeCell ref="T43:V43"/>
    <mergeCell ref="I1:I3"/>
    <mergeCell ref="B5:E5"/>
    <mergeCell ref="B7:C7"/>
    <mergeCell ref="D7:I7"/>
    <mergeCell ref="Y29:Z29"/>
    <mergeCell ref="B9:D9"/>
    <mergeCell ref="B10:I12"/>
    <mergeCell ref="B14:I17"/>
    <mergeCell ref="B13:D13"/>
    <mergeCell ref="B8:C8"/>
    <mergeCell ref="T19:V19"/>
    <mergeCell ref="V27:X27"/>
    <mergeCell ref="B20:C20"/>
    <mergeCell ref="B21:D21"/>
    <mergeCell ref="B19:C19"/>
    <mergeCell ref="D19:I19"/>
    <mergeCell ref="B26:I29"/>
    <mergeCell ref="W20:AA20"/>
    <mergeCell ref="K5:N5"/>
    <mergeCell ref="V14:X14"/>
    <mergeCell ref="V15:X15"/>
    <mergeCell ref="K7:R24"/>
    <mergeCell ref="B57:I57"/>
    <mergeCell ref="K57:R57"/>
    <mergeCell ref="T57:AA57"/>
    <mergeCell ref="T53:U53"/>
    <mergeCell ref="V53:X53"/>
    <mergeCell ref="Y53:Z53"/>
    <mergeCell ref="K52:R55"/>
    <mergeCell ref="K38:O38"/>
    <mergeCell ref="K43:O43"/>
    <mergeCell ref="W43:AA43"/>
    <mergeCell ref="T41:U41"/>
    <mergeCell ref="V41:X41"/>
    <mergeCell ref="Y41:Z41"/>
    <mergeCell ref="B45:D45"/>
    <mergeCell ref="V38:X38"/>
    <mergeCell ref="Y38:Z38"/>
    <mergeCell ref="T39:U39"/>
    <mergeCell ref="V39:X39"/>
    <mergeCell ref="Y39:Z39"/>
    <mergeCell ref="K40:R41"/>
    <mergeCell ref="T40:U40"/>
    <mergeCell ref="V40:X40"/>
    <mergeCell ref="Y40:Z40"/>
    <mergeCell ref="W44:AA44"/>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indexed="46"/>
  </sheetPr>
  <dimension ref="B1:S61"/>
  <sheetViews>
    <sheetView showGridLines="0" zoomScale="85" zoomScaleNormal="85" workbookViewId="0">
      <selection activeCell="Q15" sqref="Q15"/>
    </sheetView>
  </sheetViews>
  <sheetFormatPr baseColWidth="10" defaultColWidth="11.44140625" defaultRowHeight="13.2"/>
  <cols>
    <col min="1" max="2" width="4.6640625" customWidth="1"/>
    <col min="10" max="11" width="4.6640625" customWidth="1"/>
  </cols>
  <sheetData>
    <row r="1" spans="2:19" ht="18" customHeight="1">
      <c r="B1" s="87"/>
      <c r="C1" s="88"/>
      <c r="D1" s="88"/>
      <c r="I1" s="182"/>
      <c r="K1" s="87"/>
      <c r="L1" s="88"/>
      <c r="M1" s="88"/>
      <c r="R1" s="182"/>
    </row>
    <row r="2" spans="2:19" ht="12.75" customHeight="1">
      <c r="I2" s="182"/>
      <c r="R2" s="182"/>
    </row>
    <row r="3" spans="2:19" ht="18.75" customHeight="1">
      <c r="B3" s="87"/>
      <c r="C3" s="87"/>
      <c r="D3" s="87"/>
      <c r="E3" s="87"/>
      <c r="I3" s="182"/>
      <c r="K3" s="87"/>
      <c r="L3" s="87"/>
      <c r="M3" s="87"/>
      <c r="N3" s="87"/>
      <c r="P3" s="6"/>
      <c r="R3" s="182"/>
    </row>
    <row r="5" spans="2:19">
      <c r="B5" s="179"/>
      <c r="C5" s="179"/>
      <c r="D5" s="179"/>
      <c r="E5" s="179"/>
      <c r="K5" s="179"/>
      <c r="L5" s="179"/>
      <c r="M5" s="179"/>
      <c r="N5" s="85"/>
    </row>
    <row r="7" spans="2:19">
      <c r="B7" s="209" t="s">
        <v>277</v>
      </c>
      <c r="C7" s="209"/>
      <c r="D7" s="209"/>
      <c r="E7" s="209"/>
      <c r="F7" s="209"/>
      <c r="G7" s="209"/>
      <c r="H7" s="209"/>
      <c r="I7" s="209"/>
      <c r="K7" s="234" t="s">
        <v>79</v>
      </c>
      <c r="L7" s="234"/>
      <c r="M7" s="234"/>
      <c r="N7" s="45"/>
      <c r="O7" s="45"/>
      <c r="P7" s="45"/>
      <c r="Q7" s="45"/>
      <c r="R7" s="45"/>
    </row>
    <row r="8" spans="2:19">
      <c r="B8" s="209"/>
      <c r="C8" s="209"/>
      <c r="D8" s="209"/>
      <c r="E8" s="209"/>
      <c r="F8" s="209"/>
      <c r="G8" s="209"/>
      <c r="H8" s="209"/>
      <c r="I8" s="209"/>
      <c r="K8" s="45"/>
      <c r="L8" s="45"/>
      <c r="M8" s="45"/>
      <c r="N8" s="45"/>
      <c r="O8" s="45"/>
      <c r="P8" s="45"/>
      <c r="Q8" s="45"/>
      <c r="R8" s="45"/>
    </row>
    <row r="9" spans="2:19">
      <c r="B9" s="45"/>
      <c r="C9" s="45"/>
      <c r="D9" s="45"/>
      <c r="E9" s="45"/>
      <c r="F9" s="45"/>
      <c r="G9" s="45"/>
      <c r="H9" s="45"/>
      <c r="I9" s="45"/>
      <c r="K9" s="45"/>
      <c r="L9" s="45"/>
      <c r="P9" s="233" t="s">
        <v>80</v>
      </c>
      <c r="Q9" s="233"/>
      <c r="R9" s="108" t="s">
        <v>32</v>
      </c>
      <c r="S9" s="98"/>
    </row>
    <row r="10" spans="2:19">
      <c r="B10" s="179"/>
      <c r="C10" s="179"/>
      <c r="D10" s="179"/>
      <c r="E10" s="179"/>
      <c r="G10" s="45"/>
      <c r="H10" s="45"/>
      <c r="I10" s="45"/>
      <c r="K10" s="234" t="s">
        <v>81</v>
      </c>
      <c r="L10" s="234"/>
      <c r="M10" s="234"/>
      <c r="N10" s="107"/>
      <c r="O10" s="107"/>
      <c r="P10" s="219" t="s">
        <v>265</v>
      </c>
      <c r="Q10" s="219"/>
      <c r="R10" s="105">
        <v>150</v>
      </c>
    </row>
    <row r="11" spans="2:19">
      <c r="B11" s="45"/>
      <c r="C11" s="45"/>
      <c r="D11" s="45"/>
      <c r="E11" s="45"/>
      <c r="F11" s="45"/>
      <c r="G11" s="45"/>
      <c r="H11" s="45"/>
      <c r="I11" s="45"/>
      <c r="K11" s="234" t="s">
        <v>82</v>
      </c>
      <c r="L11" s="234"/>
      <c r="M11" s="234"/>
      <c r="N11" s="107"/>
      <c r="O11" s="107"/>
      <c r="P11" s="219">
        <f>---P12---R11</f>
        <v>0</v>
      </c>
      <c r="Q11" s="219"/>
      <c r="R11" s="105">
        <v>0</v>
      </c>
    </row>
    <row r="12" spans="2:19" ht="12.75" customHeight="1">
      <c r="B12" s="209" t="s">
        <v>278</v>
      </c>
      <c r="C12" s="209"/>
      <c r="D12" s="209"/>
      <c r="E12" s="209"/>
      <c r="F12" s="209"/>
      <c r="G12" s="209"/>
      <c r="H12" s="209"/>
      <c r="I12" s="209"/>
      <c r="K12" s="234" t="s">
        <v>83</v>
      </c>
      <c r="L12" s="234"/>
      <c r="M12" s="234"/>
      <c r="N12" s="107"/>
      <c r="O12" s="107"/>
      <c r="P12" s="219">
        <v>0</v>
      </c>
      <c r="Q12" s="219"/>
      <c r="R12" s="105">
        <v>0</v>
      </c>
    </row>
    <row r="13" spans="2:19">
      <c r="B13" s="209"/>
      <c r="C13" s="209"/>
      <c r="D13" s="209"/>
      <c r="E13" s="209"/>
      <c r="F13" s="209"/>
      <c r="G13" s="209"/>
      <c r="H13" s="209"/>
      <c r="I13" s="209"/>
      <c r="K13" s="45"/>
      <c r="L13" s="45"/>
      <c r="M13" s="45"/>
      <c r="N13" s="45"/>
      <c r="O13" s="45"/>
      <c r="P13" s="45"/>
      <c r="Q13" s="45"/>
      <c r="R13" s="45"/>
    </row>
    <row r="14" spans="2:19">
      <c r="B14" s="45"/>
      <c r="C14" s="45"/>
      <c r="D14" s="45"/>
      <c r="E14" s="45"/>
      <c r="F14" s="45"/>
      <c r="G14" s="45"/>
      <c r="H14" s="45"/>
      <c r="I14" s="45"/>
      <c r="K14" s="234" t="s">
        <v>84</v>
      </c>
      <c r="L14" s="234"/>
      <c r="M14" s="234"/>
      <c r="N14" s="45"/>
      <c r="O14" s="45"/>
      <c r="P14" s="45"/>
      <c r="Q14" s="45"/>
      <c r="R14" s="45"/>
    </row>
    <row r="15" spans="2:19">
      <c r="B15" s="179"/>
      <c r="C15" s="179"/>
      <c r="D15" s="179"/>
      <c r="E15" s="179"/>
      <c r="F15" s="45"/>
      <c r="G15" s="45"/>
      <c r="I15" s="45"/>
      <c r="K15" s="45"/>
      <c r="L15" s="45"/>
      <c r="M15" s="45"/>
      <c r="N15" s="45"/>
      <c r="O15" s="45"/>
      <c r="P15" s="45"/>
      <c r="Q15" s="45"/>
      <c r="R15" s="45"/>
    </row>
    <row r="16" spans="2:19">
      <c r="B16" s="45"/>
      <c r="C16" s="45"/>
      <c r="D16" s="45"/>
      <c r="E16" s="45"/>
      <c r="F16" s="45"/>
      <c r="G16" s="45"/>
      <c r="H16" s="45"/>
      <c r="I16" s="45"/>
      <c r="K16" s="45"/>
      <c r="L16" s="45"/>
      <c r="P16" s="233" t="s">
        <v>80</v>
      </c>
      <c r="Q16" s="233"/>
      <c r="R16" s="108" t="s">
        <v>32</v>
      </c>
    </row>
    <row r="17" spans="2:18" ht="12.75" customHeight="1">
      <c r="B17" s="209" t="s">
        <v>279</v>
      </c>
      <c r="C17" s="209"/>
      <c r="D17" s="209"/>
      <c r="E17" s="209"/>
      <c r="F17" s="209"/>
      <c r="G17" s="209"/>
      <c r="H17" s="209"/>
      <c r="I17" s="209"/>
      <c r="K17" s="234" t="s">
        <v>85</v>
      </c>
      <c r="L17" s="234"/>
      <c r="M17" s="234"/>
      <c r="N17" s="234"/>
      <c r="O17" s="234"/>
      <c r="P17" s="219" t="s">
        <v>260</v>
      </c>
      <c r="Q17" s="219"/>
      <c r="R17" s="105">
        <v>0</v>
      </c>
    </row>
    <row r="18" spans="2:18">
      <c r="B18" s="209"/>
      <c r="C18" s="209"/>
      <c r="D18" s="209"/>
      <c r="E18" s="209"/>
      <c r="F18" s="209"/>
      <c r="G18" s="209"/>
      <c r="H18" s="209"/>
      <c r="I18" s="209"/>
      <c r="K18" s="234" t="s">
        <v>86</v>
      </c>
      <c r="L18" s="234"/>
      <c r="M18" s="234"/>
      <c r="N18" s="234"/>
      <c r="O18" s="234"/>
      <c r="P18" s="219" t="s">
        <v>260</v>
      </c>
      <c r="Q18" s="219"/>
      <c r="R18" s="105">
        <v>0</v>
      </c>
    </row>
    <row r="19" spans="2:18">
      <c r="B19" s="45"/>
      <c r="C19" s="45"/>
      <c r="D19" s="45"/>
      <c r="E19" s="45"/>
      <c r="F19" s="45"/>
      <c r="G19" s="45"/>
      <c r="H19" s="45"/>
      <c r="I19" s="45"/>
      <c r="K19" s="234" t="s">
        <v>87</v>
      </c>
      <c r="L19" s="234"/>
      <c r="M19" s="234"/>
      <c r="N19" s="234"/>
      <c r="O19" s="234"/>
      <c r="P19" s="219" t="s">
        <v>260</v>
      </c>
      <c r="Q19" s="219"/>
      <c r="R19" s="105">
        <v>0</v>
      </c>
    </row>
    <row r="20" spans="2:18">
      <c r="B20" s="179"/>
      <c r="C20" s="179"/>
      <c r="D20" s="179"/>
      <c r="E20" s="179"/>
      <c r="F20" s="45"/>
      <c r="H20" s="45"/>
      <c r="I20" s="45"/>
      <c r="K20" s="98"/>
      <c r="L20" s="98"/>
      <c r="M20" s="98"/>
      <c r="N20" s="98"/>
      <c r="O20" s="45"/>
      <c r="P20" s="45"/>
      <c r="Q20" s="45"/>
      <c r="R20" s="45"/>
    </row>
    <row r="21" spans="2:18">
      <c r="B21" s="45"/>
      <c r="C21" s="45"/>
      <c r="D21" s="45"/>
      <c r="E21" s="45"/>
      <c r="F21" s="45"/>
      <c r="G21" s="45"/>
      <c r="H21" s="45"/>
      <c r="I21" s="45"/>
      <c r="K21" s="234" t="s">
        <v>88</v>
      </c>
      <c r="L21" s="234"/>
      <c r="M21" s="234"/>
      <c r="N21" s="45"/>
      <c r="O21" s="45"/>
      <c r="P21" s="45"/>
      <c r="Q21" s="45"/>
      <c r="R21" s="45"/>
    </row>
    <row r="22" spans="2:18" ht="12.75" customHeight="1">
      <c r="B22" s="209" t="s">
        <v>280</v>
      </c>
      <c r="C22" s="209"/>
      <c r="D22" s="209"/>
      <c r="E22" s="209"/>
      <c r="F22" s="209"/>
      <c r="G22" s="209"/>
      <c r="H22" s="209"/>
      <c r="I22" s="209"/>
      <c r="K22" s="45"/>
      <c r="L22" s="45"/>
      <c r="M22" s="45"/>
      <c r="N22" s="45"/>
      <c r="O22" s="45"/>
      <c r="P22" s="45"/>
      <c r="Q22" s="45"/>
      <c r="R22" s="45"/>
    </row>
    <row r="23" spans="2:18">
      <c r="B23" s="209"/>
      <c r="C23" s="209"/>
      <c r="D23" s="209"/>
      <c r="E23" s="209"/>
      <c r="F23" s="209"/>
      <c r="G23" s="209"/>
      <c r="H23" s="209"/>
      <c r="I23" s="209"/>
      <c r="K23" s="45"/>
      <c r="L23" s="45"/>
      <c r="M23" s="45"/>
      <c r="N23" s="233" t="s">
        <v>89</v>
      </c>
      <c r="O23" s="233"/>
      <c r="P23" s="108" t="s">
        <v>32</v>
      </c>
      <c r="Q23" s="108" t="s">
        <v>90</v>
      </c>
      <c r="R23" s="108" t="s">
        <v>452</v>
      </c>
    </row>
    <row r="24" spans="2:18">
      <c r="B24" s="45"/>
      <c r="C24" s="45"/>
      <c r="D24" s="45"/>
      <c r="E24" s="45"/>
      <c r="F24" s="45"/>
      <c r="H24" s="45"/>
      <c r="I24" s="45"/>
      <c r="K24" s="234" t="s">
        <v>91</v>
      </c>
      <c r="L24" s="234"/>
      <c r="M24" s="234"/>
      <c r="N24" s="219" t="s">
        <v>281</v>
      </c>
      <c r="O24" s="219"/>
      <c r="P24" s="105">
        <v>100</v>
      </c>
      <c r="Q24" s="110" t="s">
        <v>262</v>
      </c>
      <c r="R24" s="105">
        <v>1200</v>
      </c>
    </row>
    <row r="25" spans="2:18">
      <c r="B25" s="179" t="s">
        <v>78</v>
      </c>
      <c r="C25" s="179"/>
      <c r="D25" s="179"/>
      <c r="E25" s="179"/>
      <c r="F25" s="99"/>
      <c r="G25" s="99"/>
      <c r="H25" s="99"/>
      <c r="I25" s="99"/>
      <c r="K25" s="234" t="s">
        <v>92</v>
      </c>
      <c r="L25" s="234"/>
      <c r="M25" s="234"/>
      <c r="N25" s="219" t="s">
        <v>281</v>
      </c>
      <c r="O25" s="219"/>
      <c r="P25" s="105">
        <v>100</v>
      </c>
      <c r="Q25" s="86" t="s">
        <v>262</v>
      </c>
      <c r="R25" s="105">
        <v>1200</v>
      </c>
    </row>
    <row r="26" spans="2:18">
      <c r="B26" s="99"/>
      <c r="C26" s="99"/>
      <c r="D26" s="99"/>
      <c r="E26" s="99"/>
      <c r="F26" s="99"/>
      <c r="G26" s="99"/>
      <c r="H26" s="99"/>
      <c r="I26" s="99"/>
      <c r="K26" s="234" t="s">
        <v>93</v>
      </c>
      <c r="L26" s="234"/>
      <c r="M26" s="234"/>
      <c r="N26" s="219" t="s">
        <v>282</v>
      </c>
      <c r="O26" s="219"/>
      <c r="P26" s="105">
        <v>100</v>
      </c>
      <c r="Q26" s="86" t="s">
        <v>262</v>
      </c>
      <c r="R26" s="105">
        <v>1200</v>
      </c>
    </row>
    <row r="27" spans="2:18" ht="12.75" customHeight="1">
      <c r="B27" s="209" t="s">
        <v>283</v>
      </c>
      <c r="C27" s="209"/>
      <c r="D27" s="209"/>
      <c r="E27" s="209"/>
      <c r="F27" s="209"/>
      <c r="G27" s="209"/>
      <c r="H27" s="209"/>
      <c r="I27" s="209"/>
      <c r="K27" s="234" t="s">
        <v>94</v>
      </c>
      <c r="L27" s="234"/>
      <c r="M27" s="234"/>
      <c r="N27" s="219" t="s">
        <v>284</v>
      </c>
      <c r="O27" s="219"/>
      <c r="P27" s="105">
        <v>100</v>
      </c>
      <c r="Q27" s="86" t="s">
        <v>262</v>
      </c>
      <c r="R27" s="105">
        <v>1200</v>
      </c>
    </row>
    <row r="28" spans="2:18">
      <c r="B28" s="209"/>
      <c r="C28" s="209"/>
      <c r="D28" s="209"/>
      <c r="E28" s="209"/>
      <c r="F28" s="209"/>
      <c r="G28" s="209"/>
      <c r="H28" s="209"/>
      <c r="I28" s="209"/>
      <c r="K28" s="234" t="s">
        <v>95</v>
      </c>
      <c r="L28" s="234"/>
      <c r="M28" s="234"/>
      <c r="N28" s="219" t="s">
        <v>285</v>
      </c>
      <c r="O28" s="219"/>
      <c r="P28" s="86" t="s">
        <v>285</v>
      </c>
      <c r="Q28" s="86" t="s">
        <v>285</v>
      </c>
      <c r="R28" s="86" t="s">
        <v>285</v>
      </c>
    </row>
    <row r="29" spans="2:18">
      <c r="B29" s="99"/>
      <c r="C29" s="99"/>
      <c r="D29" s="99"/>
      <c r="E29" s="99"/>
      <c r="F29" s="99"/>
      <c r="G29" s="99"/>
      <c r="H29" s="99"/>
      <c r="I29" s="99"/>
      <c r="K29" s="234" t="s">
        <v>96</v>
      </c>
      <c r="L29" s="234"/>
      <c r="M29" s="234"/>
      <c r="N29" s="99"/>
      <c r="O29" s="99"/>
      <c r="P29" s="99"/>
      <c r="Q29" s="99"/>
      <c r="R29" s="99"/>
    </row>
    <row r="30" spans="2:18">
      <c r="B30" s="179"/>
      <c r="C30" s="179"/>
      <c r="D30" s="179"/>
      <c r="E30" s="179"/>
      <c r="F30" s="45"/>
      <c r="H30" s="45"/>
      <c r="I30" s="45"/>
      <c r="K30" s="45"/>
      <c r="L30" s="234" t="s">
        <v>97</v>
      </c>
      <c r="M30" s="234"/>
      <c r="N30" s="234"/>
      <c r="O30" s="235"/>
      <c r="P30" s="94" t="s">
        <v>285</v>
      </c>
      <c r="Q30" s="94" t="s">
        <v>285</v>
      </c>
      <c r="R30" s="94" t="s">
        <v>285</v>
      </c>
    </row>
    <row r="31" spans="2:18">
      <c r="B31" s="45"/>
      <c r="C31" s="45"/>
      <c r="D31" s="104"/>
      <c r="E31" s="104"/>
      <c r="F31" s="104"/>
      <c r="G31" s="104"/>
      <c r="H31" s="104"/>
      <c r="I31" s="104"/>
      <c r="K31" s="45"/>
      <c r="L31" s="234" t="s">
        <v>98</v>
      </c>
      <c r="M31" s="234"/>
      <c r="N31" s="234"/>
      <c r="O31" s="235"/>
      <c r="P31" s="105">
        <v>100</v>
      </c>
      <c r="Q31" s="94" t="s">
        <v>286</v>
      </c>
      <c r="R31" s="105">
        <v>1200</v>
      </c>
    </row>
    <row r="32" spans="2:18" ht="12.75" customHeight="1">
      <c r="B32" s="209" t="s">
        <v>287</v>
      </c>
      <c r="C32" s="209"/>
      <c r="D32" s="209"/>
      <c r="E32" s="209"/>
      <c r="F32" s="209"/>
      <c r="G32" s="209"/>
      <c r="H32" s="209"/>
      <c r="I32" s="209"/>
      <c r="K32" s="45"/>
      <c r="L32" s="234" t="s">
        <v>99</v>
      </c>
      <c r="M32" s="234"/>
      <c r="N32" s="234"/>
      <c r="O32" s="235"/>
      <c r="P32" s="105" t="s">
        <v>285</v>
      </c>
      <c r="Q32" s="94" t="s">
        <v>285</v>
      </c>
      <c r="R32" s="94" t="s">
        <v>285</v>
      </c>
    </row>
    <row r="33" spans="2:18">
      <c r="B33" s="209"/>
      <c r="C33" s="209"/>
      <c r="D33" s="209"/>
      <c r="E33" s="209"/>
      <c r="F33" s="209"/>
      <c r="G33" s="209"/>
      <c r="H33" s="209"/>
      <c r="I33" s="209"/>
      <c r="K33" s="45"/>
      <c r="L33" s="45"/>
      <c r="M33" s="45"/>
      <c r="N33" s="45"/>
      <c r="O33" s="45"/>
      <c r="P33" s="109"/>
      <c r="Q33" s="45"/>
      <c r="R33" s="45"/>
    </row>
    <row r="34" spans="2:18">
      <c r="B34" s="45"/>
      <c r="C34" s="45"/>
      <c r="D34" s="45"/>
      <c r="E34" s="99"/>
      <c r="F34" s="99"/>
      <c r="G34" s="99"/>
      <c r="H34" s="99"/>
      <c r="I34" s="99"/>
      <c r="K34" s="45"/>
      <c r="L34" s="45"/>
      <c r="M34" s="45"/>
      <c r="N34" s="99"/>
      <c r="O34" s="99"/>
      <c r="P34" s="109"/>
      <c r="Q34" s="99"/>
      <c r="R34" s="99"/>
    </row>
    <row r="35" spans="2:18">
      <c r="B35" s="179"/>
      <c r="C35" s="179"/>
      <c r="D35" s="179"/>
      <c r="E35" s="179"/>
      <c r="F35" s="99"/>
      <c r="H35" s="99"/>
      <c r="I35" s="99"/>
      <c r="K35" s="98"/>
      <c r="L35" s="98"/>
      <c r="M35" s="98"/>
      <c r="N35" s="98"/>
      <c r="O35" s="99"/>
      <c r="P35" s="99"/>
      <c r="Q35" s="99"/>
      <c r="R35" s="99"/>
    </row>
    <row r="36" spans="2:18">
      <c r="B36" s="99"/>
      <c r="C36" s="99"/>
      <c r="D36" s="99"/>
      <c r="E36" s="99"/>
      <c r="F36" s="99"/>
      <c r="G36" s="99"/>
      <c r="H36" s="99"/>
      <c r="I36" s="99"/>
      <c r="K36" s="99"/>
      <c r="L36" s="99"/>
      <c r="M36" s="99"/>
      <c r="N36" s="99"/>
      <c r="O36" s="99"/>
      <c r="P36" s="99"/>
      <c r="Q36" s="99"/>
      <c r="R36" s="99"/>
    </row>
    <row r="37" spans="2:18" ht="12.75" customHeight="1">
      <c r="B37" s="209" t="s">
        <v>457</v>
      </c>
      <c r="C37" s="209"/>
      <c r="D37" s="209"/>
      <c r="E37" s="209"/>
      <c r="F37" s="209"/>
      <c r="G37" s="209"/>
      <c r="H37" s="209"/>
      <c r="I37" s="209"/>
      <c r="K37" s="99"/>
      <c r="L37" s="99"/>
      <c r="M37" s="99"/>
      <c r="N37" s="99"/>
      <c r="O37" s="99"/>
      <c r="P37" s="99"/>
      <c r="Q37" s="99"/>
      <c r="R37" s="99"/>
    </row>
    <row r="38" spans="2:18">
      <c r="B38" s="209"/>
      <c r="C38" s="209"/>
      <c r="D38" s="209"/>
      <c r="E38" s="209"/>
      <c r="F38" s="209"/>
      <c r="G38" s="209"/>
      <c r="H38" s="209"/>
      <c r="I38" s="209"/>
      <c r="K38" s="99"/>
      <c r="L38" s="99"/>
      <c r="M38" s="99"/>
      <c r="N38" s="99"/>
      <c r="O38" s="99"/>
      <c r="P38" s="99"/>
      <c r="Q38" s="99"/>
      <c r="R38" s="99"/>
    </row>
    <row r="39" spans="2:18">
      <c r="B39" s="99"/>
      <c r="C39" s="99"/>
      <c r="D39" s="99"/>
      <c r="E39" s="99"/>
      <c r="F39" s="99"/>
      <c r="G39" s="99"/>
      <c r="H39" s="99"/>
      <c r="I39" s="99"/>
      <c r="K39" s="99"/>
      <c r="L39" s="99"/>
      <c r="M39" s="99"/>
      <c r="N39" s="99"/>
      <c r="O39" s="99"/>
      <c r="P39" s="99"/>
      <c r="Q39" s="99"/>
      <c r="R39" s="99"/>
    </row>
    <row r="40" spans="2:18">
      <c r="B40" s="179"/>
      <c r="C40" s="179"/>
      <c r="D40" s="179"/>
      <c r="E40" s="179"/>
      <c r="F40" s="45"/>
      <c r="G40" s="45"/>
      <c r="H40" s="45"/>
      <c r="I40" s="45"/>
      <c r="K40" s="98"/>
      <c r="L40" s="98"/>
      <c r="M40" s="98"/>
      <c r="N40" s="98"/>
      <c r="O40" s="45"/>
      <c r="P40" s="45"/>
      <c r="Q40" s="45"/>
      <c r="R40" s="45"/>
    </row>
    <row r="41" spans="2:18">
      <c r="B41" s="45"/>
      <c r="C41" s="45"/>
      <c r="D41" s="104"/>
      <c r="E41" s="104"/>
      <c r="G41" s="104"/>
      <c r="H41" s="104"/>
      <c r="I41" s="104"/>
      <c r="K41" s="45"/>
      <c r="L41" s="45"/>
      <c r="M41" s="104"/>
      <c r="N41" s="104"/>
      <c r="O41" s="104"/>
      <c r="P41" s="104"/>
      <c r="Q41" s="104"/>
      <c r="R41" s="104"/>
    </row>
    <row r="42" spans="2:18" ht="12.75" customHeight="1">
      <c r="B42" s="209" t="s">
        <v>456</v>
      </c>
      <c r="C42" s="209"/>
      <c r="D42" s="209"/>
      <c r="E42" s="209"/>
      <c r="F42" s="209"/>
      <c r="G42" s="209"/>
      <c r="H42" s="209"/>
      <c r="I42" s="209"/>
      <c r="K42" s="45"/>
      <c r="L42" s="45"/>
      <c r="M42" s="45"/>
      <c r="N42" s="45"/>
      <c r="O42" s="45"/>
      <c r="P42" s="45"/>
      <c r="Q42" s="45"/>
      <c r="R42" s="45"/>
    </row>
    <row r="43" spans="2:18">
      <c r="B43" s="209"/>
      <c r="C43" s="209"/>
      <c r="D43" s="209"/>
      <c r="E43" s="209"/>
      <c r="F43" s="209"/>
      <c r="G43" s="209"/>
      <c r="H43" s="209"/>
      <c r="I43" s="209"/>
      <c r="K43" s="45"/>
      <c r="L43" s="45"/>
      <c r="M43" s="45"/>
      <c r="N43" s="45"/>
      <c r="O43" s="45"/>
      <c r="P43" s="45"/>
      <c r="Q43" s="45"/>
      <c r="R43" s="45"/>
    </row>
    <row r="44" spans="2:18">
      <c r="B44" s="45"/>
      <c r="C44" s="45"/>
      <c r="D44" s="45"/>
      <c r="E44" s="99"/>
      <c r="F44" s="99"/>
      <c r="G44" s="99"/>
      <c r="H44" s="99"/>
      <c r="I44" s="99"/>
      <c r="K44" s="45"/>
      <c r="L44" s="45"/>
      <c r="M44" s="45"/>
      <c r="N44" s="99"/>
      <c r="O44" s="99"/>
      <c r="P44" s="99"/>
      <c r="Q44" s="99"/>
      <c r="R44" s="99"/>
    </row>
    <row r="45" spans="2:18">
      <c r="B45" s="179"/>
      <c r="C45" s="179"/>
      <c r="D45" s="179"/>
      <c r="E45" s="179"/>
      <c r="F45" s="99"/>
      <c r="H45" s="99"/>
      <c r="I45" s="99"/>
      <c r="K45" s="98"/>
      <c r="L45" s="98"/>
      <c r="M45" s="98"/>
      <c r="N45" s="98"/>
      <c r="O45" s="99"/>
      <c r="P45" s="99"/>
      <c r="Q45" s="99"/>
      <c r="R45" s="99"/>
    </row>
    <row r="46" spans="2:18">
      <c r="B46" s="99"/>
      <c r="C46" s="99"/>
      <c r="D46" s="99"/>
      <c r="E46" s="99"/>
      <c r="F46" s="99"/>
      <c r="G46" s="99"/>
      <c r="H46" s="99"/>
      <c r="I46" s="99"/>
      <c r="K46" s="99"/>
      <c r="L46" s="99"/>
      <c r="M46" s="99"/>
      <c r="N46" s="99"/>
      <c r="O46" s="99"/>
      <c r="P46" s="99"/>
      <c r="Q46" s="99"/>
      <c r="R46" s="99"/>
    </row>
    <row r="47" spans="2:18" ht="12.75" customHeight="1">
      <c r="B47" s="209" t="s">
        <v>288</v>
      </c>
      <c r="C47" s="209"/>
      <c r="D47" s="209"/>
      <c r="E47" s="209"/>
      <c r="F47" s="209"/>
      <c r="G47" s="209"/>
      <c r="H47" s="209"/>
      <c r="I47" s="209"/>
      <c r="K47" s="99"/>
      <c r="L47" s="99"/>
      <c r="M47" s="99"/>
      <c r="N47" s="99"/>
      <c r="O47" s="99"/>
      <c r="P47" s="99"/>
      <c r="Q47" s="99"/>
      <c r="R47" s="99"/>
    </row>
    <row r="48" spans="2:18">
      <c r="B48" s="209"/>
      <c r="C48" s="209"/>
      <c r="D48" s="209"/>
      <c r="E48" s="209"/>
      <c r="F48" s="209"/>
      <c r="G48" s="209"/>
      <c r="H48" s="209"/>
      <c r="I48" s="209"/>
      <c r="K48" s="99"/>
      <c r="L48" s="99"/>
      <c r="M48" s="99"/>
      <c r="N48" s="99"/>
      <c r="O48" s="99"/>
      <c r="P48" s="99"/>
      <c r="Q48" s="99"/>
      <c r="R48" s="99"/>
    </row>
    <row r="49" spans="2:18">
      <c r="B49" s="99"/>
      <c r="C49" s="99"/>
      <c r="D49" s="99"/>
      <c r="E49" s="99"/>
      <c r="F49" s="99"/>
      <c r="G49" s="99"/>
      <c r="H49" s="99"/>
      <c r="I49" s="99"/>
      <c r="K49" s="99"/>
      <c r="L49" s="99"/>
      <c r="M49" s="99"/>
      <c r="N49" s="99"/>
      <c r="O49" s="99"/>
      <c r="P49" s="99"/>
      <c r="Q49" s="99"/>
      <c r="R49" s="99"/>
    </row>
    <row r="50" spans="2:18">
      <c r="B50" s="179"/>
      <c r="C50" s="179"/>
      <c r="D50" s="179"/>
      <c r="E50" s="179"/>
      <c r="G50" s="99"/>
      <c r="H50" s="99"/>
      <c r="I50" s="99"/>
      <c r="K50" s="98"/>
      <c r="L50" s="98"/>
      <c r="M50" s="98"/>
      <c r="N50" s="98"/>
      <c r="O50" s="99"/>
      <c r="P50" s="99"/>
      <c r="Q50" s="99"/>
      <c r="R50" s="99"/>
    </row>
    <row r="51" spans="2:18">
      <c r="B51" s="99"/>
      <c r="C51" s="99"/>
      <c r="D51" s="99"/>
      <c r="E51" s="99"/>
      <c r="F51" s="99"/>
      <c r="G51" s="99"/>
      <c r="H51" s="99"/>
      <c r="I51" s="99"/>
      <c r="K51" s="99"/>
      <c r="L51" s="99"/>
      <c r="M51" s="99"/>
      <c r="N51" s="99"/>
      <c r="O51" s="99"/>
      <c r="P51" s="99"/>
      <c r="Q51" s="99"/>
      <c r="R51" s="99"/>
    </row>
    <row r="52" spans="2:18" ht="12.75" customHeight="1">
      <c r="B52" s="209" t="s">
        <v>289</v>
      </c>
      <c r="C52" s="209"/>
      <c r="D52" s="209"/>
      <c r="E52" s="209"/>
      <c r="F52" s="209"/>
      <c r="G52" s="209"/>
      <c r="H52" s="209"/>
      <c r="I52" s="209"/>
      <c r="K52" s="99"/>
      <c r="L52" s="99"/>
      <c r="M52" s="99"/>
      <c r="N52" s="99"/>
      <c r="O52" s="99"/>
      <c r="P52" s="99"/>
      <c r="Q52" s="99"/>
      <c r="R52" s="99"/>
    </row>
    <row r="53" spans="2:18">
      <c r="B53" s="209"/>
      <c r="C53" s="209"/>
      <c r="D53" s="209"/>
      <c r="E53" s="209"/>
      <c r="F53" s="209"/>
      <c r="G53" s="209"/>
      <c r="H53" s="209"/>
      <c r="I53" s="209"/>
      <c r="K53" s="99"/>
      <c r="L53" s="99"/>
      <c r="M53" s="99"/>
      <c r="N53" s="99"/>
      <c r="O53" s="99"/>
      <c r="P53" s="99"/>
      <c r="Q53" s="99"/>
      <c r="R53" s="99"/>
    </row>
    <row r="57" spans="2:18">
      <c r="B57" s="175"/>
      <c r="C57" s="175"/>
      <c r="D57" s="175"/>
      <c r="E57" s="175"/>
      <c r="F57" s="175"/>
      <c r="G57" s="175"/>
      <c r="H57" s="175"/>
      <c r="I57" s="175"/>
      <c r="K57" s="175"/>
      <c r="L57" s="175"/>
      <c r="M57" s="175"/>
      <c r="N57" s="175"/>
      <c r="O57" s="175"/>
      <c r="P57" s="175"/>
      <c r="Q57" s="175"/>
      <c r="R57" s="175"/>
    </row>
    <row r="59" spans="2:18" ht="17.399999999999999">
      <c r="B59" s="72"/>
      <c r="K59" s="72"/>
    </row>
    <row r="61" spans="2:18" ht="2.5499999999999998" customHeight="1"/>
  </sheetData>
  <sheetProtection password="CC9B" sheet="1" objects="1" scenarios="1"/>
  <mergeCells count="60">
    <mergeCell ref="B50:E50"/>
    <mergeCell ref="B52:I53"/>
    <mergeCell ref="B30:E30"/>
    <mergeCell ref="N23:O23"/>
    <mergeCell ref="B45:E45"/>
    <mergeCell ref="B27:I28"/>
    <mergeCell ref="K29:M29"/>
    <mergeCell ref="N27:O27"/>
    <mergeCell ref="N25:O25"/>
    <mergeCell ref="N26:O26"/>
    <mergeCell ref="N28:O28"/>
    <mergeCell ref="K27:M27"/>
    <mergeCell ref="K28:M28"/>
    <mergeCell ref="K26:M26"/>
    <mergeCell ref="P16:Q16"/>
    <mergeCell ref="K19:M19"/>
    <mergeCell ref="N19:O19"/>
    <mergeCell ref="P17:Q17"/>
    <mergeCell ref="P18:Q18"/>
    <mergeCell ref="P19:Q19"/>
    <mergeCell ref="N17:O17"/>
    <mergeCell ref="K17:M17"/>
    <mergeCell ref="N18:O18"/>
    <mergeCell ref="B57:I57"/>
    <mergeCell ref="K57:R57"/>
    <mergeCell ref="K21:M21"/>
    <mergeCell ref="K24:M24"/>
    <mergeCell ref="K25:M25"/>
    <mergeCell ref="N24:O24"/>
    <mergeCell ref="L32:O32"/>
    <mergeCell ref="L31:O31"/>
    <mergeCell ref="B47:I48"/>
    <mergeCell ref="B40:E40"/>
    <mergeCell ref="B37:I38"/>
    <mergeCell ref="L30:O30"/>
    <mergeCell ref="B42:I43"/>
    <mergeCell ref="B25:E25"/>
    <mergeCell ref="B32:I33"/>
    <mergeCell ref="B35:E35"/>
    <mergeCell ref="K14:M14"/>
    <mergeCell ref="B17:I18"/>
    <mergeCell ref="B20:E20"/>
    <mergeCell ref="B22:I23"/>
    <mergeCell ref="B15:E15"/>
    <mergeCell ref="K18:M18"/>
    <mergeCell ref="R1:R3"/>
    <mergeCell ref="I1:I3"/>
    <mergeCell ref="B5:E5"/>
    <mergeCell ref="P11:Q11"/>
    <mergeCell ref="P12:Q12"/>
    <mergeCell ref="B7:I8"/>
    <mergeCell ref="B10:E10"/>
    <mergeCell ref="B12:I13"/>
    <mergeCell ref="P9:Q9"/>
    <mergeCell ref="P10:Q10"/>
    <mergeCell ref="K7:M7"/>
    <mergeCell ref="K5:M5"/>
    <mergeCell ref="K10:M10"/>
    <mergeCell ref="K11:M11"/>
    <mergeCell ref="K12:M12"/>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indexed="22"/>
  </sheetPr>
  <dimension ref="A1:P44"/>
  <sheetViews>
    <sheetView showGridLines="0" zoomScaleNormal="100" zoomScaleSheetLayoutView="100" workbookViewId="0">
      <selection activeCell="I8" sqref="I8"/>
    </sheetView>
  </sheetViews>
  <sheetFormatPr baseColWidth="10" defaultColWidth="10.88671875" defaultRowHeight="13.2"/>
  <cols>
    <col min="1" max="2" width="4.6640625" style="2" customWidth="1"/>
    <col min="3" max="9" width="11.44140625" style="2" customWidth="1"/>
    <col min="10" max="16" width="11.6640625" style="2" customWidth="1"/>
    <col min="17" max="16384" width="10.88671875" style="2"/>
  </cols>
  <sheetData>
    <row r="1" spans="2:16" ht="18" customHeight="1">
      <c r="B1" s="236"/>
      <c r="C1" s="236"/>
      <c r="D1" s="236"/>
      <c r="E1" s="236"/>
      <c r="F1"/>
      <c r="G1"/>
      <c r="H1"/>
      <c r="I1" s="182"/>
      <c r="J1"/>
      <c r="K1"/>
      <c r="L1"/>
      <c r="M1"/>
      <c r="N1"/>
      <c r="O1" s="30"/>
      <c r="P1" s="30"/>
    </row>
    <row r="2" spans="2:16" ht="12.75" customHeight="1">
      <c r="B2"/>
      <c r="C2"/>
      <c r="D2"/>
      <c r="E2"/>
      <c r="F2"/>
      <c r="G2"/>
      <c r="H2"/>
      <c r="I2" s="182"/>
      <c r="J2"/>
      <c r="K2"/>
      <c r="L2"/>
      <c r="M2"/>
      <c r="N2"/>
      <c r="O2" s="30"/>
      <c r="P2" s="30"/>
    </row>
    <row r="3" spans="2:16" ht="18.75" customHeight="1">
      <c r="B3" s="89"/>
      <c r="C3" s="89"/>
      <c r="D3" s="89"/>
      <c r="E3" s="89"/>
      <c r="F3" s="89"/>
      <c r="G3"/>
      <c r="H3"/>
      <c r="I3" s="182"/>
      <c r="J3"/>
      <c r="K3"/>
      <c r="L3"/>
      <c r="M3"/>
      <c r="N3"/>
      <c r="O3" s="30"/>
      <c r="P3" s="30"/>
    </row>
    <row r="4" spans="2:16" ht="18.75" customHeight="1">
      <c r="B4" s="41"/>
      <c r="C4" s="41"/>
      <c r="D4"/>
      <c r="E4" s="41"/>
      <c r="F4" s="41"/>
      <c r="G4"/>
      <c r="H4"/>
      <c r="I4" s="18"/>
      <c r="J4"/>
      <c r="K4"/>
      <c r="L4"/>
      <c r="M4"/>
      <c r="N4"/>
      <c r="O4" s="30"/>
      <c r="P4" s="30"/>
    </row>
    <row r="5" spans="2:16" ht="42" customHeight="1">
      <c r="B5" s="41"/>
      <c r="C5" s="237"/>
      <c r="D5" s="238"/>
      <c r="E5" s="238"/>
      <c r="F5" s="238"/>
      <c r="G5" s="238"/>
      <c r="H5" s="238"/>
      <c r="I5" s="238"/>
      <c r="J5"/>
      <c r="K5"/>
      <c r="L5"/>
      <c r="M5"/>
      <c r="N5"/>
      <c r="O5" s="30"/>
      <c r="P5" s="30"/>
    </row>
    <row r="6" spans="2:16" ht="113.25" customHeight="1">
      <c r="B6"/>
      <c r="C6" s="1"/>
      <c r="D6"/>
      <c r="E6"/>
      <c r="F6"/>
      <c r="G6"/>
      <c r="H6"/>
      <c r="I6"/>
      <c r="J6"/>
      <c r="K6"/>
      <c r="L6"/>
      <c r="M6"/>
      <c r="N6"/>
      <c r="O6" s="18"/>
      <c r="P6" s="18"/>
    </row>
    <row r="7" spans="2:16" ht="12.75" customHeight="1">
      <c r="B7"/>
      <c r="C7" s="179"/>
      <c r="D7" s="239"/>
      <c r="E7" s="239"/>
      <c r="F7" s="239"/>
      <c r="G7"/>
      <c r="H7"/>
      <c r="I7"/>
      <c r="J7"/>
      <c r="K7"/>
      <c r="L7"/>
      <c r="M7"/>
      <c r="N7"/>
      <c r="O7" s="18"/>
      <c r="P7" s="18"/>
    </row>
    <row r="9" spans="2:16">
      <c r="C9" s="17" t="s">
        <v>100</v>
      </c>
      <c r="D9" s="19" t="s">
        <v>101</v>
      </c>
      <c r="E9" s="19" t="s">
        <v>102</v>
      </c>
      <c r="F9" s="19" t="s">
        <v>103</v>
      </c>
      <c r="G9" s="19" t="s">
        <v>104</v>
      </c>
      <c r="H9" s="19" t="s">
        <v>105</v>
      </c>
      <c r="I9" s="19" t="s">
        <v>106</v>
      </c>
    </row>
    <row r="10" spans="2:16">
      <c r="C10" s="17" t="s">
        <v>51</v>
      </c>
      <c r="D10" s="26">
        <f>'2. P. MARKETING'!BO25</f>
        <v>5000</v>
      </c>
      <c r="E10" s="26">
        <f>'2. P. MARKETING'!BQ25</f>
        <v>8000</v>
      </c>
      <c r="F10" s="26">
        <f>'2. P. MARKETING'!BS25</f>
        <v>10000</v>
      </c>
      <c r="G10" s="26">
        <f>'2. P. MARKETING'!BU25</f>
        <v>15000</v>
      </c>
      <c r="H10" s="26">
        <f>'2. P. MARKETING'!BW25</f>
        <v>12000</v>
      </c>
      <c r="I10" s="26">
        <f>'2. P. MARKETING'!BY25</f>
        <v>3000</v>
      </c>
    </row>
    <row r="11" spans="2:16">
      <c r="C11" s="17"/>
      <c r="D11" s="19" t="s">
        <v>107</v>
      </c>
      <c r="E11" s="19" t="s">
        <v>108</v>
      </c>
      <c r="F11" s="19" t="s">
        <v>109</v>
      </c>
      <c r="G11" s="19" t="s">
        <v>110</v>
      </c>
      <c r="H11" s="19" t="s">
        <v>111</v>
      </c>
      <c r="I11" s="19" t="s">
        <v>112</v>
      </c>
      <c r="J11" s="25"/>
      <c r="P11" s="38"/>
    </row>
    <row r="12" spans="2:16">
      <c r="C12" s="17"/>
      <c r="D12" s="26">
        <f>'2. P. MARKETING'!BO29</f>
        <v>3000</v>
      </c>
      <c r="E12" s="26">
        <f>'2. P. MARKETING'!BQ29</f>
        <v>2000</v>
      </c>
      <c r="F12" s="26">
        <f>'2. P. MARKETING'!BS29</f>
        <v>8000</v>
      </c>
      <c r="G12" s="26">
        <f>'2. P. MARKETING'!BU29</f>
        <v>5000</v>
      </c>
      <c r="H12" s="26">
        <f>'2. P. MARKETING'!BW29</f>
        <v>12000</v>
      </c>
      <c r="I12" s="111">
        <f>'2. P. MARKETING'!BY29</f>
        <v>4500</v>
      </c>
      <c r="J12" s="38"/>
      <c r="P12" s="38"/>
    </row>
    <row r="13" spans="2:16">
      <c r="C13" s="3"/>
    </row>
    <row r="14" spans="2:16" ht="52.8">
      <c r="C14" s="17" t="s">
        <v>113</v>
      </c>
      <c r="D14" s="19" t="s">
        <v>114</v>
      </c>
      <c r="E14" s="19" t="s">
        <v>115</v>
      </c>
      <c r="F14" s="19" t="s">
        <v>116</v>
      </c>
    </row>
    <row r="15" spans="2:16">
      <c r="C15" s="3"/>
      <c r="D15" s="24">
        <f>SUM(D10:I10,D12:I12)</f>
        <v>87500</v>
      </c>
      <c r="E15" s="24">
        <f>D15*(1+$F$28)</f>
        <v>105000</v>
      </c>
      <c r="F15" s="24">
        <f>E15*(1+$F$28)</f>
        <v>126000</v>
      </c>
    </row>
    <row r="16" spans="2:16">
      <c r="C16" s="3"/>
    </row>
    <row r="17" spans="3:16">
      <c r="C17" s="3"/>
    </row>
    <row r="18" spans="3:16">
      <c r="C18" s="4"/>
    </row>
    <row r="19" spans="3:16">
      <c r="C19" s="17" t="s">
        <v>100</v>
      </c>
      <c r="D19" s="19" t="s">
        <v>101</v>
      </c>
      <c r="E19" s="19" t="s">
        <v>102</v>
      </c>
      <c r="F19" s="19" t="s">
        <v>103</v>
      </c>
      <c r="G19" s="19" t="s">
        <v>104</v>
      </c>
      <c r="H19" s="19" t="s">
        <v>105</v>
      </c>
      <c r="I19" s="19" t="s">
        <v>106</v>
      </c>
    </row>
    <row r="20" spans="3:16">
      <c r="C20" s="17" t="s">
        <v>117</v>
      </c>
      <c r="D20" s="26">
        <f>'2. P. MARKETING'!BO35</f>
        <v>1000</v>
      </c>
      <c r="E20" s="26">
        <f>'2. P. MARKETING'!BQ35</f>
        <v>2000</v>
      </c>
      <c r="F20" s="26">
        <f>'2. P. MARKETING'!BS35</f>
        <v>4000</v>
      </c>
      <c r="G20" s="26">
        <f>'2. P. MARKETING'!BU35</f>
        <v>5000</v>
      </c>
      <c r="H20" s="26">
        <f>'2. P. MARKETING'!BW35</f>
        <v>4000</v>
      </c>
      <c r="I20" s="26">
        <f>'2. P. MARKETING'!BY35</f>
        <v>2000</v>
      </c>
    </row>
    <row r="21" spans="3:16">
      <c r="C21" s="17"/>
      <c r="D21" s="19" t="s">
        <v>107</v>
      </c>
      <c r="E21" s="19" t="s">
        <v>108</v>
      </c>
      <c r="F21" s="19" t="s">
        <v>109</v>
      </c>
      <c r="G21" s="19" t="s">
        <v>110</v>
      </c>
      <c r="H21" s="19" t="s">
        <v>111</v>
      </c>
      <c r="I21" s="19" t="s">
        <v>112</v>
      </c>
      <c r="J21" s="25"/>
      <c r="P21" s="38"/>
    </row>
    <row r="22" spans="3:16">
      <c r="C22" s="17"/>
      <c r="D22" s="26">
        <f>'2. P. MARKETING'!BO39</f>
        <v>2000</v>
      </c>
      <c r="E22" s="26">
        <f>'2. P. MARKETING'!BQ39</f>
        <v>500</v>
      </c>
      <c r="F22" s="26">
        <f>'2. P. MARKETING'!BS39</f>
        <v>2000</v>
      </c>
      <c r="G22" s="26">
        <f>'2. P. MARKETING'!BU39</f>
        <v>1500</v>
      </c>
      <c r="H22" s="26">
        <f>'2. P. MARKETING'!BW39</f>
        <v>4000</v>
      </c>
      <c r="I22" s="111">
        <f>'2. P. MARKETING'!BY39</f>
        <v>1500</v>
      </c>
      <c r="J22" s="38"/>
      <c r="P22" s="38"/>
    </row>
    <row r="24" spans="3:16" ht="52.8">
      <c r="C24" s="17" t="s">
        <v>113</v>
      </c>
      <c r="D24" s="19" t="s">
        <v>114</v>
      </c>
      <c r="E24" s="19" t="s">
        <v>115</v>
      </c>
      <c r="F24" s="19" t="s">
        <v>116</v>
      </c>
    </row>
    <row r="25" spans="3:16">
      <c r="C25" s="3"/>
      <c r="D25" s="24">
        <f>SUM(D20:I20,D22:I22)</f>
        <v>29500</v>
      </c>
      <c r="E25" s="24">
        <f>D25*(1+$F$29)</f>
        <v>35400</v>
      </c>
      <c r="F25" s="24">
        <f>E25*(1+$F$29)</f>
        <v>42480</v>
      </c>
    </row>
    <row r="26" spans="3:16">
      <c r="C26" s="4"/>
    </row>
    <row r="27" spans="3:16">
      <c r="C27" s="4"/>
    </row>
    <row r="28" spans="3:16" ht="13.5" customHeight="1">
      <c r="C28" s="240" t="s">
        <v>458</v>
      </c>
      <c r="D28" s="240"/>
      <c r="E28" s="240"/>
      <c r="F28" s="112">
        <v>0.2</v>
      </c>
    </row>
    <row r="29" spans="3:16">
      <c r="C29" s="240" t="s">
        <v>459</v>
      </c>
      <c r="D29" s="240"/>
      <c r="E29" s="240"/>
      <c r="F29" s="112">
        <v>0.2</v>
      </c>
    </row>
    <row r="30" spans="3:16">
      <c r="C30" s="4"/>
    </row>
    <row r="31" spans="3:16">
      <c r="C31" s="4"/>
    </row>
    <row r="32" spans="3:16">
      <c r="C32" s="4"/>
    </row>
    <row r="33" spans="1:9">
      <c r="C33" s="4"/>
    </row>
    <row r="34" spans="1:9">
      <c r="C34" s="4"/>
    </row>
    <row r="40" spans="1:9">
      <c r="A40"/>
      <c r="B40" s="175"/>
      <c r="C40" s="175"/>
      <c r="D40" s="175"/>
      <c r="E40" s="175"/>
      <c r="F40" s="175"/>
      <c r="G40" s="175"/>
      <c r="H40" s="175"/>
      <c r="I40" s="175"/>
    </row>
    <row r="41" spans="1:9">
      <c r="A41"/>
      <c r="B41"/>
      <c r="C41"/>
      <c r="D41"/>
      <c r="E41"/>
      <c r="F41"/>
      <c r="G41"/>
      <c r="H41"/>
      <c r="I41"/>
    </row>
    <row r="42" spans="1:9" ht="17.399999999999999">
      <c r="A42"/>
      <c r="B42" s="72"/>
      <c r="C42"/>
      <c r="D42"/>
      <c r="E42"/>
      <c r="F42"/>
      <c r="G42"/>
      <c r="H42"/>
      <c r="I42"/>
    </row>
    <row r="43" spans="1:9">
      <c r="A43"/>
      <c r="B43"/>
      <c r="C43"/>
      <c r="D43"/>
      <c r="E43"/>
      <c r="F43"/>
      <c r="G43"/>
      <c r="H43"/>
      <c r="I43"/>
    </row>
    <row r="44" spans="1:9">
      <c r="A44"/>
      <c r="B44"/>
      <c r="C44"/>
      <c r="D44"/>
      <c r="E44"/>
      <c r="F44"/>
      <c r="G44"/>
      <c r="H44"/>
      <c r="I44"/>
    </row>
  </sheetData>
  <sheetProtection password="CC9B" sheet="1" objects="1" scenarios="1"/>
  <mergeCells count="7">
    <mergeCell ref="I1:I3"/>
    <mergeCell ref="B1:E1"/>
    <mergeCell ref="C5:I5"/>
    <mergeCell ref="B40:I40"/>
    <mergeCell ref="C7:F7"/>
    <mergeCell ref="C28:E28"/>
    <mergeCell ref="C29:E29"/>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indexed="22"/>
  </sheetPr>
  <dimension ref="B1:IQ51"/>
  <sheetViews>
    <sheetView showGridLines="0" zoomScale="85" zoomScaleNormal="85" workbookViewId="0">
      <selection activeCell="F14" sqref="F14"/>
    </sheetView>
  </sheetViews>
  <sheetFormatPr baseColWidth="10" defaultColWidth="11.44140625" defaultRowHeight="13.2"/>
  <cols>
    <col min="1" max="2" width="4.6640625" customWidth="1"/>
    <col min="3" max="3" width="22.88671875" customWidth="1"/>
    <col min="6" max="6" width="14.5546875" bestFit="1" customWidth="1"/>
    <col min="7" max="7" width="20.88671875" customWidth="1"/>
    <col min="8" max="10" width="4.6640625" customWidth="1"/>
    <col min="11" max="11" width="22.88671875" customWidth="1"/>
    <col min="14" max="14" width="13.44140625" bestFit="1" customWidth="1"/>
    <col min="15" max="15" width="17.88671875" customWidth="1"/>
  </cols>
  <sheetData>
    <row r="1" spans="2:16" ht="18" customHeight="1">
      <c r="B1" s="236"/>
      <c r="C1" s="236"/>
      <c r="D1" s="236"/>
      <c r="H1" s="182"/>
      <c r="J1" s="236"/>
      <c r="K1" s="236"/>
      <c r="L1" s="236"/>
      <c r="P1" s="182"/>
    </row>
    <row r="2" spans="2:16" ht="12.75" customHeight="1">
      <c r="H2" s="182"/>
      <c r="P2" s="182"/>
    </row>
    <row r="3" spans="2:16" ht="18.75" customHeight="1">
      <c r="B3" s="87"/>
      <c r="C3" s="88"/>
      <c r="D3" s="88"/>
      <c r="E3" s="88"/>
      <c r="H3" s="182"/>
      <c r="J3" s="87"/>
      <c r="K3" s="88"/>
      <c r="L3" s="88"/>
      <c r="M3" s="88"/>
      <c r="P3" s="182"/>
    </row>
    <row r="4" spans="2:16" ht="13.5" customHeight="1">
      <c r="B4" s="1"/>
      <c r="H4" s="18"/>
      <c r="J4" s="1"/>
      <c r="P4" s="18"/>
    </row>
    <row r="5" spans="2:16" ht="42" customHeight="1">
      <c r="B5" s="244"/>
      <c r="C5" s="244"/>
      <c r="D5" s="244"/>
      <c r="E5" s="244"/>
      <c r="F5" s="244"/>
      <c r="G5" s="244"/>
      <c r="H5" s="244"/>
      <c r="J5" s="244"/>
      <c r="K5" s="244"/>
      <c r="L5" s="244"/>
      <c r="M5" s="244"/>
      <c r="N5" s="244"/>
      <c r="O5" s="244"/>
      <c r="P5" s="244"/>
    </row>
    <row r="7" spans="2:16" ht="51" customHeight="1">
      <c r="B7" s="243"/>
      <c r="C7" s="243"/>
      <c r="D7" s="243"/>
      <c r="J7" s="243"/>
      <c r="K7" s="243"/>
      <c r="L7" s="243"/>
    </row>
    <row r="9" spans="2:16" ht="12.75" customHeight="1">
      <c r="B9" s="242" t="s">
        <v>118</v>
      </c>
      <c r="C9" s="242"/>
      <c r="D9" s="242"/>
      <c r="E9" s="242"/>
      <c r="F9" s="20" t="s">
        <v>119</v>
      </c>
      <c r="I9" s="242" t="s">
        <v>144</v>
      </c>
      <c r="J9" s="242"/>
      <c r="K9" s="242"/>
      <c r="L9" s="242"/>
      <c r="M9" s="242"/>
      <c r="N9" s="20" t="s">
        <v>119</v>
      </c>
    </row>
    <row r="10" spans="2:16">
      <c r="C10" s="9"/>
      <c r="D10" s="9"/>
      <c r="E10" s="9"/>
      <c r="F10" s="9"/>
      <c r="K10" s="9"/>
      <c r="N10" s="9"/>
    </row>
    <row r="11" spans="2:16" ht="12.75" customHeight="1">
      <c r="B11" s="242" t="s">
        <v>120</v>
      </c>
      <c r="C11" s="242"/>
      <c r="D11" s="242"/>
      <c r="F11" s="9"/>
      <c r="I11" s="242" t="s">
        <v>145</v>
      </c>
      <c r="J11" s="242"/>
      <c r="K11" s="242"/>
      <c r="L11" s="242"/>
      <c r="M11" s="9"/>
      <c r="N11" s="9"/>
    </row>
    <row r="12" spans="2:16" ht="12.75" customHeight="1">
      <c r="B12" s="21"/>
      <c r="C12" s="21"/>
      <c r="D12" s="21"/>
      <c r="E12" s="9"/>
      <c r="F12" s="9"/>
      <c r="J12" s="247" t="s">
        <v>186</v>
      </c>
      <c r="K12" s="247"/>
      <c r="N12" s="90">
        <v>14000</v>
      </c>
    </row>
    <row r="13" spans="2:16" ht="12.75" customHeight="1">
      <c r="C13" s="242" t="s">
        <v>121</v>
      </c>
      <c r="D13" s="242"/>
      <c r="E13" s="113"/>
      <c r="F13" s="113"/>
      <c r="G13" s="20" t="s">
        <v>181</v>
      </c>
      <c r="I13" s="242" t="s">
        <v>146</v>
      </c>
      <c r="J13" s="242"/>
      <c r="K13" s="242"/>
      <c r="L13" s="242"/>
      <c r="M13" s="9"/>
      <c r="N13" s="9"/>
    </row>
    <row r="14" spans="2:16">
      <c r="C14" s="114" t="s">
        <v>122</v>
      </c>
      <c r="D14" s="114"/>
      <c r="F14" s="90">
        <v>200</v>
      </c>
      <c r="G14" s="90">
        <v>42</v>
      </c>
      <c r="J14" s="246" t="s">
        <v>147</v>
      </c>
      <c r="K14" s="246"/>
      <c r="L14" s="246"/>
      <c r="N14" s="90">
        <v>25000</v>
      </c>
    </row>
    <row r="15" spans="2:16">
      <c r="C15" s="114" t="s">
        <v>123</v>
      </c>
      <c r="D15" s="114"/>
      <c r="F15" s="90">
        <v>0</v>
      </c>
      <c r="G15" s="90"/>
      <c r="K15" s="246"/>
      <c r="L15" s="246"/>
      <c r="N15" s="2"/>
    </row>
    <row r="16" spans="2:16">
      <c r="C16" s="114" t="s">
        <v>124</v>
      </c>
      <c r="D16" s="114"/>
      <c r="F16" s="90">
        <v>300</v>
      </c>
      <c r="G16" s="90">
        <v>63</v>
      </c>
      <c r="K16" s="246"/>
      <c r="L16" s="246"/>
      <c r="N16" s="2"/>
    </row>
    <row r="17" spans="2:14">
      <c r="C17" s="114" t="s">
        <v>125</v>
      </c>
      <c r="D17" s="114"/>
      <c r="F17" s="90">
        <v>0</v>
      </c>
      <c r="G17" s="90"/>
      <c r="K17" s="246"/>
      <c r="L17" s="246"/>
      <c r="N17" s="2"/>
    </row>
    <row r="18" spans="2:14" ht="12.75" customHeight="1">
      <c r="C18" s="242" t="s">
        <v>126</v>
      </c>
      <c r="D18" s="242"/>
      <c r="E18" s="116"/>
      <c r="F18" s="116"/>
      <c r="J18" s="242" t="s">
        <v>199</v>
      </c>
      <c r="K18" s="242"/>
      <c r="L18" s="242"/>
      <c r="M18" s="9"/>
      <c r="N18" s="23">
        <f>SUM(N14:N17)</f>
        <v>25000</v>
      </c>
    </row>
    <row r="19" spans="2:14">
      <c r="C19" s="114" t="s">
        <v>127</v>
      </c>
      <c r="D19" s="114"/>
      <c r="F19" s="90">
        <v>0</v>
      </c>
      <c r="G19" s="90"/>
      <c r="K19" s="115"/>
      <c r="L19" s="115"/>
      <c r="M19" s="9"/>
      <c r="N19" s="9"/>
    </row>
    <row r="20" spans="2:14">
      <c r="C20" s="114" t="s">
        <v>128</v>
      </c>
      <c r="D20" s="114"/>
      <c r="F20" s="90">
        <v>15000</v>
      </c>
      <c r="G20" s="90">
        <v>3150</v>
      </c>
      <c r="I20" s="242" t="s">
        <v>150</v>
      </c>
      <c r="J20" s="242"/>
      <c r="K20" s="242"/>
      <c r="L20" s="242"/>
      <c r="M20" s="9"/>
      <c r="N20" s="9"/>
    </row>
    <row r="21" spans="2:14">
      <c r="C21" s="114" t="s">
        <v>129</v>
      </c>
      <c r="D21" s="114"/>
      <c r="F21" s="90">
        <v>2500</v>
      </c>
      <c r="G21" s="90">
        <v>525</v>
      </c>
      <c r="J21" s="246" t="s">
        <v>153</v>
      </c>
      <c r="K21" s="246"/>
      <c r="L21" s="246"/>
      <c r="N21" s="90">
        <v>10000</v>
      </c>
    </row>
    <row r="22" spans="2:14">
      <c r="C22" s="114" t="s">
        <v>130</v>
      </c>
      <c r="D22" s="114"/>
      <c r="F22" s="90">
        <v>500</v>
      </c>
      <c r="G22" s="90">
        <v>105</v>
      </c>
      <c r="K22" s="246"/>
      <c r="L22" s="246"/>
      <c r="N22" s="2"/>
    </row>
    <row r="23" spans="2:14">
      <c r="C23" s="114" t="s">
        <v>131</v>
      </c>
      <c r="D23" s="114"/>
      <c r="F23" s="90">
        <v>2500</v>
      </c>
      <c r="G23" s="90">
        <v>525</v>
      </c>
    </row>
    <row r="24" spans="2:14">
      <c r="C24" s="114" t="s">
        <v>132</v>
      </c>
      <c r="D24" s="114"/>
      <c r="F24" s="90">
        <v>2500</v>
      </c>
      <c r="G24" s="90">
        <v>525</v>
      </c>
      <c r="K24" s="246"/>
      <c r="L24" s="246"/>
      <c r="N24" s="2"/>
    </row>
    <row r="25" spans="2:14">
      <c r="C25" s="114" t="s">
        <v>133</v>
      </c>
      <c r="D25" s="114"/>
      <c r="F25" s="90">
        <v>0</v>
      </c>
      <c r="G25" s="90"/>
      <c r="K25" s="246"/>
      <c r="L25" s="246"/>
      <c r="N25" s="2"/>
    </row>
    <row r="26" spans="2:14">
      <c r="C26" s="114" t="s">
        <v>134</v>
      </c>
      <c r="D26" s="114"/>
      <c r="F26" s="90">
        <v>100</v>
      </c>
      <c r="G26" s="90">
        <v>21</v>
      </c>
      <c r="J26" s="242" t="s">
        <v>200</v>
      </c>
      <c r="K26" s="242"/>
      <c r="L26" s="242"/>
      <c r="M26" s="9"/>
      <c r="N26" s="23">
        <f>SUM(N21:N25)</f>
        <v>10000</v>
      </c>
    </row>
    <row r="27" spans="2:14" ht="12.75" customHeight="1">
      <c r="C27" s="242" t="s">
        <v>135</v>
      </c>
      <c r="D27" s="242"/>
      <c r="E27" s="116"/>
      <c r="F27" s="116"/>
      <c r="K27" s="9"/>
      <c r="L27" s="9"/>
      <c r="M27" s="9"/>
      <c r="N27" s="9"/>
    </row>
    <row r="28" spans="2:14" ht="12.75" customHeight="1">
      <c r="C28" s="114" t="s">
        <v>136</v>
      </c>
      <c r="D28" s="114"/>
      <c r="F28" s="90">
        <v>1500</v>
      </c>
      <c r="G28" s="2"/>
      <c r="I28" s="242" t="s">
        <v>154</v>
      </c>
      <c r="J28" s="242"/>
      <c r="K28" s="242"/>
      <c r="L28" s="117"/>
      <c r="M28" s="117"/>
      <c r="N28" s="17">
        <f>N12+N18+N26</f>
        <v>49000</v>
      </c>
    </row>
    <row r="29" spans="2:14">
      <c r="C29" s="242" t="s">
        <v>190</v>
      </c>
      <c r="D29" s="242"/>
      <c r="F29" s="23">
        <f>SUM(F14:F17)+SUM(F19:F26)+F28</f>
        <v>25100</v>
      </c>
    </row>
    <row r="30" spans="2:14">
      <c r="C30" s="114"/>
      <c r="D30" s="114"/>
      <c r="E30" s="2"/>
      <c r="F30" s="5"/>
      <c r="M30" s="245" t="str">
        <f>IF(N28=F42,"Balance cuadrado","Balance descuadrado")</f>
        <v>Balance cuadrado</v>
      </c>
      <c r="N30" s="245"/>
    </row>
    <row r="31" spans="2:14" ht="12.75" customHeight="1">
      <c r="B31" s="241" t="s">
        <v>137</v>
      </c>
      <c r="C31" s="241"/>
      <c r="D31" s="241"/>
      <c r="E31" s="44"/>
      <c r="F31" s="44"/>
    </row>
    <row r="32" spans="2:14" ht="12.75" customHeight="1">
      <c r="B32" s="22"/>
      <c r="C32" s="22"/>
      <c r="D32" s="22"/>
      <c r="E32" s="44"/>
      <c r="F32" s="44"/>
    </row>
    <row r="33" spans="2:251" ht="12.75" customHeight="1">
      <c r="C33" s="242" t="s">
        <v>138</v>
      </c>
      <c r="D33" s="242"/>
      <c r="E33" s="116"/>
      <c r="F33" s="116"/>
    </row>
    <row r="34" spans="2:251" ht="12.75" customHeight="1">
      <c r="C34" s="118" t="s">
        <v>138</v>
      </c>
      <c r="D34" s="118"/>
      <c r="F34" s="90">
        <v>3000</v>
      </c>
      <c r="G34" s="90">
        <v>630</v>
      </c>
      <c r="H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c r="DD34" s="6"/>
      <c r="DE34" s="6"/>
      <c r="DF34" s="6"/>
      <c r="DG34" s="6"/>
      <c r="DH34" s="6"/>
      <c r="DI34" s="6"/>
      <c r="DJ34" s="6"/>
      <c r="DK34" s="6"/>
      <c r="DL34" s="6"/>
      <c r="DM34" s="6"/>
      <c r="DN34" s="6"/>
      <c r="DO34" s="6"/>
      <c r="DP34" s="6"/>
      <c r="DQ34" s="6"/>
      <c r="DR34" s="6"/>
      <c r="DS34" s="6"/>
      <c r="DT34" s="6"/>
      <c r="DU34" s="6"/>
      <c r="DV34" s="6"/>
      <c r="DW34" s="6"/>
      <c r="DX34" s="6"/>
      <c r="DY34" s="6"/>
      <c r="DZ34" s="6"/>
      <c r="EA34" s="6"/>
      <c r="EB34" s="6"/>
      <c r="EC34" s="6"/>
      <c r="ED34" s="6"/>
      <c r="EE34" s="6"/>
      <c r="EF34" s="6"/>
      <c r="EG34" s="6"/>
      <c r="EH34" s="6"/>
      <c r="EI34" s="6"/>
      <c r="EJ34" s="6"/>
      <c r="EK34" s="6"/>
      <c r="EL34" s="6"/>
      <c r="EM34" s="6"/>
      <c r="EN34" s="6"/>
      <c r="EO34" s="6"/>
      <c r="EP34" s="6"/>
      <c r="EQ34" s="6"/>
      <c r="ER34" s="6"/>
      <c r="ES34" s="6"/>
      <c r="ET34" s="6"/>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6"/>
      <c r="FU34" s="6"/>
      <c r="FV34" s="6"/>
      <c r="FW34" s="6"/>
      <c r="FX34" s="6"/>
      <c r="FY34" s="6"/>
      <c r="FZ34" s="6"/>
      <c r="GA34" s="6"/>
      <c r="GB34" s="6"/>
      <c r="GC34" s="6"/>
      <c r="GD34" s="6"/>
      <c r="GE34" s="6"/>
      <c r="GF34" s="6"/>
      <c r="GG34" s="6"/>
      <c r="GH34" s="6"/>
      <c r="GI34" s="6"/>
      <c r="GJ34" s="6"/>
      <c r="GK34" s="6"/>
      <c r="GL34" s="6"/>
      <c r="GM34" s="6"/>
      <c r="GN34" s="6"/>
      <c r="GO34" s="6"/>
      <c r="GP34" s="6"/>
      <c r="GQ34" s="6"/>
      <c r="GR34" s="6"/>
      <c r="GS34" s="6"/>
      <c r="GT34" s="6"/>
      <c r="GU34" s="6"/>
      <c r="GV34" s="6"/>
      <c r="GW34" s="6"/>
      <c r="GX34" s="6"/>
      <c r="GY34" s="6"/>
      <c r="GZ34" s="6"/>
      <c r="HA34" s="6"/>
      <c r="HB34" s="6"/>
      <c r="HC34" s="6"/>
      <c r="HD34" s="6"/>
      <c r="HE34" s="6"/>
      <c r="HF34" s="6"/>
      <c r="HG34" s="6"/>
      <c r="HH34" s="6"/>
      <c r="HI34" s="6"/>
      <c r="HJ34" s="6"/>
      <c r="HK34" s="6"/>
      <c r="HL34" s="6"/>
      <c r="HM34" s="6"/>
      <c r="HN34" s="6"/>
      <c r="HO34" s="6"/>
      <c r="HP34" s="6"/>
      <c r="HQ34" s="6"/>
      <c r="HR34" s="6"/>
      <c r="HS34" s="6"/>
      <c r="HT34" s="6"/>
      <c r="HU34" s="6"/>
      <c r="HV34" s="6"/>
      <c r="HW34" s="6"/>
      <c r="HX34" s="6"/>
      <c r="HY34" s="6"/>
      <c r="HZ34" s="6"/>
      <c r="IA34" s="6"/>
      <c r="IB34" s="6"/>
      <c r="IC34" s="6"/>
      <c r="ID34" s="6"/>
      <c r="IE34" s="6"/>
      <c r="IF34" s="6"/>
      <c r="IG34" s="6"/>
      <c r="IH34" s="6"/>
      <c r="II34" s="6"/>
      <c r="IJ34" s="6"/>
      <c r="IK34" s="6"/>
      <c r="IL34" s="6"/>
      <c r="IM34" s="6"/>
      <c r="IN34" s="6"/>
      <c r="IO34" s="6"/>
      <c r="IP34" s="6"/>
      <c r="IQ34" s="6"/>
    </row>
    <row r="35" spans="2:251" ht="12.75" customHeight="1">
      <c r="C35" s="242" t="s">
        <v>139</v>
      </c>
      <c r="D35" s="242"/>
      <c r="E35" s="116"/>
      <c r="F35" s="116"/>
    </row>
    <row r="36" spans="2:251">
      <c r="C36" s="114" t="s">
        <v>140</v>
      </c>
      <c r="D36" s="114"/>
      <c r="F36" s="90">
        <v>0</v>
      </c>
      <c r="G36" s="90"/>
    </row>
    <row r="37" spans="2:251" ht="12.75" customHeight="1">
      <c r="C37" s="114" t="s">
        <v>141</v>
      </c>
      <c r="D37" s="114"/>
      <c r="F37" s="90">
        <v>0</v>
      </c>
      <c r="G37" s="90"/>
    </row>
    <row r="38" spans="2:251" ht="12.75" customHeight="1">
      <c r="C38" s="114" t="s">
        <v>324</v>
      </c>
      <c r="D38" s="114"/>
      <c r="F38" s="26">
        <f>SUM(G14:G37)</f>
        <v>5586</v>
      </c>
      <c r="G38" s="26"/>
    </row>
    <row r="39" spans="2:251">
      <c r="C39" s="114" t="s">
        <v>142</v>
      </c>
      <c r="D39" s="114"/>
      <c r="F39" s="90">
        <v>15314</v>
      </c>
      <c r="G39" s="26"/>
    </row>
    <row r="40" spans="2:251">
      <c r="C40" s="242" t="s">
        <v>191</v>
      </c>
      <c r="D40" s="242"/>
      <c r="F40" s="23">
        <f>F34+SUM(F36:F39)</f>
        <v>23900</v>
      </c>
    </row>
    <row r="41" spans="2:251">
      <c r="C41" s="114"/>
      <c r="D41" s="114"/>
      <c r="E41" s="2"/>
      <c r="F41" s="5"/>
    </row>
    <row r="42" spans="2:251" ht="12.75" customHeight="1">
      <c r="B42" s="241" t="s">
        <v>143</v>
      </c>
      <c r="C42" s="241"/>
      <c r="D42" s="241"/>
      <c r="E42" s="241"/>
      <c r="F42" s="17">
        <f>F29+F40</f>
        <v>49000</v>
      </c>
    </row>
    <row r="43" spans="2:251">
      <c r="C43" s="5"/>
      <c r="D43" s="5"/>
      <c r="E43" s="5"/>
      <c r="F43" s="5"/>
    </row>
    <row r="44" spans="2:251">
      <c r="C44" s="5"/>
      <c r="D44" s="5"/>
      <c r="E44" s="5"/>
      <c r="F44" s="5"/>
    </row>
    <row r="50" spans="2:16">
      <c r="B50" s="73"/>
      <c r="C50" s="73"/>
      <c r="D50" s="73"/>
      <c r="E50" s="73"/>
      <c r="F50" s="73"/>
      <c r="G50" s="73"/>
      <c r="I50" s="73"/>
      <c r="J50" s="73"/>
      <c r="K50" s="73"/>
      <c r="L50" s="73"/>
      <c r="M50" s="73"/>
      <c r="N50" s="73"/>
      <c r="O50" s="73"/>
    </row>
    <row r="51" spans="2:16">
      <c r="B51" s="168"/>
      <c r="C51" s="168"/>
      <c r="D51" s="168"/>
      <c r="E51" s="168"/>
      <c r="F51" s="168"/>
      <c r="G51" s="168"/>
      <c r="I51" s="168"/>
      <c r="J51" s="168"/>
      <c r="K51" s="168"/>
      <c r="L51" s="168"/>
      <c r="M51" s="168"/>
      <c r="N51" s="168"/>
      <c r="O51" s="168"/>
      <c r="P51" s="80"/>
    </row>
  </sheetData>
  <sheetProtection password="CC9B" sheet="1" objects="1" scenarios="1"/>
  <mergeCells count="36">
    <mergeCell ref="J14:L14"/>
    <mergeCell ref="K24:L24"/>
    <mergeCell ref="K25:L25"/>
    <mergeCell ref="J18:L18"/>
    <mergeCell ref="I20:L20"/>
    <mergeCell ref="M30:N30"/>
    <mergeCell ref="I28:K28"/>
    <mergeCell ref="P1:P3"/>
    <mergeCell ref="J7:L7"/>
    <mergeCell ref="J5:P5"/>
    <mergeCell ref="J1:L1"/>
    <mergeCell ref="K22:L22"/>
    <mergeCell ref="K15:L15"/>
    <mergeCell ref="K16:L16"/>
    <mergeCell ref="K17:L17"/>
    <mergeCell ref="I9:M9"/>
    <mergeCell ref="J26:L26"/>
    <mergeCell ref="J21:L21"/>
    <mergeCell ref="I11:L11"/>
    <mergeCell ref="I13:L13"/>
    <mergeCell ref="J12:K12"/>
    <mergeCell ref="H1:H3"/>
    <mergeCell ref="C35:D35"/>
    <mergeCell ref="B7:D7"/>
    <mergeCell ref="B9:E9"/>
    <mergeCell ref="B5:H5"/>
    <mergeCell ref="B1:D1"/>
    <mergeCell ref="B11:D11"/>
    <mergeCell ref="C13:D13"/>
    <mergeCell ref="C18:D18"/>
    <mergeCell ref="C27:D27"/>
    <mergeCell ref="B42:E42"/>
    <mergeCell ref="C29:D29"/>
    <mergeCell ref="C40:D40"/>
    <mergeCell ref="B31:D31"/>
    <mergeCell ref="C33:D33"/>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indexed="22"/>
  </sheetPr>
  <dimension ref="B1:J49"/>
  <sheetViews>
    <sheetView showGridLines="0" zoomScale="85" zoomScaleNormal="85" zoomScaleSheetLayoutView="100" workbookViewId="0">
      <selection activeCell="D10" sqref="D10"/>
    </sheetView>
  </sheetViews>
  <sheetFormatPr baseColWidth="10" defaultRowHeight="13.2"/>
  <cols>
    <col min="1" max="2" width="4.6640625" customWidth="1"/>
  </cols>
  <sheetData>
    <row r="1" spans="2:9" ht="18" customHeight="1">
      <c r="B1" s="236"/>
      <c r="C1" s="236"/>
      <c r="D1" s="236"/>
      <c r="E1" s="236"/>
      <c r="I1" s="182"/>
    </row>
    <row r="2" spans="2:9" ht="12.75" customHeight="1">
      <c r="I2" s="182"/>
    </row>
    <row r="3" spans="2:9" ht="18.75" customHeight="1">
      <c r="B3" s="87"/>
      <c r="C3" s="88"/>
      <c r="D3" s="88"/>
      <c r="E3" s="88"/>
      <c r="F3" s="88"/>
      <c r="I3" s="182"/>
    </row>
    <row r="4" spans="2:9" ht="13.5" customHeight="1">
      <c r="B4" s="1"/>
      <c r="I4" s="18"/>
    </row>
    <row r="5" spans="2:9" ht="42" customHeight="1">
      <c r="B5" s="244"/>
      <c r="C5" s="244"/>
      <c r="D5" s="244"/>
      <c r="E5" s="244"/>
      <c r="F5" s="244"/>
      <c r="G5" s="244"/>
      <c r="H5" s="244"/>
      <c r="I5" s="244"/>
    </row>
    <row r="6" spans="2:9" ht="63.75" customHeight="1">
      <c r="C6" s="7"/>
      <c r="D6" s="7"/>
      <c r="E6" s="7"/>
      <c r="F6" s="7"/>
      <c r="G6" s="7"/>
      <c r="H6" s="7"/>
    </row>
    <row r="7" spans="2:9" ht="12.75" customHeight="1">
      <c r="B7" s="243"/>
      <c r="C7" s="243"/>
      <c r="D7" s="243"/>
      <c r="E7" s="243"/>
      <c r="G7" s="7"/>
      <c r="H7" s="7"/>
    </row>
    <row r="8" spans="2:9">
      <c r="C8" s="21"/>
      <c r="D8" s="21"/>
      <c r="E8" s="21"/>
      <c r="F8" s="7"/>
      <c r="G8" s="7"/>
      <c r="H8" s="7"/>
    </row>
    <row r="9" spans="2:9">
      <c r="B9" s="252" t="s">
        <v>203</v>
      </c>
      <c r="C9" s="252"/>
      <c r="D9" s="23" t="s">
        <v>441</v>
      </c>
      <c r="E9" s="251" t="s">
        <v>204</v>
      </c>
      <c r="F9" s="251"/>
      <c r="G9" s="37" t="s">
        <v>334</v>
      </c>
      <c r="H9" s="37" t="s">
        <v>335</v>
      </c>
      <c r="I9" s="37" t="s">
        <v>336</v>
      </c>
    </row>
    <row r="10" spans="2:9">
      <c r="B10" s="185">
        <f>'6. PEF2-3. INVERS. Y FINANC.'!N14</f>
        <v>25000</v>
      </c>
      <c r="C10" s="185"/>
      <c r="D10" s="119">
        <v>5</v>
      </c>
      <c r="E10" s="253">
        <v>0.05</v>
      </c>
      <c r="F10" s="253"/>
      <c r="G10" s="26">
        <f>G13/12</f>
        <v>471.78084110027339</v>
      </c>
      <c r="H10" s="26">
        <f>G10</f>
        <v>471.78084110027339</v>
      </c>
      <c r="I10" s="26">
        <f>H10</f>
        <v>471.78084110027339</v>
      </c>
    </row>
    <row r="11" spans="2:9">
      <c r="B11" s="54"/>
      <c r="C11" s="57" t="s">
        <v>339</v>
      </c>
      <c r="D11" s="54"/>
      <c r="E11" s="56"/>
      <c r="F11" s="56"/>
      <c r="G11" s="26">
        <f>SUM('AMORTIZ. PTMO.'!D12:D23)</f>
        <v>4513.8813245399615</v>
      </c>
      <c r="H11" s="26">
        <f>SUM('AMORTIZ. PTMO.'!D24:D35)</f>
        <v>4744.8200599163383</v>
      </c>
      <c r="I11" s="26">
        <f>SUM('AMORTIZ. PTMO.'!D36:D47)</f>
        <v>4987.5740592889761</v>
      </c>
    </row>
    <row r="12" spans="2:9">
      <c r="B12" s="54"/>
      <c r="C12" s="57" t="s">
        <v>340</v>
      </c>
      <c r="D12" s="54"/>
      <c r="E12" s="56"/>
      <c r="F12" s="56"/>
      <c r="G12" s="26">
        <f>SUM('AMORTIZ. PTMO.'!C12:C23)</f>
        <v>1147.488768663319</v>
      </c>
      <c r="H12" s="26">
        <f>SUM('AMORTIZ. PTMO.'!C24:C35)</f>
        <v>916.55003328694318</v>
      </c>
      <c r="I12" s="26">
        <f>SUM('AMORTIZ. PTMO.'!C36:C47)</f>
        <v>673.79603391430453</v>
      </c>
    </row>
    <row r="13" spans="2:9">
      <c r="B13" s="54"/>
      <c r="C13" s="57" t="s">
        <v>341</v>
      </c>
      <c r="D13" s="54"/>
      <c r="E13" s="56"/>
      <c r="F13" s="56"/>
      <c r="G13" s="26">
        <f>SUM(G11:G12)</f>
        <v>5661.3700932032807</v>
      </c>
      <c r="H13" s="26">
        <f>SUM(H11:H12)</f>
        <v>5661.3700932032816</v>
      </c>
      <c r="I13" s="26">
        <f>SUM(I11:I12)</f>
        <v>5661.3700932032807</v>
      </c>
    </row>
    <row r="14" spans="2:9">
      <c r="B14" s="185">
        <f>'6. PEF2-3. INVERS. Y FINANC.'!N21</f>
        <v>10000</v>
      </c>
      <c r="C14" s="185"/>
      <c r="D14" s="66">
        <v>1</v>
      </c>
      <c r="E14" s="253">
        <v>0.03</v>
      </c>
      <c r="F14" s="253"/>
      <c r="G14" s="26">
        <f>G17/12</f>
        <v>858.33333333333337</v>
      </c>
      <c r="H14" s="26">
        <f>H17/12</f>
        <v>0</v>
      </c>
      <c r="I14" s="26">
        <f>I17/12</f>
        <v>0</v>
      </c>
    </row>
    <row r="15" spans="2:9">
      <c r="B15" s="54"/>
      <c r="C15" s="57" t="s">
        <v>339</v>
      </c>
      <c r="D15" s="54"/>
      <c r="E15" s="56"/>
      <c r="F15" s="56"/>
      <c r="G15" s="26">
        <f>B14</f>
        <v>10000</v>
      </c>
      <c r="H15" s="26">
        <v>0</v>
      </c>
      <c r="I15" s="26">
        <v>0</v>
      </c>
    </row>
    <row r="16" spans="2:9">
      <c r="B16" s="54"/>
      <c r="C16" s="57" t="s">
        <v>340</v>
      </c>
      <c r="D16" s="54"/>
      <c r="E16" s="56"/>
      <c r="F16" s="56"/>
      <c r="G16" s="26">
        <f>G15*E14</f>
        <v>300</v>
      </c>
      <c r="H16" s="26">
        <v>0</v>
      </c>
      <c r="I16" s="26">
        <v>0</v>
      </c>
    </row>
    <row r="17" spans="2:9">
      <c r="B17" s="54"/>
      <c r="C17" s="57" t="s">
        <v>341</v>
      </c>
      <c r="D17" s="54"/>
      <c r="E17" s="56"/>
      <c r="F17" s="56"/>
      <c r="G17" s="26">
        <f>SUM(G15:G16)</f>
        <v>10300</v>
      </c>
      <c r="H17" s="26">
        <f>SUM(H15:H16)</f>
        <v>0</v>
      </c>
      <c r="I17" s="26">
        <f>SUM(I15:I16)</f>
        <v>0</v>
      </c>
    </row>
    <row r="18" spans="2:9" ht="25.5" customHeight="1">
      <c r="C18" s="36"/>
      <c r="D18" s="7"/>
      <c r="E18" s="7"/>
      <c r="F18" s="7"/>
      <c r="G18" s="7"/>
      <c r="H18" s="7"/>
    </row>
    <row r="19" spans="2:9" ht="25.5" customHeight="1">
      <c r="B19" s="249" t="s">
        <v>121</v>
      </c>
      <c r="C19" s="249"/>
      <c r="D19" s="249"/>
      <c r="E19" s="35" t="s">
        <v>32</v>
      </c>
      <c r="F19" s="35" t="s">
        <v>202</v>
      </c>
      <c r="G19" s="35" t="s">
        <v>201</v>
      </c>
      <c r="H19" s="39" t="s">
        <v>115</v>
      </c>
      <c r="I19" s="35" t="s">
        <v>387</v>
      </c>
    </row>
    <row r="20" spans="2:9" ht="12.75" customHeight="1">
      <c r="B20" s="246" t="s">
        <v>122</v>
      </c>
      <c r="C20" s="246"/>
      <c r="D20" s="248"/>
      <c r="E20" s="26">
        <f>'6. PEF2-3. INVERS. Y FINANC.'!F14</f>
        <v>200</v>
      </c>
      <c r="F20" s="120">
        <v>5</v>
      </c>
      <c r="G20" s="26">
        <f>E20/F20</f>
        <v>40</v>
      </c>
      <c r="H20" s="26">
        <f t="shared" ref="H20:I32" si="0">G20</f>
        <v>40</v>
      </c>
      <c r="I20" s="26">
        <f t="shared" si="0"/>
        <v>40</v>
      </c>
    </row>
    <row r="21" spans="2:9" ht="12.75" customHeight="1">
      <c r="B21" s="246" t="s">
        <v>123</v>
      </c>
      <c r="C21" s="246"/>
      <c r="D21" s="248"/>
      <c r="E21" s="26">
        <f>'6. PEF2-3. INVERS. Y FINANC.'!F15</f>
        <v>0</v>
      </c>
      <c r="F21" s="120"/>
      <c r="G21" s="26"/>
      <c r="H21" s="26">
        <f t="shared" si="0"/>
        <v>0</v>
      </c>
      <c r="I21" s="26">
        <f t="shared" si="0"/>
        <v>0</v>
      </c>
    </row>
    <row r="22" spans="2:9">
      <c r="B22" s="246" t="s">
        <v>124</v>
      </c>
      <c r="C22" s="246"/>
      <c r="D22" s="248"/>
      <c r="E22" s="26">
        <f>'6. PEF2-3. INVERS. Y FINANC.'!F16</f>
        <v>300</v>
      </c>
      <c r="F22" s="120">
        <v>4</v>
      </c>
      <c r="G22" s="26">
        <f>E22/F22</f>
        <v>75</v>
      </c>
      <c r="H22" s="26">
        <f t="shared" si="0"/>
        <v>75</v>
      </c>
      <c r="I22" s="26">
        <f t="shared" si="0"/>
        <v>75</v>
      </c>
    </row>
    <row r="23" spans="2:9">
      <c r="B23" s="246" t="s">
        <v>125</v>
      </c>
      <c r="C23" s="246"/>
      <c r="D23" s="248"/>
      <c r="E23" s="26">
        <f>'6. PEF2-3. INVERS. Y FINANC.'!F17</f>
        <v>0</v>
      </c>
      <c r="F23" s="120"/>
      <c r="G23" s="26"/>
      <c r="H23" s="26">
        <f t="shared" si="0"/>
        <v>0</v>
      </c>
      <c r="I23" s="26">
        <f t="shared" si="0"/>
        <v>0</v>
      </c>
    </row>
    <row r="24" spans="2:9" ht="12.75" customHeight="1">
      <c r="B24" s="242" t="s">
        <v>126</v>
      </c>
      <c r="C24" s="242"/>
      <c r="D24" s="250"/>
      <c r="E24" s="26"/>
      <c r="F24" s="40"/>
      <c r="G24" s="26"/>
      <c r="H24" s="26">
        <f t="shared" si="0"/>
        <v>0</v>
      </c>
      <c r="I24" s="26">
        <f t="shared" si="0"/>
        <v>0</v>
      </c>
    </row>
    <row r="25" spans="2:9">
      <c r="B25" s="246" t="s">
        <v>127</v>
      </c>
      <c r="C25" s="246"/>
      <c r="D25" s="248"/>
      <c r="E25" s="26">
        <f>'6. PEF2-3. INVERS. Y FINANC.'!F19</f>
        <v>0</v>
      </c>
      <c r="F25" s="120">
        <v>0</v>
      </c>
      <c r="G25" s="26"/>
      <c r="H25" s="26">
        <f t="shared" si="0"/>
        <v>0</v>
      </c>
      <c r="I25" s="26">
        <f t="shared" si="0"/>
        <v>0</v>
      </c>
    </row>
    <row r="26" spans="2:9">
      <c r="B26" s="246" t="s">
        <v>128</v>
      </c>
      <c r="C26" s="246"/>
      <c r="D26" s="248"/>
      <c r="E26" s="26">
        <f>'6. PEF2-3. INVERS. Y FINANC.'!F20</f>
        <v>15000</v>
      </c>
      <c r="F26" s="120">
        <v>50</v>
      </c>
      <c r="G26" s="26">
        <f t="shared" ref="G26:G32" si="1">E26/F26</f>
        <v>300</v>
      </c>
      <c r="H26" s="26">
        <f t="shared" si="0"/>
        <v>300</v>
      </c>
      <c r="I26" s="26">
        <f t="shared" si="0"/>
        <v>300</v>
      </c>
    </row>
    <row r="27" spans="2:9">
      <c r="B27" s="246" t="s">
        <v>129</v>
      </c>
      <c r="C27" s="246"/>
      <c r="D27" s="248"/>
      <c r="E27" s="26">
        <f>'6. PEF2-3. INVERS. Y FINANC.'!F21</f>
        <v>2500</v>
      </c>
      <c r="F27" s="120">
        <v>8</v>
      </c>
      <c r="G27" s="26">
        <f t="shared" si="1"/>
        <v>312.5</v>
      </c>
      <c r="H27" s="26">
        <f t="shared" si="0"/>
        <v>312.5</v>
      </c>
      <c r="I27" s="26">
        <f t="shared" si="0"/>
        <v>312.5</v>
      </c>
    </row>
    <row r="28" spans="2:9">
      <c r="B28" s="246" t="s">
        <v>130</v>
      </c>
      <c r="C28" s="246"/>
      <c r="D28" s="248"/>
      <c r="E28" s="26">
        <f>'6. PEF2-3. INVERS. Y FINANC.'!F22</f>
        <v>500</v>
      </c>
      <c r="F28" s="120">
        <v>3</v>
      </c>
      <c r="G28" s="26">
        <f t="shared" si="1"/>
        <v>166.66666666666666</v>
      </c>
      <c r="H28" s="26">
        <f t="shared" si="0"/>
        <v>166.66666666666666</v>
      </c>
      <c r="I28" s="26">
        <f t="shared" si="0"/>
        <v>166.66666666666666</v>
      </c>
    </row>
    <row r="29" spans="2:9">
      <c r="B29" s="246" t="s">
        <v>131</v>
      </c>
      <c r="C29" s="246"/>
      <c r="D29" s="248"/>
      <c r="E29" s="26">
        <f>'6. PEF2-3. INVERS. Y FINANC.'!F23</f>
        <v>2500</v>
      </c>
      <c r="F29" s="120">
        <v>10</v>
      </c>
      <c r="G29" s="26">
        <f t="shared" si="1"/>
        <v>250</v>
      </c>
      <c r="H29" s="26">
        <f t="shared" si="0"/>
        <v>250</v>
      </c>
      <c r="I29" s="26">
        <f t="shared" si="0"/>
        <v>250</v>
      </c>
    </row>
    <row r="30" spans="2:9">
      <c r="B30" s="246" t="s">
        <v>132</v>
      </c>
      <c r="C30" s="246"/>
      <c r="D30" s="248"/>
      <c r="E30" s="26">
        <f>'6. PEF2-3. INVERS. Y FINANC.'!F24</f>
        <v>2500</v>
      </c>
      <c r="F30" s="120">
        <v>4</v>
      </c>
      <c r="G30" s="26">
        <f t="shared" si="1"/>
        <v>625</v>
      </c>
      <c r="H30" s="26">
        <f t="shared" si="0"/>
        <v>625</v>
      </c>
      <c r="I30" s="26">
        <f t="shared" si="0"/>
        <v>625</v>
      </c>
    </row>
    <row r="31" spans="2:9">
      <c r="B31" s="246" t="s">
        <v>136</v>
      </c>
      <c r="C31" s="246"/>
      <c r="D31" s="248"/>
      <c r="E31" s="26">
        <f>'6. PEF2-3. INVERS. Y FINANC.'!F28</f>
        <v>1500</v>
      </c>
      <c r="F31" s="70"/>
      <c r="G31" s="71"/>
      <c r="H31" s="71"/>
      <c r="I31" s="71"/>
    </row>
    <row r="32" spans="2:9">
      <c r="B32" s="246" t="s">
        <v>134</v>
      </c>
      <c r="C32" s="246"/>
      <c r="D32" s="248"/>
      <c r="E32" s="26">
        <f>'6. PEF2-3. INVERS. Y FINANC.'!F26</f>
        <v>100</v>
      </c>
      <c r="F32" s="120">
        <v>5</v>
      </c>
      <c r="G32" s="26">
        <f t="shared" si="1"/>
        <v>20</v>
      </c>
      <c r="H32" s="26">
        <f t="shared" si="0"/>
        <v>20</v>
      </c>
      <c r="I32" s="26">
        <f t="shared" si="0"/>
        <v>20</v>
      </c>
    </row>
    <row r="33" spans="2:10">
      <c r="B33" s="246" t="s">
        <v>388</v>
      </c>
      <c r="C33" s="246"/>
      <c r="D33" s="248"/>
      <c r="E33" s="26">
        <f>SUM(E20:E32)-E31</f>
        <v>23600</v>
      </c>
      <c r="F33" s="40"/>
      <c r="G33" s="26">
        <f>SUM(G20:G32)</f>
        <v>1789.1666666666665</v>
      </c>
      <c r="H33" s="26">
        <f>SUM(H20:H32)</f>
        <v>1789.1666666666665</v>
      </c>
      <c r="I33" s="26">
        <f>SUM(I20:I32)</f>
        <v>1789.1666666666665</v>
      </c>
    </row>
    <row r="36" spans="2:10">
      <c r="B36" t="s">
        <v>337</v>
      </c>
      <c r="C36" t="s">
        <v>338</v>
      </c>
    </row>
    <row r="46" spans="2:10">
      <c r="B46" s="73"/>
      <c r="C46" s="73"/>
      <c r="D46" s="73"/>
      <c r="E46" s="73"/>
      <c r="F46" s="73"/>
      <c r="G46" s="73"/>
      <c r="H46" s="73"/>
      <c r="I46" s="73"/>
    </row>
    <row r="47" spans="2:10">
      <c r="B47" s="175"/>
      <c r="C47" s="175"/>
      <c r="D47" s="175"/>
      <c r="E47" s="175"/>
      <c r="F47" s="175"/>
      <c r="G47" s="175"/>
      <c r="H47" s="175"/>
      <c r="I47" s="175"/>
      <c r="J47" s="80"/>
    </row>
    <row r="49" spans="2:2" ht="17.399999999999999">
      <c r="B49" s="72"/>
    </row>
  </sheetData>
  <sheetProtection password="CC9B" sheet="1" objects="1" scenarios="1"/>
  <mergeCells count="26">
    <mergeCell ref="B47:I47"/>
    <mergeCell ref="B9:C9"/>
    <mergeCell ref="B14:C14"/>
    <mergeCell ref="B1:E1"/>
    <mergeCell ref="B31:D31"/>
    <mergeCell ref="B25:D25"/>
    <mergeCell ref="B26:D26"/>
    <mergeCell ref="B5:I5"/>
    <mergeCell ref="B22:D22"/>
    <mergeCell ref="B23:D23"/>
    <mergeCell ref="B30:D30"/>
    <mergeCell ref="B21:D21"/>
    <mergeCell ref="E14:F14"/>
    <mergeCell ref="B10:C10"/>
    <mergeCell ref="E10:F10"/>
    <mergeCell ref="B20:D20"/>
    <mergeCell ref="I1:I3"/>
    <mergeCell ref="B7:E7"/>
    <mergeCell ref="B32:D32"/>
    <mergeCell ref="B33:D33"/>
    <mergeCell ref="B19:D19"/>
    <mergeCell ref="B24:D24"/>
    <mergeCell ref="B27:D27"/>
    <mergeCell ref="B28:D28"/>
    <mergeCell ref="B29:D29"/>
    <mergeCell ref="E9:F9"/>
  </mergeCells>
  <phoneticPr fontId="2" type="noConversion"/>
  <dataValidations count="1">
    <dataValidation type="whole" allowBlank="1" showInputMessage="1" showErrorMessage="1" prompt="Máximo: 10 años" sqref="D10">
      <formula1>1</formula1>
      <formula2>10</formula2>
    </dataValidation>
  </dataValidations>
  <pageMargins left="0.59055118110236227" right="0.59055118110236227" top="0.39370078740157483" bottom="0.39370078740157483" header="0" footer="0"/>
  <pageSetup paperSize="9" orientation="portrait" horizontalDpi="200" verticalDpi="2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indexed="22"/>
  </sheetPr>
  <dimension ref="A1:L57"/>
  <sheetViews>
    <sheetView showGridLines="0" zoomScaleNormal="100" workbookViewId="0">
      <selection activeCell="F29" sqref="F29"/>
    </sheetView>
  </sheetViews>
  <sheetFormatPr baseColWidth="10" defaultColWidth="22.6640625" defaultRowHeight="13.2"/>
  <cols>
    <col min="1" max="2" width="4.6640625" style="7" customWidth="1"/>
    <col min="3" max="9" width="11.44140625" style="7" customWidth="1"/>
    <col min="10" max="10" width="9.6640625" style="7" customWidth="1"/>
    <col min="11" max="16384" width="22.6640625" style="7"/>
  </cols>
  <sheetData>
    <row r="1" spans="2:12" customFormat="1" ht="17.399999999999999">
      <c r="B1" s="255"/>
      <c r="C1" s="255"/>
      <c r="D1" s="255"/>
      <c r="E1" s="255"/>
      <c r="H1" s="7"/>
      <c r="I1" s="182"/>
      <c r="J1" s="7"/>
    </row>
    <row r="2" spans="2:12" customFormat="1">
      <c r="H2" s="7"/>
      <c r="I2" s="182"/>
      <c r="J2" s="7"/>
    </row>
    <row r="3" spans="2:12" customFormat="1" ht="17.399999999999999">
      <c r="B3" s="87"/>
      <c r="C3" s="88"/>
      <c r="D3" s="88"/>
      <c r="E3" s="88"/>
      <c r="F3" s="88"/>
      <c r="I3" s="182"/>
      <c r="J3" s="7"/>
    </row>
    <row r="4" spans="2:12" customFormat="1" ht="13.5" customHeight="1">
      <c r="B4" s="1"/>
      <c r="H4" s="7"/>
      <c r="I4" s="18"/>
      <c r="J4" s="7"/>
    </row>
    <row r="5" spans="2:12" customFormat="1" ht="42" customHeight="1">
      <c r="B5" s="244"/>
      <c r="C5" s="244"/>
      <c r="D5" s="244"/>
      <c r="E5" s="244"/>
      <c r="F5" s="244"/>
      <c r="G5" s="244"/>
      <c r="H5" s="244"/>
      <c r="I5" s="244"/>
      <c r="J5" s="7"/>
    </row>
    <row r="6" spans="2:12" ht="25.5" customHeight="1"/>
    <row r="7" spans="2:12" customFormat="1" ht="38.25" customHeight="1">
      <c r="B7" s="243"/>
      <c r="C7" s="243"/>
      <c r="D7" s="243"/>
    </row>
    <row r="9" spans="2:12">
      <c r="C9" s="254" t="s">
        <v>155</v>
      </c>
      <c r="D9" s="254"/>
      <c r="F9" s="28" t="s">
        <v>55</v>
      </c>
      <c r="G9" s="28" t="s">
        <v>56</v>
      </c>
      <c r="H9" s="28" t="s">
        <v>57</v>
      </c>
      <c r="I9" s="29"/>
    </row>
    <row r="10" spans="2:12">
      <c r="C10" s="29"/>
      <c r="D10" s="29"/>
      <c r="F10" s="28"/>
      <c r="G10" s="28"/>
      <c r="H10" s="28"/>
      <c r="I10" s="29"/>
    </row>
    <row r="11" spans="2:12">
      <c r="C11" s="256" t="s">
        <v>156</v>
      </c>
      <c r="D11" s="256"/>
      <c r="E11" s="256"/>
      <c r="F11" s="121">
        <f>'6. PEF1. PLAN COMERCIAL'!D15</f>
        <v>87500</v>
      </c>
      <c r="G11" s="121">
        <f>'6. PEF1. PLAN COMERCIAL'!E15</f>
        <v>105000</v>
      </c>
      <c r="H11" s="121">
        <f>'6. PEF1. PLAN COMERCIAL'!F15</f>
        <v>126000</v>
      </c>
      <c r="I11" s="122"/>
    </row>
    <row r="12" spans="2:12">
      <c r="C12" s="123"/>
      <c r="D12" s="123"/>
      <c r="F12" s="124"/>
      <c r="G12" s="124"/>
      <c r="H12" s="124"/>
      <c r="I12" s="124"/>
    </row>
    <row r="13" spans="2:12" ht="13.5" customHeight="1">
      <c r="C13" s="256" t="s">
        <v>157</v>
      </c>
      <c r="D13" s="256"/>
      <c r="E13" s="256"/>
      <c r="F13" s="121">
        <f>F15+F14+F16</f>
        <v>30100</v>
      </c>
      <c r="G13" s="121">
        <f>G15+G14+G16</f>
        <v>36120</v>
      </c>
      <c r="H13" s="121">
        <f>H15+H14+H16</f>
        <v>43344</v>
      </c>
      <c r="I13" s="122"/>
    </row>
    <row r="14" spans="2:12" ht="12.75" customHeight="1">
      <c r="C14" s="258" t="s">
        <v>158</v>
      </c>
      <c r="D14" s="258"/>
      <c r="E14" s="259"/>
      <c r="F14" s="26">
        <f>'6. PEF1. PLAN COMERCIAL'!D25</f>
        <v>29500</v>
      </c>
      <c r="G14" s="26">
        <f>'6. PEF1. PLAN COMERCIAL'!E25</f>
        <v>35400</v>
      </c>
      <c r="H14" s="26">
        <f>'6. PEF1. PLAN COMERCIAL'!F25</f>
        <v>42480</v>
      </c>
      <c r="I14" s="2"/>
    </row>
    <row r="15" spans="2:12" ht="13.5" customHeight="1">
      <c r="C15" s="258" t="s">
        <v>159</v>
      </c>
      <c r="D15" s="258"/>
      <c r="E15" s="259"/>
      <c r="F15" s="90">
        <v>600</v>
      </c>
      <c r="G15" s="26">
        <f>F15*(1+F42)</f>
        <v>720</v>
      </c>
      <c r="H15" s="26">
        <f>G15*(1+F42)</f>
        <v>864</v>
      </c>
      <c r="I15" s="2"/>
    </row>
    <row r="16" spans="2:12" ht="27" customHeight="1">
      <c r="C16" s="258" t="s">
        <v>160</v>
      </c>
      <c r="D16" s="258"/>
      <c r="E16" s="259"/>
      <c r="F16" s="90">
        <v>0</v>
      </c>
      <c r="G16" s="26">
        <f>F16*(1+F43)</f>
        <v>0</v>
      </c>
      <c r="H16" s="26">
        <f>G16*(1+F42)</f>
        <v>0</v>
      </c>
      <c r="I16" s="2"/>
      <c r="J16" s="126"/>
      <c r="K16" s="126"/>
      <c r="L16" s="126"/>
    </row>
    <row r="17" spans="3:12" ht="13.5" customHeight="1">
      <c r="C17" s="125"/>
      <c r="D17" s="125"/>
      <c r="F17" s="2"/>
      <c r="G17" s="2"/>
      <c r="H17" s="2"/>
      <c r="I17" s="2"/>
      <c r="J17" s="127"/>
      <c r="K17" s="126"/>
      <c r="L17" s="126"/>
    </row>
    <row r="18" spans="3:12" ht="13.5" customHeight="1">
      <c r="C18" s="256" t="s">
        <v>161</v>
      </c>
      <c r="D18" s="256"/>
      <c r="E18" s="256"/>
      <c r="F18" s="19">
        <f>F11-F13</f>
        <v>57400</v>
      </c>
      <c r="G18" s="19">
        <f>G11-G13</f>
        <v>68880</v>
      </c>
      <c r="H18" s="19">
        <f>H11-H13</f>
        <v>82656</v>
      </c>
      <c r="I18" s="25"/>
      <c r="J18" s="126"/>
      <c r="K18" s="126"/>
      <c r="L18" s="126"/>
    </row>
    <row r="19" spans="3:12" ht="13.5" customHeight="1">
      <c r="C19" s="123"/>
      <c r="D19" s="123"/>
      <c r="F19" s="25"/>
      <c r="G19" s="25"/>
      <c r="H19" s="25"/>
      <c r="I19" s="25"/>
      <c r="J19" s="126"/>
      <c r="K19" s="126"/>
      <c r="L19" s="126"/>
    </row>
    <row r="20" spans="3:12" ht="25.5" customHeight="1">
      <c r="C20" s="256" t="s">
        <v>162</v>
      </c>
      <c r="D20" s="256"/>
      <c r="E20" s="128"/>
      <c r="F20" s="129">
        <f>SUM(F21:F31)</f>
        <v>35739.166666666672</v>
      </c>
      <c r="G20" s="129">
        <f>SUM(G21:G31)</f>
        <v>42529.166666666664</v>
      </c>
      <c r="H20" s="129">
        <f>SUM(H21:H31)</f>
        <v>50677.166666666664</v>
      </c>
      <c r="I20" s="130"/>
      <c r="J20" s="126"/>
      <c r="K20" s="126"/>
      <c r="L20" s="126"/>
    </row>
    <row r="21" spans="3:12" ht="13.5" customHeight="1">
      <c r="C21" s="258" t="s">
        <v>163</v>
      </c>
      <c r="D21" s="258"/>
      <c r="E21" s="259"/>
      <c r="F21" s="90">
        <v>5500</v>
      </c>
      <c r="G21" s="26">
        <f>F21*(1+F43)</f>
        <v>6600</v>
      </c>
      <c r="H21" s="26">
        <f>G21*(1+F43)</f>
        <v>7920</v>
      </c>
      <c r="I21" s="2"/>
      <c r="J21" s="126"/>
      <c r="K21" s="126"/>
      <c r="L21" s="126"/>
    </row>
    <row r="22" spans="3:12" ht="13.5" customHeight="1">
      <c r="C22" s="258" t="s">
        <v>164</v>
      </c>
      <c r="D22" s="258"/>
      <c r="E22" s="259"/>
      <c r="F22" s="90">
        <v>600</v>
      </c>
      <c r="G22" s="26">
        <f>F22*(1+F43)</f>
        <v>720</v>
      </c>
      <c r="H22" s="26">
        <f>G22*(1+F43)</f>
        <v>864</v>
      </c>
      <c r="I22" s="2"/>
      <c r="J22" s="126"/>
      <c r="K22" s="126"/>
      <c r="L22" s="126"/>
    </row>
    <row r="23" spans="3:12" ht="13.5" customHeight="1">
      <c r="C23" s="258" t="s">
        <v>165</v>
      </c>
      <c r="D23" s="258"/>
      <c r="E23" s="259"/>
      <c r="F23" s="90">
        <v>500</v>
      </c>
      <c r="G23" s="26">
        <f>F23*(1+F43)</f>
        <v>600</v>
      </c>
      <c r="H23" s="26">
        <f>G23*(1+F43)</f>
        <v>720</v>
      </c>
      <c r="I23" s="2"/>
      <c r="J23" s="126"/>
      <c r="K23" s="126"/>
      <c r="L23" s="126"/>
    </row>
    <row r="24" spans="3:12" ht="27" customHeight="1">
      <c r="C24" s="258" t="s">
        <v>166</v>
      </c>
      <c r="D24" s="258"/>
      <c r="E24" s="259"/>
      <c r="F24" s="90">
        <v>1400</v>
      </c>
      <c r="G24" s="26">
        <f>F24*(1+F43)</f>
        <v>1680</v>
      </c>
      <c r="H24" s="26">
        <f>G24*(1+F43)</f>
        <v>2016</v>
      </c>
      <c r="I24" s="2"/>
      <c r="J24" s="126"/>
      <c r="K24" s="126"/>
      <c r="L24" s="126"/>
    </row>
    <row r="25" spans="3:12" ht="13.5" customHeight="1">
      <c r="C25" s="258" t="s">
        <v>167</v>
      </c>
      <c r="D25" s="258"/>
      <c r="E25" s="259"/>
      <c r="F25" s="90">
        <v>150</v>
      </c>
      <c r="G25" s="26">
        <f>F25*(1+F43)</f>
        <v>180</v>
      </c>
      <c r="H25" s="26">
        <f>G25*(1+F43)</f>
        <v>216</v>
      </c>
      <c r="I25" s="2"/>
      <c r="J25" s="126"/>
      <c r="K25" s="126"/>
      <c r="L25" s="126"/>
    </row>
    <row r="26" spans="3:12" ht="13.5" customHeight="1">
      <c r="C26" s="258" t="s">
        <v>168</v>
      </c>
      <c r="D26" s="258"/>
      <c r="E26" s="259"/>
      <c r="F26" s="90">
        <v>100</v>
      </c>
      <c r="G26" s="26">
        <f>F26*(1+F43)</f>
        <v>120</v>
      </c>
      <c r="H26" s="26">
        <f>G26*(1+F43)</f>
        <v>144</v>
      </c>
      <c r="I26" s="2"/>
      <c r="J26" s="126"/>
      <c r="K26" s="126"/>
      <c r="L26" s="126"/>
    </row>
    <row r="27" spans="3:12" ht="13.5" customHeight="1">
      <c r="C27" s="258" t="s">
        <v>169</v>
      </c>
      <c r="D27" s="258"/>
      <c r="E27" s="259"/>
      <c r="F27" s="90">
        <v>700</v>
      </c>
      <c r="G27" s="26">
        <f>F27*(1+F43)</f>
        <v>840</v>
      </c>
      <c r="H27" s="26">
        <f>G27*(1+F43)</f>
        <v>1008</v>
      </c>
      <c r="I27" s="2"/>
      <c r="J27" s="126"/>
      <c r="K27" s="126"/>
      <c r="L27" s="126"/>
    </row>
    <row r="28" spans="3:12" ht="13.5" customHeight="1">
      <c r="C28" s="258" t="s">
        <v>325</v>
      </c>
      <c r="D28" s="258"/>
      <c r="E28" s="259"/>
      <c r="F28" s="90">
        <v>20000</v>
      </c>
      <c r="G28" s="26">
        <f>F28*(1+F43)</f>
        <v>24000</v>
      </c>
      <c r="H28" s="26">
        <f>G28*(1+F43)</f>
        <v>28800</v>
      </c>
      <c r="I28" s="2"/>
      <c r="J28" s="126"/>
      <c r="K28" s="126"/>
      <c r="L28" s="126"/>
    </row>
    <row r="29" spans="3:12" ht="13.5" customHeight="1">
      <c r="C29" s="258" t="s">
        <v>350</v>
      </c>
      <c r="D29" s="258"/>
      <c r="E29" s="259"/>
      <c r="F29" s="90">
        <v>0</v>
      </c>
      <c r="G29" s="26">
        <f>F29*(1+F44)</f>
        <v>0</v>
      </c>
      <c r="H29" s="26">
        <f>G29*(1+F44)</f>
        <v>0</v>
      </c>
      <c r="I29" s="2"/>
      <c r="J29" s="126"/>
      <c r="K29" s="126"/>
      <c r="L29" s="126"/>
    </row>
    <row r="30" spans="3:12" ht="13.5" customHeight="1">
      <c r="C30" s="258" t="s">
        <v>170</v>
      </c>
      <c r="D30" s="258"/>
      <c r="E30" s="259"/>
      <c r="F30" s="26">
        <f>'6.PEF4. AMORTIZACIÓN'!G33</f>
        <v>1789.1666666666665</v>
      </c>
      <c r="G30" s="26">
        <f>'6.PEF4. AMORTIZACIÓN'!G33</f>
        <v>1789.1666666666665</v>
      </c>
      <c r="H30" s="26">
        <f>'6.PEF4. AMORTIZACIÓN'!G33</f>
        <v>1789.1666666666665</v>
      </c>
      <c r="I30" s="2"/>
      <c r="J30" s="46"/>
      <c r="K30" s="126"/>
      <c r="L30" s="126"/>
    </row>
    <row r="31" spans="3:12" ht="13.5" customHeight="1">
      <c r="C31" s="258" t="s">
        <v>171</v>
      </c>
      <c r="D31" s="258"/>
      <c r="E31" s="259"/>
      <c r="F31" s="90">
        <v>5000</v>
      </c>
      <c r="G31" s="26">
        <f>F31*(1+F43)</f>
        <v>6000</v>
      </c>
      <c r="H31" s="26">
        <f>G31*(1+F43)</f>
        <v>7200</v>
      </c>
      <c r="I31" s="2"/>
      <c r="J31" s="127"/>
      <c r="K31" s="126"/>
      <c r="L31" s="126"/>
    </row>
    <row r="32" spans="3:12" ht="5.0999999999999996" customHeight="1">
      <c r="C32" s="257"/>
      <c r="D32" s="257"/>
      <c r="E32" s="126"/>
      <c r="F32" s="25"/>
      <c r="G32" s="25"/>
      <c r="H32" s="25"/>
      <c r="I32" s="25"/>
      <c r="J32" s="126"/>
      <c r="K32" s="126"/>
      <c r="L32" s="126"/>
    </row>
    <row r="33" spans="3:12" ht="5.0999999999999996" customHeight="1">
      <c r="C33" s="123"/>
      <c r="D33" s="123"/>
      <c r="F33" s="25"/>
      <c r="G33" s="25"/>
      <c r="H33" s="25"/>
      <c r="I33" s="25"/>
      <c r="J33" s="131"/>
      <c r="K33" s="126"/>
      <c r="L33" s="126"/>
    </row>
    <row r="34" spans="3:12" ht="5.0999999999999996" customHeight="1">
      <c r="C34" s="257"/>
      <c r="D34" s="257"/>
      <c r="F34" s="132"/>
      <c r="G34" s="132"/>
      <c r="H34" s="132"/>
      <c r="I34" s="25"/>
      <c r="J34" s="133"/>
      <c r="K34" s="126"/>
      <c r="L34" s="126"/>
    </row>
    <row r="35" spans="3:12" ht="5.0999999999999996" customHeight="1">
      <c r="C35" s="123"/>
      <c r="D35" s="123"/>
      <c r="F35" s="25"/>
      <c r="G35" s="25"/>
      <c r="H35" s="25"/>
      <c r="I35" s="25"/>
      <c r="J35" s="126"/>
      <c r="K35" s="126"/>
      <c r="L35" s="126"/>
    </row>
    <row r="36" spans="3:12" ht="5.0999999999999996" customHeight="1">
      <c r="C36" s="257"/>
      <c r="D36" s="257"/>
      <c r="E36" s="126"/>
      <c r="F36" s="25"/>
      <c r="G36" s="25"/>
      <c r="H36" s="25"/>
      <c r="I36" s="25"/>
      <c r="J36" s="126"/>
      <c r="K36" s="126"/>
      <c r="L36" s="126"/>
    </row>
    <row r="37" spans="3:12" ht="5.0999999999999996" customHeight="1">
      <c r="C37" s="123"/>
      <c r="D37" s="123"/>
      <c r="F37" s="25"/>
      <c r="G37" s="25"/>
      <c r="H37" s="25"/>
      <c r="I37" s="25"/>
      <c r="J37" s="126"/>
      <c r="K37" s="126"/>
      <c r="L37" s="126"/>
    </row>
    <row r="38" spans="3:12" ht="5.0999999999999996" customHeight="1">
      <c r="C38" s="257"/>
      <c r="D38" s="257"/>
      <c r="E38" s="126"/>
      <c r="F38" s="25"/>
      <c r="G38" s="25"/>
      <c r="H38" s="25"/>
      <c r="I38" s="25"/>
      <c r="J38" s="126"/>
      <c r="K38" s="126"/>
      <c r="L38" s="126"/>
    </row>
    <row r="39" spans="3:12" ht="5.0999999999999996" customHeight="1">
      <c r="C39" s="123"/>
      <c r="D39" s="123"/>
      <c r="F39" s="134"/>
      <c r="G39" s="134"/>
      <c r="H39" s="134"/>
      <c r="I39" s="134"/>
      <c r="J39" s="126"/>
      <c r="K39" s="126"/>
      <c r="L39" s="126"/>
    </row>
    <row r="40" spans="3:12" ht="5.0999999999999996" customHeight="1">
      <c r="C40" s="257"/>
      <c r="D40" s="257"/>
      <c r="E40" s="126"/>
      <c r="F40" s="25"/>
      <c r="G40" s="25"/>
      <c r="H40" s="25"/>
      <c r="I40" s="25"/>
      <c r="J40" s="126"/>
      <c r="K40" s="126"/>
      <c r="L40" s="126"/>
    </row>
    <row r="41" spans="3:12">
      <c r="C41" s="14"/>
      <c r="D41" s="14"/>
    </row>
    <row r="42" spans="3:12">
      <c r="C42" s="7" t="s">
        <v>389</v>
      </c>
      <c r="F42" s="135">
        <f>'6. PEF1. PLAN COMERCIAL'!F29</f>
        <v>0.2</v>
      </c>
    </row>
    <row r="43" spans="3:12">
      <c r="C43" s="7" t="s">
        <v>390</v>
      </c>
      <c r="F43" s="137">
        <v>0.2</v>
      </c>
    </row>
    <row r="44" spans="3:12">
      <c r="C44" s="260" t="s">
        <v>326</v>
      </c>
      <c r="D44" s="260"/>
      <c r="E44" s="260"/>
      <c r="F44" s="137">
        <v>0.25</v>
      </c>
    </row>
    <row r="51" spans="1:9" ht="24.75" customHeight="1">
      <c r="B51" s="136"/>
      <c r="C51" s="136"/>
      <c r="D51" s="136"/>
      <c r="E51" s="136"/>
      <c r="F51" s="136"/>
      <c r="G51" s="136"/>
      <c r="H51" s="136"/>
      <c r="I51" s="136"/>
    </row>
    <row r="52" spans="1:9">
      <c r="A52" s="80"/>
      <c r="B52" s="175"/>
      <c r="C52" s="175"/>
      <c r="D52" s="175"/>
      <c r="E52" s="175"/>
      <c r="F52" s="175"/>
      <c r="G52" s="175"/>
      <c r="H52" s="175"/>
      <c r="I52" s="175"/>
    </row>
    <row r="53" spans="1:9">
      <c r="A53"/>
      <c r="B53"/>
      <c r="C53"/>
      <c r="D53"/>
      <c r="E53"/>
      <c r="F53"/>
      <c r="G53"/>
      <c r="H53"/>
      <c r="I53"/>
    </row>
    <row r="54" spans="1:9" ht="17.399999999999999">
      <c r="A54"/>
      <c r="B54" s="72"/>
      <c r="C54"/>
      <c r="D54"/>
      <c r="E54"/>
      <c r="F54"/>
      <c r="G54"/>
      <c r="H54"/>
      <c r="I54"/>
    </row>
    <row r="55" spans="1:9">
      <c r="A55"/>
      <c r="B55"/>
      <c r="C55"/>
      <c r="D55"/>
      <c r="E55"/>
      <c r="F55"/>
      <c r="G55"/>
      <c r="H55"/>
      <c r="I55"/>
    </row>
    <row r="56" spans="1:9">
      <c r="A56"/>
      <c r="B56"/>
      <c r="C56"/>
      <c r="D56"/>
      <c r="E56"/>
      <c r="F56"/>
      <c r="G56"/>
      <c r="H56"/>
      <c r="I56"/>
    </row>
    <row r="57" spans="1:9" ht="1.95" customHeight="1"/>
  </sheetData>
  <sheetProtection password="CC9B" sheet="1" objects="1" scenarios="1"/>
  <mergeCells count="30">
    <mergeCell ref="B52:I52"/>
    <mergeCell ref="C22:E22"/>
    <mergeCell ref="C23:E23"/>
    <mergeCell ref="C24:E24"/>
    <mergeCell ref="C13:E13"/>
    <mergeCell ref="C44:E44"/>
    <mergeCell ref="C36:D36"/>
    <mergeCell ref="C38:D38"/>
    <mergeCell ref="C40:D40"/>
    <mergeCell ref="C11:E11"/>
    <mergeCell ref="C34:D34"/>
    <mergeCell ref="C18:E18"/>
    <mergeCell ref="C25:E25"/>
    <mergeCell ref="C26:E26"/>
    <mergeCell ref="C32:D32"/>
    <mergeCell ref="C14:E14"/>
    <mergeCell ref="C20:D20"/>
    <mergeCell ref="C15:E15"/>
    <mergeCell ref="C16:E16"/>
    <mergeCell ref="C21:E21"/>
    <mergeCell ref="C27:E27"/>
    <mergeCell ref="C28:E28"/>
    <mergeCell ref="C29:E29"/>
    <mergeCell ref="C30:E30"/>
    <mergeCell ref="C31:E31"/>
    <mergeCell ref="I1:I3"/>
    <mergeCell ref="B7:D7"/>
    <mergeCell ref="C9:D9"/>
    <mergeCell ref="B5:I5"/>
    <mergeCell ref="B1:E1"/>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indexed="22"/>
  </sheetPr>
  <dimension ref="A1:BK65"/>
  <sheetViews>
    <sheetView showGridLines="0" topLeftCell="A3" zoomScale="93" zoomScaleNormal="93" workbookViewId="0">
      <selection activeCell="AW10" sqref="AW10"/>
    </sheetView>
  </sheetViews>
  <sheetFormatPr baseColWidth="10" defaultColWidth="11.44140625" defaultRowHeight="13.2"/>
  <cols>
    <col min="1" max="2" width="4.6640625" customWidth="1"/>
    <col min="10" max="11" width="4.6640625" customWidth="1"/>
    <col min="19" max="20" width="4.6640625" customWidth="1"/>
    <col min="28" max="29" width="4.6640625" customWidth="1"/>
    <col min="37" max="38" width="4.6640625" customWidth="1"/>
    <col min="46" max="47" width="4.6640625" customWidth="1"/>
    <col min="53" max="54" width="11.5546875" bestFit="1" customWidth="1"/>
    <col min="55" max="56" width="4.6640625" customWidth="1"/>
    <col min="58" max="60" width="15.6640625" customWidth="1"/>
    <col min="61" max="61" width="10.109375" customWidth="1"/>
  </cols>
  <sheetData>
    <row r="1" spans="2:63" ht="18" customHeight="1">
      <c r="B1" s="89"/>
      <c r="C1" s="89"/>
      <c r="D1" s="138"/>
      <c r="E1" s="138"/>
      <c r="I1" s="182"/>
      <c r="K1" s="236"/>
      <c r="L1" s="236"/>
      <c r="M1" s="236"/>
      <c r="N1" s="236"/>
      <c r="R1" s="182"/>
      <c r="T1" s="236"/>
      <c r="U1" s="236"/>
      <c r="V1" s="236"/>
      <c r="W1" s="236"/>
      <c r="AA1" s="182"/>
      <c r="AC1" s="236"/>
      <c r="AD1" s="236"/>
      <c r="AE1" s="236"/>
      <c r="AF1" s="236"/>
      <c r="AJ1" s="182"/>
      <c r="AL1" s="236"/>
      <c r="AM1" s="236"/>
      <c r="AN1" s="236"/>
      <c r="AO1" s="236"/>
      <c r="AS1" s="182"/>
      <c r="AU1" s="236"/>
      <c r="AV1" s="236"/>
      <c r="AW1" s="236"/>
      <c r="AX1" s="236"/>
      <c r="BB1" s="182"/>
      <c r="BD1" s="236"/>
      <c r="BE1" s="236"/>
      <c r="BF1" s="236"/>
      <c r="BG1" s="236"/>
      <c r="BK1" s="182"/>
    </row>
    <row r="2" spans="2:63" ht="12.75" customHeight="1">
      <c r="I2" s="182"/>
      <c r="R2" s="182"/>
      <c r="AA2" s="182"/>
      <c r="AJ2" s="182"/>
      <c r="AS2" s="182"/>
      <c r="BB2" s="182"/>
      <c r="BK2" s="182"/>
    </row>
    <row r="3" spans="2:63" ht="18.75" customHeight="1">
      <c r="B3" s="89"/>
      <c r="C3" s="89"/>
      <c r="D3" s="89"/>
      <c r="E3" s="89"/>
      <c r="F3" s="138"/>
      <c r="I3" s="182"/>
      <c r="K3" s="89"/>
      <c r="L3" s="89"/>
      <c r="M3" s="89"/>
      <c r="N3" s="89"/>
      <c r="O3" s="138"/>
      <c r="R3" s="182"/>
      <c r="T3" s="89"/>
      <c r="U3" s="89"/>
      <c r="V3" s="89"/>
      <c r="W3" s="89"/>
      <c r="X3" s="138"/>
      <c r="AA3" s="182"/>
      <c r="AC3" s="89"/>
      <c r="AD3" s="89"/>
      <c r="AE3" s="89"/>
      <c r="AF3" s="89"/>
      <c r="AG3" s="138"/>
      <c r="AJ3" s="182"/>
      <c r="AL3" s="89"/>
      <c r="AM3" s="89"/>
      <c r="AN3" s="89"/>
      <c r="AO3" s="89"/>
      <c r="AP3" s="138"/>
      <c r="AS3" s="182"/>
      <c r="AU3" s="89"/>
      <c r="AV3" s="89"/>
      <c r="AW3" s="89"/>
      <c r="AX3" s="89"/>
      <c r="AY3" s="138"/>
      <c r="BB3" s="182"/>
      <c r="BD3" s="89"/>
      <c r="BE3" s="89"/>
      <c r="BF3" s="89"/>
      <c r="BG3" s="89"/>
      <c r="BH3" s="138"/>
      <c r="BK3" s="182"/>
    </row>
    <row r="4" spans="2:63" s="5" customFormat="1" ht="17.399999999999999">
      <c r="B4"/>
      <c r="C4" s="1"/>
      <c r="D4"/>
      <c r="E4"/>
      <c r="F4"/>
      <c r="G4"/>
      <c r="H4"/>
      <c r="I4" s="271" t="s">
        <v>213</v>
      </c>
      <c r="K4"/>
      <c r="L4" s="1"/>
      <c r="M4"/>
      <c r="N4"/>
      <c r="O4"/>
      <c r="P4"/>
      <c r="Q4"/>
      <c r="R4" s="271" t="s">
        <v>214</v>
      </c>
      <c r="T4"/>
      <c r="U4" s="1"/>
      <c r="V4"/>
      <c r="W4"/>
      <c r="X4"/>
      <c r="Y4"/>
      <c r="Z4"/>
      <c r="AA4" s="271" t="s">
        <v>402</v>
      </c>
      <c r="AC4"/>
      <c r="AD4" s="1"/>
      <c r="AE4"/>
      <c r="AF4"/>
      <c r="AG4"/>
      <c r="AH4"/>
      <c r="AI4"/>
      <c r="AJ4" s="271" t="s">
        <v>403</v>
      </c>
      <c r="AL4"/>
      <c r="AM4" s="1"/>
      <c r="AN4"/>
      <c r="AO4"/>
      <c r="AP4"/>
      <c r="AQ4"/>
      <c r="AR4"/>
      <c r="AS4" s="271" t="s">
        <v>404</v>
      </c>
      <c r="AU4"/>
      <c r="AV4" s="1"/>
      <c r="AW4"/>
      <c r="AX4"/>
      <c r="AY4"/>
      <c r="AZ4"/>
      <c r="BA4"/>
      <c r="BB4" s="271" t="s">
        <v>405</v>
      </c>
      <c r="BD4"/>
      <c r="BE4" s="1"/>
      <c r="BF4"/>
      <c r="BG4"/>
      <c r="BH4"/>
      <c r="BI4"/>
      <c r="BJ4" s="271" t="s">
        <v>399</v>
      </c>
    </row>
    <row r="5" spans="2:63" ht="12.75" customHeight="1">
      <c r="B5" s="179"/>
      <c r="C5" s="179"/>
      <c r="D5" s="179"/>
      <c r="E5" s="179"/>
      <c r="F5" s="179"/>
      <c r="I5" s="271"/>
      <c r="K5" s="179"/>
      <c r="L5" s="179"/>
      <c r="M5" s="179"/>
      <c r="N5" s="179"/>
      <c r="O5" s="179"/>
      <c r="R5" s="271"/>
      <c r="T5" s="179"/>
      <c r="U5" s="179"/>
      <c r="V5" s="179"/>
      <c r="W5" s="179"/>
      <c r="X5" s="179"/>
      <c r="AA5" s="271"/>
      <c r="AC5" s="179"/>
      <c r="AD5" s="179"/>
      <c r="AE5" s="179"/>
      <c r="AF5" s="179"/>
      <c r="AG5" s="179"/>
      <c r="AJ5" s="271"/>
      <c r="AL5" s="179"/>
      <c r="AM5" s="179"/>
      <c r="AN5" s="179"/>
      <c r="AO5" s="179"/>
      <c r="AP5" s="179"/>
      <c r="AS5" s="271"/>
      <c r="AU5" s="179"/>
      <c r="AV5" s="179"/>
      <c r="AW5" s="179"/>
      <c r="AX5" s="179"/>
      <c r="AY5" s="179"/>
      <c r="BB5" s="271"/>
      <c r="BD5" s="179"/>
      <c r="BE5" s="179"/>
      <c r="BF5" s="179"/>
      <c r="BG5" s="179"/>
      <c r="BH5" s="179"/>
      <c r="BJ5" s="271"/>
    </row>
    <row r="7" spans="2:63" s="5" customFormat="1" ht="15" customHeight="1">
      <c r="B7"/>
      <c r="C7"/>
      <c r="D7"/>
      <c r="E7"/>
      <c r="F7"/>
      <c r="G7"/>
      <c r="H7"/>
      <c r="I7"/>
      <c r="K7"/>
      <c r="L7"/>
      <c r="M7"/>
      <c r="N7"/>
      <c r="O7"/>
      <c r="P7"/>
      <c r="Q7"/>
      <c r="R7"/>
      <c r="T7"/>
      <c r="U7"/>
      <c r="V7"/>
      <c r="W7"/>
      <c r="X7"/>
      <c r="Y7"/>
      <c r="Z7"/>
      <c r="AA7"/>
      <c r="AC7"/>
      <c r="AD7"/>
      <c r="AE7"/>
      <c r="AF7"/>
      <c r="AG7"/>
      <c r="AH7"/>
      <c r="AI7"/>
      <c r="AJ7"/>
      <c r="AL7"/>
      <c r="AM7"/>
      <c r="AN7"/>
      <c r="AO7"/>
      <c r="AP7"/>
      <c r="AQ7"/>
      <c r="AR7"/>
      <c r="AS7"/>
      <c r="AU7"/>
      <c r="AV7"/>
      <c r="AW7"/>
      <c r="AX7"/>
      <c r="AY7"/>
      <c r="AZ7"/>
      <c r="BA7"/>
      <c r="BB7"/>
      <c r="BD7"/>
      <c r="BE7"/>
      <c r="BF7"/>
      <c r="BG7"/>
      <c r="BH7"/>
      <c r="BI7"/>
      <c r="BJ7"/>
      <c r="BK7"/>
    </row>
    <row r="8" spans="2:63" ht="12.75" customHeight="1">
      <c r="B8" s="242" t="s">
        <v>172</v>
      </c>
      <c r="C8" s="242"/>
      <c r="D8" s="20" t="s">
        <v>101</v>
      </c>
      <c r="E8" s="20" t="s">
        <v>102</v>
      </c>
      <c r="F8" s="20" t="s">
        <v>103</v>
      </c>
      <c r="G8" s="20" t="s">
        <v>104</v>
      </c>
      <c r="H8" s="20" t="s">
        <v>105</v>
      </c>
      <c r="I8" s="20" t="s">
        <v>106</v>
      </c>
      <c r="K8" s="242" t="s">
        <v>172</v>
      </c>
      <c r="L8" s="242"/>
      <c r="M8" s="20" t="s">
        <v>107</v>
      </c>
      <c r="N8" s="20" t="s">
        <v>108</v>
      </c>
      <c r="O8" s="20" t="s">
        <v>109</v>
      </c>
      <c r="P8" s="20" t="s">
        <v>110</v>
      </c>
      <c r="Q8" s="20" t="s">
        <v>111</v>
      </c>
      <c r="R8" s="20" t="s">
        <v>112</v>
      </c>
      <c r="T8" s="242" t="s">
        <v>172</v>
      </c>
      <c r="U8" s="242"/>
      <c r="V8" s="20" t="s">
        <v>406</v>
      </c>
      <c r="W8" s="20" t="s">
        <v>407</v>
      </c>
      <c r="X8" s="20" t="s">
        <v>408</v>
      </c>
      <c r="Y8" s="20" t="s">
        <v>409</v>
      </c>
      <c r="Z8" s="20" t="s">
        <v>410</v>
      </c>
      <c r="AA8" s="20" t="s">
        <v>411</v>
      </c>
      <c r="AC8" s="242" t="s">
        <v>172</v>
      </c>
      <c r="AD8" s="242"/>
      <c r="AE8" s="20" t="s">
        <v>412</v>
      </c>
      <c r="AF8" s="20" t="s">
        <v>413</v>
      </c>
      <c r="AG8" s="20" t="s">
        <v>414</v>
      </c>
      <c r="AH8" s="20" t="s">
        <v>415</v>
      </c>
      <c r="AI8" s="20" t="s">
        <v>416</v>
      </c>
      <c r="AJ8" s="20" t="s">
        <v>417</v>
      </c>
      <c r="AL8" s="242" t="s">
        <v>172</v>
      </c>
      <c r="AM8" s="242"/>
      <c r="AN8" s="20" t="s">
        <v>418</v>
      </c>
      <c r="AO8" s="20" t="s">
        <v>419</v>
      </c>
      <c r="AP8" s="20" t="s">
        <v>420</v>
      </c>
      <c r="AQ8" s="20" t="s">
        <v>421</v>
      </c>
      <c r="AR8" s="20" t="s">
        <v>422</v>
      </c>
      <c r="AS8" s="20" t="s">
        <v>423</v>
      </c>
      <c r="AU8" s="242" t="s">
        <v>172</v>
      </c>
      <c r="AV8" s="242"/>
      <c r="AW8" s="20" t="s">
        <v>424</v>
      </c>
      <c r="AX8" s="20" t="s">
        <v>425</v>
      </c>
      <c r="AY8" s="20" t="s">
        <v>426</v>
      </c>
      <c r="AZ8" s="20" t="s">
        <v>427</v>
      </c>
      <c r="BA8" s="20" t="s">
        <v>428</v>
      </c>
      <c r="BB8" s="20" t="s">
        <v>429</v>
      </c>
      <c r="BD8" s="242" t="s">
        <v>172</v>
      </c>
      <c r="BE8" s="242"/>
      <c r="BF8" s="20" t="s">
        <v>398</v>
      </c>
      <c r="BG8" s="20" t="s">
        <v>400</v>
      </c>
      <c r="BH8" s="20" t="s">
        <v>401</v>
      </c>
      <c r="BI8" s="32"/>
      <c r="BJ8" s="32"/>
      <c r="BK8" s="32"/>
    </row>
    <row r="9" spans="2:63">
      <c r="C9" s="9"/>
      <c r="D9" s="32"/>
      <c r="E9" s="32"/>
      <c r="F9" s="32"/>
      <c r="G9" s="32"/>
      <c r="H9" s="32"/>
      <c r="I9" s="32"/>
      <c r="P9" s="9"/>
      <c r="Q9" s="9"/>
      <c r="R9" s="9"/>
      <c r="U9" s="9"/>
      <c r="V9" s="32"/>
      <c r="W9" s="32"/>
      <c r="X9" s="32"/>
      <c r="Y9" s="32"/>
      <c r="Z9" s="32"/>
      <c r="AA9" s="32"/>
      <c r="AH9" s="9"/>
      <c r="AI9" s="9"/>
      <c r="AJ9" s="9"/>
      <c r="AM9" s="9"/>
      <c r="AN9" s="32"/>
      <c r="AO9" s="32"/>
      <c r="AP9" s="32"/>
      <c r="AQ9" s="32"/>
      <c r="AR9" s="32"/>
      <c r="AS9" s="32"/>
      <c r="AZ9" s="9"/>
      <c r="BA9" s="9"/>
      <c r="BB9" s="9"/>
      <c r="BI9" s="9"/>
      <c r="BJ9" s="9"/>
      <c r="BK9" s="9"/>
    </row>
    <row r="10" spans="2:63" ht="12.75" customHeight="1">
      <c r="B10" s="269" t="s">
        <v>51</v>
      </c>
      <c r="C10" s="270"/>
      <c r="D10" s="26">
        <f>'6. PEF1. PLAN COMERCIAL'!D10</f>
        <v>5000</v>
      </c>
      <c r="E10" s="26">
        <f>'6. PEF1. PLAN COMERCIAL'!E10</f>
        <v>8000</v>
      </c>
      <c r="F10" s="26">
        <f>'6. PEF1. PLAN COMERCIAL'!F10</f>
        <v>10000</v>
      </c>
      <c r="G10" s="26">
        <f>'6. PEF1. PLAN COMERCIAL'!G10</f>
        <v>15000</v>
      </c>
      <c r="H10" s="26">
        <f>'6. PEF1. PLAN COMERCIAL'!H10</f>
        <v>12000</v>
      </c>
      <c r="I10" s="26">
        <f>'6. PEF1. PLAN COMERCIAL'!I10</f>
        <v>3000</v>
      </c>
      <c r="K10" s="269" t="s">
        <v>51</v>
      </c>
      <c r="L10" s="270"/>
      <c r="M10" s="26">
        <f>'6. PEF1. PLAN COMERCIAL'!D12</f>
        <v>3000</v>
      </c>
      <c r="N10" s="26">
        <f>'6. PEF1. PLAN COMERCIAL'!E12</f>
        <v>2000</v>
      </c>
      <c r="O10" s="26">
        <f>'6. PEF1. PLAN COMERCIAL'!F12</f>
        <v>8000</v>
      </c>
      <c r="P10" s="26">
        <f>'6. PEF1. PLAN COMERCIAL'!G12</f>
        <v>5000</v>
      </c>
      <c r="Q10" s="26">
        <f>'6. PEF1. PLAN COMERCIAL'!H12</f>
        <v>12000</v>
      </c>
      <c r="R10" s="26">
        <f>'6. PEF1. PLAN COMERCIAL'!I12</f>
        <v>4500</v>
      </c>
      <c r="T10" s="269" t="s">
        <v>51</v>
      </c>
      <c r="U10" s="270"/>
      <c r="V10" s="26">
        <f>D10*(1+'6. PEF1. PLAN COMERCIAL'!$F$28)</f>
        <v>6000</v>
      </c>
      <c r="W10" s="26">
        <f>E10*(1+'6. PEF1. PLAN COMERCIAL'!$F$28)</f>
        <v>9600</v>
      </c>
      <c r="X10" s="26">
        <f>F10*(1+'6. PEF1. PLAN COMERCIAL'!$F$28)</f>
        <v>12000</v>
      </c>
      <c r="Y10" s="26">
        <f>G10*(1+'6. PEF1. PLAN COMERCIAL'!$F$28)</f>
        <v>18000</v>
      </c>
      <c r="Z10" s="26">
        <f>H10*(1+'6. PEF1. PLAN COMERCIAL'!$F$28)</f>
        <v>14400</v>
      </c>
      <c r="AA10" s="26">
        <f>I10*(1+'6. PEF1. PLAN COMERCIAL'!$F$28)</f>
        <v>3600</v>
      </c>
      <c r="AC10" s="269" t="s">
        <v>51</v>
      </c>
      <c r="AD10" s="270"/>
      <c r="AE10" s="26">
        <f>M10*(1+'6. PEF1. PLAN COMERCIAL'!$F$28)</f>
        <v>3600</v>
      </c>
      <c r="AF10" s="26">
        <f>N10*(1+'6. PEF1. PLAN COMERCIAL'!$F$28)</f>
        <v>2400</v>
      </c>
      <c r="AG10" s="26">
        <f>O10*(1+'6. PEF1. PLAN COMERCIAL'!$F$28)</f>
        <v>9600</v>
      </c>
      <c r="AH10" s="26">
        <f>P10*(1+'6. PEF1. PLAN COMERCIAL'!$F$28)</f>
        <v>6000</v>
      </c>
      <c r="AI10" s="26">
        <f>Q10*(1+'6. PEF1. PLAN COMERCIAL'!$F$28)</f>
        <v>14400</v>
      </c>
      <c r="AJ10" s="26">
        <f>R10*(1+'6. PEF1. PLAN COMERCIAL'!$F$28)</f>
        <v>5400</v>
      </c>
      <c r="AL10" s="269" t="s">
        <v>51</v>
      </c>
      <c r="AM10" s="270"/>
      <c r="AN10" s="26">
        <f>V10*(1+'6. PEF1. PLAN COMERCIAL'!$F$28)</f>
        <v>7200</v>
      </c>
      <c r="AO10" s="26">
        <f>W10*(1+'6. PEF1. PLAN COMERCIAL'!$F$28)</f>
        <v>11520</v>
      </c>
      <c r="AP10" s="26">
        <f>X10*(1+'6. PEF1. PLAN COMERCIAL'!$F$28)</f>
        <v>14400</v>
      </c>
      <c r="AQ10" s="26">
        <f>Y10*(1+'6. PEF1. PLAN COMERCIAL'!$F$28)</f>
        <v>21600</v>
      </c>
      <c r="AR10" s="26">
        <f>Z10*(1+'6. PEF1. PLAN COMERCIAL'!$F$28)</f>
        <v>17280</v>
      </c>
      <c r="AS10" s="26">
        <f>AA10*(1+'6. PEF1. PLAN COMERCIAL'!$F$28)</f>
        <v>4320</v>
      </c>
      <c r="AU10" s="269" t="s">
        <v>51</v>
      </c>
      <c r="AV10" s="270"/>
      <c r="AW10" s="26">
        <f>AE10*(1+'6. PEF1. PLAN COMERCIAL'!$F$28)</f>
        <v>4320</v>
      </c>
      <c r="AX10" s="26">
        <f>AF10*(1+'6. PEF1. PLAN COMERCIAL'!$F$28)</f>
        <v>2880</v>
      </c>
      <c r="AY10" s="26">
        <f>AG10*(1+'6. PEF1. PLAN COMERCIAL'!$F$28)</f>
        <v>11520</v>
      </c>
      <c r="AZ10" s="26">
        <f>AH10*(1+'6. PEF1. PLAN COMERCIAL'!$F$28)</f>
        <v>7200</v>
      </c>
      <c r="BA10" s="26">
        <f>AI10*(1+'6. PEF1. PLAN COMERCIAL'!$F$28)</f>
        <v>17280</v>
      </c>
      <c r="BB10" s="26">
        <f>AJ10*(1+'6. PEF1. PLAN COMERCIAL'!$F$28)</f>
        <v>6480</v>
      </c>
      <c r="BD10" s="269" t="s">
        <v>51</v>
      </c>
      <c r="BE10" s="270"/>
      <c r="BF10" s="26">
        <f>SUM(D10:I10)+SUM(M10:R10)</f>
        <v>87500</v>
      </c>
      <c r="BG10" s="26">
        <f>SUM(V10:AA10)+SUM(AE10:AJ10)</f>
        <v>105000</v>
      </c>
      <c r="BH10" s="26">
        <f>SUM(AN10:AS10)+SUM(AW10:BB10)</f>
        <v>126000</v>
      </c>
      <c r="BI10" s="2"/>
      <c r="BJ10" s="2"/>
      <c r="BK10" s="2"/>
    </row>
    <row r="11" spans="2:63" s="5" customFormat="1" ht="12.75" customHeight="1">
      <c r="B11" s="265" t="s">
        <v>342</v>
      </c>
      <c r="C11" s="266"/>
      <c r="D11" s="26">
        <f>'6. PEF1. PLAN COMERCIAL'!D20</f>
        <v>1000</v>
      </c>
      <c r="E11" s="26">
        <f>'6. PEF1. PLAN COMERCIAL'!E20</f>
        <v>2000</v>
      </c>
      <c r="F11" s="26">
        <f>'6. PEF1. PLAN COMERCIAL'!F20</f>
        <v>4000</v>
      </c>
      <c r="G11" s="26">
        <f>'6. PEF1. PLAN COMERCIAL'!G20</f>
        <v>5000</v>
      </c>
      <c r="H11" s="26">
        <f>'6. PEF1. PLAN COMERCIAL'!H20</f>
        <v>4000</v>
      </c>
      <c r="I11" s="26">
        <f>'6. PEF1. PLAN COMERCIAL'!I20</f>
        <v>2000</v>
      </c>
      <c r="J11" s="3"/>
      <c r="K11" s="265" t="s">
        <v>316</v>
      </c>
      <c r="L11" s="266"/>
      <c r="M11" s="26">
        <f>'6. PEF1. PLAN COMERCIAL'!D22</f>
        <v>2000</v>
      </c>
      <c r="N11" s="26">
        <f>'6. PEF1. PLAN COMERCIAL'!E22</f>
        <v>500</v>
      </c>
      <c r="O11" s="26">
        <f>'6. PEF1. PLAN COMERCIAL'!F22</f>
        <v>2000</v>
      </c>
      <c r="P11" s="26">
        <f>'6. PEF1. PLAN COMERCIAL'!G22</f>
        <v>1500</v>
      </c>
      <c r="Q11" s="26">
        <f>'6. PEF1. PLAN COMERCIAL'!H22</f>
        <v>4000</v>
      </c>
      <c r="R11" s="26">
        <f>'6. PEF1. PLAN COMERCIAL'!I22</f>
        <v>1500</v>
      </c>
      <c r="T11" s="265" t="s">
        <v>316</v>
      </c>
      <c r="U11" s="266"/>
      <c r="V11" s="26">
        <f>D11*(1+'6. PEF1. PLAN COMERCIAL'!$F$29)</f>
        <v>1200</v>
      </c>
      <c r="W11" s="26">
        <f>E11*(1+'6. PEF1. PLAN COMERCIAL'!$F$29)</f>
        <v>2400</v>
      </c>
      <c r="X11" s="26">
        <f>F11*(1+'6. PEF1. PLAN COMERCIAL'!$F$29)</f>
        <v>4800</v>
      </c>
      <c r="Y11" s="26">
        <f>G11*(1+'6. PEF1. PLAN COMERCIAL'!$F$29)</f>
        <v>6000</v>
      </c>
      <c r="Z11" s="26">
        <f>H11*(1+'6. PEF1. PLAN COMERCIAL'!$F$29)</f>
        <v>4800</v>
      </c>
      <c r="AA11" s="26">
        <f>I11*(1+'6. PEF1. PLAN COMERCIAL'!$F$29)</f>
        <v>2400</v>
      </c>
      <c r="AB11" s="3"/>
      <c r="AC11" s="265" t="s">
        <v>316</v>
      </c>
      <c r="AD11" s="266"/>
      <c r="AE11" s="26">
        <f>M11*(1+'6. PEF1. PLAN COMERCIAL'!$F$29)</f>
        <v>2400</v>
      </c>
      <c r="AF11" s="26">
        <f>N11*(1+'6. PEF1. PLAN COMERCIAL'!$F$29)</f>
        <v>600</v>
      </c>
      <c r="AG11" s="26">
        <f>O11*(1+'6. PEF1. PLAN COMERCIAL'!$F$29)</f>
        <v>2400</v>
      </c>
      <c r="AH11" s="26">
        <f>P11*(1+'6. PEF1. PLAN COMERCIAL'!$F$29)</f>
        <v>1800</v>
      </c>
      <c r="AI11" s="26">
        <f>Q11*(1+'6. PEF1. PLAN COMERCIAL'!$F$29)</f>
        <v>4800</v>
      </c>
      <c r="AJ11" s="26">
        <f>R11*(1+'6. PEF1. PLAN COMERCIAL'!$F$29)</f>
        <v>1800</v>
      </c>
      <c r="AL11" s="265" t="s">
        <v>316</v>
      </c>
      <c r="AM11" s="266"/>
      <c r="AN11" s="26">
        <f>V11*(1+'6. PEF1. PLAN COMERCIAL'!$F$29)</f>
        <v>1440</v>
      </c>
      <c r="AO11" s="26">
        <f>W11*(1+'6. PEF1. PLAN COMERCIAL'!$F$29)</f>
        <v>2880</v>
      </c>
      <c r="AP11" s="26">
        <f>X11*(1+'6. PEF1. PLAN COMERCIAL'!$F$29)</f>
        <v>5760</v>
      </c>
      <c r="AQ11" s="26">
        <f>Y11*(1+'6. PEF1. PLAN COMERCIAL'!$F$29)</f>
        <v>7200</v>
      </c>
      <c r="AR11" s="26">
        <f>Z11*(1+'6. PEF1. PLAN COMERCIAL'!$F$29)</f>
        <v>5760</v>
      </c>
      <c r="AS11" s="26">
        <f>AA11*(1+'6. PEF1. PLAN COMERCIAL'!$F$29)</f>
        <v>2880</v>
      </c>
      <c r="AT11" s="3"/>
      <c r="AU11" s="265" t="s">
        <v>316</v>
      </c>
      <c r="AV11" s="266"/>
      <c r="AW11" s="26">
        <f>AE11*(1+'6. PEF1. PLAN COMERCIAL'!$F$29)</f>
        <v>2880</v>
      </c>
      <c r="AX11" s="26">
        <f>AF11*(1+'6. PEF1. PLAN COMERCIAL'!$F$29)</f>
        <v>720</v>
      </c>
      <c r="AY11" s="26">
        <f>AG11*(1+'6. PEF1. PLAN COMERCIAL'!$F$29)</f>
        <v>2880</v>
      </c>
      <c r="AZ11" s="26">
        <f>AH11*(1+'6. PEF1. PLAN COMERCIAL'!$F$29)</f>
        <v>2160</v>
      </c>
      <c r="BA11" s="26">
        <f>AI11*(1+'6. PEF1. PLAN COMERCIAL'!$F$29)</f>
        <v>5760</v>
      </c>
      <c r="BB11" s="26">
        <f>AJ11*(1+'6. PEF1. PLAN COMERCIAL'!$F$29)</f>
        <v>2160</v>
      </c>
      <c r="BC11" s="3"/>
      <c r="BD11" s="265" t="s">
        <v>316</v>
      </c>
      <c r="BE11" s="266"/>
      <c r="BF11" s="26">
        <f>SUM(D11:I11)+SUM(M11:R11)</f>
        <v>29500</v>
      </c>
      <c r="BG11" s="26">
        <f>SUM(V11:AA11)+SUM(AE11:AJ11)</f>
        <v>35400</v>
      </c>
      <c r="BH11" s="26">
        <f>SUM(AN11:AS11)+SUM(AW11:BB11)</f>
        <v>42480</v>
      </c>
      <c r="BI11" s="2"/>
      <c r="BJ11" s="2"/>
      <c r="BK11" s="2"/>
    </row>
    <row r="12" spans="2:63" s="5" customFormat="1" ht="12.75" customHeight="1">
      <c r="B12" s="265" t="s">
        <v>159</v>
      </c>
      <c r="C12" s="266"/>
      <c r="D12" s="34">
        <f>(('6. PEF5. VENTAS Y COSTES'!$F$15+'6. PEF5. VENTAS Y COSTES'!$F$16)/12)</f>
        <v>50</v>
      </c>
      <c r="E12" s="26">
        <f>(('6. PEF5. VENTAS Y COSTES'!$F$15+'6. PEF5. VENTAS Y COSTES'!$F$16)/12)</f>
        <v>50</v>
      </c>
      <c r="F12" s="26">
        <f>(('6. PEF5. VENTAS Y COSTES'!$F$15+'6. PEF5. VENTAS Y COSTES'!$F$16)/12)</f>
        <v>50</v>
      </c>
      <c r="G12" s="26">
        <f>(('6. PEF5. VENTAS Y COSTES'!$F$15+'6. PEF5. VENTAS Y COSTES'!$F$16)/12)</f>
        <v>50</v>
      </c>
      <c r="H12" s="26">
        <f>(('6. PEF5. VENTAS Y COSTES'!$F$15+'6. PEF5. VENTAS Y COSTES'!$F$16)/12)</f>
        <v>50</v>
      </c>
      <c r="I12" s="26">
        <f>(('6. PEF5. VENTAS Y COSTES'!$F$15+'6. PEF5. VENTAS Y COSTES'!$F$16)/12)</f>
        <v>50</v>
      </c>
      <c r="J12" s="3"/>
      <c r="K12" s="265" t="s">
        <v>159</v>
      </c>
      <c r="L12" s="266"/>
      <c r="M12" s="26">
        <f>(('6. PEF5. VENTAS Y COSTES'!$F$15+'6. PEF5. VENTAS Y COSTES'!$F$16)/12)</f>
        <v>50</v>
      </c>
      <c r="N12" s="26">
        <f>(('6. PEF5. VENTAS Y COSTES'!$F$15+'6. PEF5. VENTAS Y COSTES'!$F$16)/12)</f>
        <v>50</v>
      </c>
      <c r="O12" s="26">
        <f>(('6. PEF5. VENTAS Y COSTES'!$F$15+'6. PEF5. VENTAS Y COSTES'!$F$16)/12)</f>
        <v>50</v>
      </c>
      <c r="P12" s="26">
        <f>(('6. PEF5. VENTAS Y COSTES'!$F$15+'6. PEF5. VENTAS Y COSTES'!$F$16)/12)</f>
        <v>50</v>
      </c>
      <c r="Q12" s="26">
        <f>(('6. PEF5. VENTAS Y COSTES'!$F$15+'6. PEF5. VENTAS Y COSTES'!$F$16)/12)</f>
        <v>50</v>
      </c>
      <c r="R12" s="26">
        <f>(('6. PEF5. VENTAS Y COSTES'!$F$15+'6. PEF5. VENTAS Y COSTES'!$F$16)/12)</f>
        <v>50</v>
      </c>
      <c r="T12" s="265" t="s">
        <v>159</v>
      </c>
      <c r="U12" s="266"/>
      <c r="V12" s="34">
        <f>(('6. PEF5. VENTAS Y COSTES'!$G$15+'6. PEF5. VENTAS Y COSTES'!$G$16)/12)</f>
        <v>60</v>
      </c>
      <c r="W12" s="34">
        <f>(('6. PEF5. VENTAS Y COSTES'!$G$15+'6. PEF5. VENTAS Y COSTES'!$G$16)/12)</f>
        <v>60</v>
      </c>
      <c r="X12" s="34">
        <f>(('6. PEF5. VENTAS Y COSTES'!$G$15+'6. PEF5. VENTAS Y COSTES'!$G$16)/12)</f>
        <v>60</v>
      </c>
      <c r="Y12" s="34">
        <f>(('6. PEF5. VENTAS Y COSTES'!$G$15+'6. PEF5. VENTAS Y COSTES'!$G$16)/12)</f>
        <v>60</v>
      </c>
      <c r="Z12" s="34">
        <f>(('6. PEF5. VENTAS Y COSTES'!$G$15+'6. PEF5. VENTAS Y COSTES'!$G$16)/12)</f>
        <v>60</v>
      </c>
      <c r="AA12" s="34">
        <f>(('6. PEF5. VENTAS Y COSTES'!$G$15+'6. PEF5. VENTAS Y COSTES'!$G$16)/12)</f>
        <v>60</v>
      </c>
      <c r="AB12" s="3"/>
      <c r="AC12" s="265" t="s">
        <v>159</v>
      </c>
      <c r="AD12" s="266"/>
      <c r="AE12" s="34">
        <f>(('6. PEF5. VENTAS Y COSTES'!$G$15+'6. PEF5. VENTAS Y COSTES'!$G$16)/12)</f>
        <v>60</v>
      </c>
      <c r="AF12" s="34">
        <f>(('6. PEF5. VENTAS Y COSTES'!$G$15+'6. PEF5. VENTAS Y COSTES'!$G$16)/12)</f>
        <v>60</v>
      </c>
      <c r="AG12" s="34">
        <f>(('6. PEF5. VENTAS Y COSTES'!$G$15+'6. PEF5. VENTAS Y COSTES'!$G$16)/12)</f>
        <v>60</v>
      </c>
      <c r="AH12" s="34">
        <f>(('6. PEF5. VENTAS Y COSTES'!$G$15+'6. PEF5. VENTAS Y COSTES'!$G$16)/12)</f>
        <v>60</v>
      </c>
      <c r="AI12" s="34">
        <f>(('6. PEF5. VENTAS Y COSTES'!$G$15+'6. PEF5. VENTAS Y COSTES'!$G$16)/12)</f>
        <v>60</v>
      </c>
      <c r="AJ12" s="34">
        <f>(('6. PEF5. VENTAS Y COSTES'!$G$15+'6. PEF5. VENTAS Y COSTES'!$G$16)/12)</f>
        <v>60</v>
      </c>
      <c r="AL12" s="265" t="s">
        <v>159</v>
      </c>
      <c r="AM12" s="266"/>
      <c r="AN12" s="34">
        <f>(('6. PEF5. VENTAS Y COSTES'!$H$15+'6. PEF5. VENTAS Y COSTES'!$H$16)/12)</f>
        <v>72</v>
      </c>
      <c r="AO12" s="34">
        <f>(('6. PEF5. VENTAS Y COSTES'!$H$15+'6. PEF5. VENTAS Y COSTES'!$H$16)/12)</f>
        <v>72</v>
      </c>
      <c r="AP12" s="34">
        <f>(('6. PEF5. VENTAS Y COSTES'!$H$15+'6. PEF5. VENTAS Y COSTES'!$H$16)/12)</f>
        <v>72</v>
      </c>
      <c r="AQ12" s="34">
        <f>(('6. PEF5. VENTAS Y COSTES'!$H$15+'6. PEF5. VENTAS Y COSTES'!$H$16)/12)</f>
        <v>72</v>
      </c>
      <c r="AR12" s="34">
        <f>(('6. PEF5. VENTAS Y COSTES'!$H$15+'6. PEF5. VENTAS Y COSTES'!$H$16)/12)</f>
        <v>72</v>
      </c>
      <c r="AS12" s="34">
        <f>(('6. PEF5. VENTAS Y COSTES'!$H$15+'6. PEF5. VENTAS Y COSTES'!$H$16)/12)</f>
        <v>72</v>
      </c>
      <c r="AT12" s="3"/>
      <c r="AU12" s="265" t="s">
        <v>159</v>
      </c>
      <c r="AV12" s="266"/>
      <c r="AW12" s="34">
        <f>(('6. PEF5. VENTAS Y COSTES'!$H$15+'6. PEF5. VENTAS Y COSTES'!$H$16)/12)</f>
        <v>72</v>
      </c>
      <c r="AX12" s="34">
        <f>(('6. PEF5. VENTAS Y COSTES'!$H$15+'6. PEF5. VENTAS Y COSTES'!$H$16)/12)</f>
        <v>72</v>
      </c>
      <c r="AY12" s="34">
        <f>(('6. PEF5. VENTAS Y COSTES'!$H$15+'6. PEF5. VENTAS Y COSTES'!$H$16)/12)</f>
        <v>72</v>
      </c>
      <c r="AZ12" s="34">
        <f>(('6. PEF5. VENTAS Y COSTES'!$H$15+'6. PEF5. VENTAS Y COSTES'!$H$16)/12)</f>
        <v>72</v>
      </c>
      <c r="BA12" s="34">
        <f>(('6. PEF5. VENTAS Y COSTES'!$H$15+'6. PEF5. VENTAS Y COSTES'!$H$16)/12)</f>
        <v>72</v>
      </c>
      <c r="BB12" s="34">
        <f>(('6. PEF5. VENTAS Y COSTES'!$H$15+'6. PEF5. VENTAS Y COSTES'!$H$16)/12)</f>
        <v>72</v>
      </c>
      <c r="BC12" s="3"/>
      <c r="BD12" s="265" t="s">
        <v>159</v>
      </c>
      <c r="BE12" s="266"/>
      <c r="BF12" s="26">
        <f>SUM(D12:I12)+SUM(M12:R12)</f>
        <v>600</v>
      </c>
      <c r="BG12" s="26">
        <f>SUM(V12:AA12)+SUM(AE12:AJ12)</f>
        <v>720</v>
      </c>
      <c r="BH12" s="26">
        <f>SUM(AN12:AS12)+SUM(AW12:BB12)</f>
        <v>864</v>
      </c>
      <c r="BI12" s="2"/>
      <c r="BJ12" s="2"/>
      <c r="BK12" s="2"/>
    </row>
    <row r="13" spans="2:63" s="5" customFormat="1" ht="12.75" customHeight="1">
      <c r="B13" s="263" t="s">
        <v>343</v>
      </c>
      <c r="C13" s="264"/>
      <c r="D13" s="34">
        <f t="shared" ref="D13:I13" si="0">D10-D11-D12</f>
        <v>3950</v>
      </c>
      <c r="E13" s="34">
        <f t="shared" si="0"/>
        <v>5950</v>
      </c>
      <c r="F13" s="34">
        <f t="shared" si="0"/>
        <v>5950</v>
      </c>
      <c r="G13" s="34">
        <f t="shared" si="0"/>
        <v>9950</v>
      </c>
      <c r="H13" s="34">
        <f t="shared" si="0"/>
        <v>7950</v>
      </c>
      <c r="I13" s="34">
        <f t="shared" si="0"/>
        <v>950</v>
      </c>
      <c r="J13" s="3"/>
      <c r="K13" s="263" t="s">
        <v>343</v>
      </c>
      <c r="L13" s="264"/>
      <c r="M13" s="34">
        <f t="shared" ref="M13:R13" si="1">M10-M11-M12</f>
        <v>950</v>
      </c>
      <c r="N13" s="34">
        <f t="shared" si="1"/>
        <v>1450</v>
      </c>
      <c r="O13" s="34">
        <f t="shared" si="1"/>
        <v>5950</v>
      </c>
      <c r="P13" s="34">
        <f t="shared" si="1"/>
        <v>3450</v>
      </c>
      <c r="Q13" s="34">
        <f t="shared" si="1"/>
        <v>7950</v>
      </c>
      <c r="R13" s="34">
        <f t="shared" si="1"/>
        <v>2950</v>
      </c>
      <c r="T13" s="263" t="s">
        <v>343</v>
      </c>
      <c r="U13" s="264"/>
      <c r="V13" s="34">
        <f t="shared" ref="V13:AA13" si="2">V10-V11-V12</f>
        <v>4740</v>
      </c>
      <c r="W13" s="34">
        <f t="shared" si="2"/>
        <v>7140</v>
      </c>
      <c r="X13" s="34">
        <f t="shared" si="2"/>
        <v>7140</v>
      </c>
      <c r="Y13" s="34">
        <f t="shared" si="2"/>
        <v>11940</v>
      </c>
      <c r="Z13" s="34">
        <f t="shared" si="2"/>
        <v>9540</v>
      </c>
      <c r="AA13" s="34">
        <f t="shared" si="2"/>
        <v>1140</v>
      </c>
      <c r="AB13" s="3"/>
      <c r="AC13" s="263" t="s">
        <v>343</v>
      </c>
      <c r="AD13" s="264"/>
      <c r="AE13" s="34">
        <f t="shared" ref="AE13:AJ13" si="3">AE10-AE11-AE12</f>
        <v>1140</v>
      </c>
      <c r="AF13" s="34">
        <f t="shared" si="3"/>
        <v>1740</v>
      </c>
      <c r="AG13" s="34">
        <f t="shared" si="3"/>
        <v>7140</v>
      </c>
      <c r="AH13" s="34">
        <f t="shared" si="3"/>
        <v>4140</v>
      </c>
      <c r="AI13" s="34">
        <f t="shared" si="3"/>
        <v>9540</v>
      </c>
      <c r="AJ13" s="34">
        <f t="shared" si="3"/>
        <v>3540</v>
      </c>
      <c r="AL13" s="263" t="s">
        <v>343</v>
      </c>
      <c r="AM13" s="264"/>
      <c r="AN13" s="34">
        <f t="shared" ref="AN13:AS13" si="4">AN10-AN11-AN12</f>
        <v>5688</v>
      </c>
      <c r="AO13" s="34">
        <f t="shared" si="4"/>
        <v>8568</v>
      </c>
      <c r="AP13" s="34">
        <f t="shared" si="4"/>
        <v>8568</v>
      </c>
      <c r="AQ13" s="34">
        <f t="shared" si="4"/>
        <v>14328</v>
      </c>
      <c r="AR13" s="34">
        <f t="shared" si="4"/>
        <v>11448</v>
      </c>
      <c r="AS13" s="34">
        <f t="shared" si="4"/>
        <v>1368</v>
      </c>
      <c r="AT13" s="3"/>
      <c r="AU13" s="263" t="s">
        <v>343</v>
      </c>
      <c r="AV13" s="264"/>
      <c r="AW13" s="34">
        <f t="shared" ref="AW13:BB13" si="5">AW10-AW11-AW12</f>
        <v>1368</v>
      </c>
      <c r="AX13" s="34">
        <f t="shared" si="5"/>
        <v>2088</v>
      </c>
      <c r="AY13" s="34">
        <f t="shared" si="5"/>
        <v>8568</v>
      </c>
      <c r="AZ13" s="34">
        <f t="shared" si="5"/>
        <v>4968</v>
      </c>
      <c r="BA13" s="34">
        <f t="shared" si="5"/>
        <v>11448</v>
      </c>
      <c r="BB13" s="34">
        <f t="shared" si="5"/>
        <v>4248</v>
      </c>
      <c r="BC13" s="3"/>
      <c r="BD13" s="263" t="s">
        <v>343</v>
      </c>
      <c r="BE13" s="264"/>
      <c r="BF13" s="139">
        <f>BF10-BF11-BF12</f>
        <v>57400</v>
      </c>
      <c r="BG13" s="139">
        <f>BG10-BG11-BG12</f>
        <v>68880</v>
      </c>
      <c r="BH13" s="139">
        <f>BH10-BH11-BH12</f>
        <v>82656</v>
      </c>
      <c r="BI13" s="2"/>
      <c r="BJ13" s="2"/>
      <c r="BK13" s="2"/>
    </row>
    <row r="14" spans="2:63" s="5" customFormat="1" ht="25.5" customHeight="1">
      <c r="B14" s="267" t="s">
        <v>346</v>
      </c>
      <c r="C14" s="268"/>
      <c r="D14" s="34">
        <f>'6. PEF5. VENTAS Y COSTES'!$F$28/12</f>
        <v>1666.6666666666667</v>
      </c>
      <c r="E14" s="34">
        <f>'6. PEF5. VENTAS Y COSTES'!$F$28/12</f>
        <v>1666.6666666666667</v>
      </c>
      <c r="F14" s="34">
        <f>'6. PEF5. VENTAS Y COSTES'!$F$28/12</f>
        <v>1666.6666666666667</v>
      </c>
      <c r="G14" s="34">
        <f>'6. PEF5. VENTAS Y COSTES'!$F$28/12</f>
        <v>1666.6666666666667</v>
      </c>
      <c r="H14" s="34">
        <f>'6. PEF5. VENTAS Y COSTES'!$F$28/12</f>
        <v>1666.6666666666667</v>
      </c>
      <c r="I14" s="34">
        <f>'6. PEF5. VENTAS Y COSTES'!$F$28/12</f>
        <v>1666.6666666666667</v>
      </c>
      <c r="J14" s="3"/>
      <c r="K14" s="267" t="s">
        <v>346</v>
      </c>
      <c r="L14" s="268"/>
      <c r="M14" s="34">
        <f>'6. PEF5. VENTAS Y COSTES'!$F$28/12</f>
        <v>1666.6666666666667</v>
      </c>
      <c r="N14" s="34">
        <f>'6. PEF5. VENTAS Y COSTES'!$F$28/12</f>
        <v>1666.6666666666667</v>
      </c>
      <c r="O14" s="34">
        <f>'6. PEF5. VENTAS Y COSTES'!$F$28/12</f>
        <v>1666.6666666666667</v>
      </c>
      <c r="P14" s="34">
        <f>'6. PEF5. VENTAS Y COSTES'!$F$28/12</f>
        <v>1666.6666666666667</v>
      </c>
      <c r="Q14" s="34">
        <f>'6. PEF5. VENTAS Y COSTES'!$F$28/12</f>
        <v>1666.6666666666667</v>
      </c>
      <c r="R14" s="34">
        <f>'6. PEF5. VENTAS Y COSTES'!$F$28/12</f>
        <v>1666.6666666666667</v>
      </c>
      <c r="T14" s="267" t="s">
        <v>346</v>
      </c>
      <c r="U14" s="268"/>
      <c r="V14" s="34">
        <f>'6. PEF5. VENTAS Y COSTES'!$G$28/12</f>
        <v>2000</v>
      </c>
      <c r="W14" s="34">
        <f>'6. PEF5. VENTAS Y COSTES'!$G$28/12</f>
        <v>2000</v>
      </c>
      <c r="X14" s="34">
        <f>'6. PEF5. VENTAS Y COSTES'!$G$28/12</f>
        <v>2000</v>
      </c>
      <c r="Y14" s="34">
        <f>'6. PEF5. VENTAS Y COSTES'!$G$28/12</f>
        <v>2000</v>
      </c>
      <c r="Z14" s="34">
        <f>'6. PEF5. VENTAS Y COSTES'!$G$28/12</f>
        <v>2000</v>
      </c>
      <c r="AA14" s="34">
        <f>'6. PEF5. VENTAS Y COSTES'!$G$28/12</f>
        <v>2000</v>
      </c>
      <c r="AB14" s="3"/>
      <c r="AC14" s="267" t="s">
        <v>346</v>
      </c>
      <c r="AD14" s="268"/>
      <c r="AE14" s="34">
        <f>'6. PEF5. VENTAS Y COSTES'!$G$28/12</f>
        <v>2000</v>
      </c>
      <c r="AF14" s="34">
        <f>'6. PEF5. VENTAS Y COSTES'!$G$28/12</f>
        <v>2000</v>
      </c>
      <c r="AG14" s="34">
        <f>'6. PEF5. VENTAS Y COSTES'!$G$28/12</f>
        <v>2000</v>
      </c>
      <c r="AH14" s="34">
        <f>'6. PEF5. VENTAS Y COSTES'!$G$28/12</f>
        <v>2000</v>
      </c>
      <c r="AI14" s="34">
        <f>'6. PEF5. VENTAS Y COSTES'!$G$28/12</f>
        <v>2000</v>
      </c>
      <c r="AJ14" s="34">
        <f>'6. PEF5. VENTAS Y COSTES'!$G$28/12</f>
        <v>2000</v>
      </c>
      <c r="AL14" s="267" t="s">
        <v>346</v>
      </c>
      <c r="AM14" s="268"/>
      <c r="AN14" s="34">
        <f>'6. PEF5. VENTAS Y COSTES'!$H$28/12</f>
        <v>2400</v>
      </c>
      <c r="AO14" s="34">
        <f>'6. PEF5. VENTAS Y COSTES'!$H$28/12</f>
        <v>2400</v>
      </c>
      <c r="AP14" s="34">
        <f>'6. PEF5. VENTAS Y COSTES'!$H$28/12</f>
        <v>2400</v>
      </c>
      <c r="AQ14" s="34">
        <f>'6. PEF5. VENTAS Y COSTES'!$H$28/12</f>
        <v>2400</v>
      </c>
      <c r="AR14" s="34">
        <f>'6. PEF5. VENTAS Y COSTES'!$H$28/12</f>
        <v>2400</v>
      </c>
      <c r="AS14" s="34">
        <f>'6. PEF5. VENTAS Y COSTES'!$H$28/12</f>
        <v>2400</v>
      </c>
      <c r="AT14" s="3"/>
      <c r="AU14" s="267" t="s">
        <v>346</v>
      </c>
      <c r="AV14" s="268"/>
      <c r="AW14" s="34">
        <f>'6. PEF5. VENTAS Y COSTES'!$H$28/12</f>
        <v>2400</v>
      </c>
      <c r="AX14" s="34">
        <f>'6. PEF5. VENTAS Y COSTES'!$H$28/12</f>
        <v>2400</v>
      </c>
      <c r="AY14" s="34">
        <f>'6. PEF5. VENTAS Y COSTES'!$H$28/12</f>
        <v>2400</v>
      </c>
      <c r="AZ14" s="34">
        <f>'6. PEF5. VENTAS Y COSTES'!$H$28/12</f>
        <v>2400</v>
      </c>
      <c r="BA14" s="34">
        <f>'6. PEF5. VENTAS Y COSTES'!$H$28/12</f>
        <v>2400</v>
      </c>
      <c r="BB14" s="34">
        <f>'6. PEF5. VENTAS Y COSTES'!$H$28/12</f>
        <v>2400</v>
      </c>
      <c r="BC14" s="3"/>
      <c r="BD14" s="267" t="s">
        <v>346</v>
      </c>
      <c r="BE14" s="268"/>
      <c r="BF14" s="24">
        <f>SUM(D14:I14)+SUM(M14:R14)</f>
        <v>20000</v>
      </c>
      <c r="BG14" s="24">
        <f>SUM(V14:AA14)+SUM(AE14:AJ14)</f>
        <v>24000</v>
      </c>
      <c r="BH14" s="24">
        <f>SUM(AN14:AS14)+SUM(AW14:BB14)</f>
        <v>28800</v>
      </c>
      <c r="BI14" s="2"/>
      <c r="BJ14" s="2"/>
      <c r="BK14" s="2"/>
    </row>
    <row r="15" spans="2:63" s="5" customFormat="1" ht="12.75" customHeight="1">
      <c r="B15" s="269" t="s">
        <v>163</v>
      </c>
      <c r="C15" s="270"/>
      <c r="D15" s="34">
        <f>'6. PEF5. VENTAS Y COSTES'!$F$21/12</f>
        <v>458.33333333333331</v>
      </c>
      <c r="E15" s="34">
        <f>'6. PEF5. VENTAS Y COSTES'!$F$21/12</f>
        <v>458.33333333333331</v>
      </c>
      <c r="F15" s="34">
        <f>'6. PEF5. VENTAS Y COSTES'!$F$21/12</f>
        <v>458.33333333333331</v>
      </c>
      <c r="G15" s="34">
        <f>'6. PEF5. VENTAS Y COSTES'!$F$21/12</f>
        <v>458.33333333333331</v>
      </c>
      <c r="H15" s="34">
        <f>'6. PEF5. VENTAS Y COSTES'!$F$21/12</f>
        <v>458.33333333333331</v>
      </c>
      <c r="I15" s="34">
        <f>'6. PEF5. VENTAS Y COSTES'!$F$21/12</f>
        <v>458.33333333333331</v>
      </c>
      <c r="J15" s="3"/>
      <c r="K15" s="269" t="s">
        <v>163</v>
      </c>
      <c r="L15" s="270"/>
      <c r="M15" s="34">
        <f>'6. PEF5. VENTAS Y COSTES'!$F$21/12</f>
        <v>458.33333333333331</v>
      </c>
      <c r="N15" s="34">
        <f>'6. PEF5. VENTAS Y COSTES'!$F$21/12</f>
        <v>458.33333333333331</v>
      </c>
      <c r="O15" s="34">
        <f>'6. PEF5. VENTAS Y COSTES'!$F$21/12</f>
        <v>458.33333333333331</v>
      </c>
      <c r="P15" s="34">
        <f>'6. PEF5. VENTAS Y COSTES'!$F$21/12</f>
        <v>458.33333333333331</v>
      </c>
      <c r="Q15" s="34">
        <f>'6. PEF5. VENTAS Y COSTES'!$F$21/12</f>
        <v>458.33333333333331</v>
      </c>
      <c r="R15" s="34">
        <f>'6. PEF5. VENTAS Y COSTES'!$F$21/12</f>
        <v>458.33333333333331</v>
      </c>
      <c r="T15" s="269" t="s">
        <v>163</v>
      </c>
      <c r="U15" s="270"/>
      <c r="V15" s="34">
        <f>'6. PEF5. VENTAS Y COSTES'!$G$21/12</f>
        <v>550</v>
      </c>
      <c r="W15" s="34">
        <f>'6. PEF5. VENTAS Y COSTES'!$G$21/12</f>
        <v>550</v>
      </c>
      <c r="X15" s="34">
        <f>'6. PEF5. VENTAS Y COSTES'!$G$21/12</f>
        <v>550</v>
      </c>
      <c r="Y15" s="34">
        <f>'6. PEF5. VENTAS Y COSTES'!$G$21/12</f>
        <v>550</v>
      </c>
      <c r="Z15" s="34">
        <f>'6. PEF5. VENTAS Y COSTES'!$G$21/12</f>
        <v>550</v>
      </c>
      <c r="AA15" s="34">
        <f>'6. PEF5. VENTAS Y COSTES'!$G$21/12</f>
        <v>550</v>
      </c>
      <c r="AB15" s="3"/>
      <c r="AC15" s="269" t="s">
        <v>163</v>
      </c>
      <c r="AD15" s="270"/>
      <c r="AE15" s="34">
        <f>'6. PEF5. VENTAS Y COSTES'!$G$21/12</f>
        <v>550</v>
      </c>
      <c r="AF15" s="34">
        <f>'6. PEF5. VENTAS Y COSTES'!$G$21/12</f>
        <v>550</v>
      </c>
      <c r="AG15" s="34">
        <f>'6. PEF5. VENTAS Y COSTES'!$G$21/12</f>
        <v>550</v>
      </c>
      <c r="AH15" s="34">
        <f>'6. PEF5. VENTAS Y COSTES'!$G$21/12</f>
        <v>550</v>
      </c>
      <c r="AI15" s="34">
        <f>'6. PEF5. VENTAS Y COSTES'!$G$21/12</f>
        <v>550</v>
      </c>
      <c r="AJ15" s="34">
        <f>'6. PEF5. VENTAS Y COSTES'!$G$21/12</f>
        <v>550</v>
      </c>
      <c r="AL15" s="269" t="s">
        <v>163</v>
      </c>
      <c r="AM15" s="270"/>
      <c r="AN15" s="34">
        <f>'6. PEF5. VENTAS Y COSTES'!$H$21/12</f>
        <v>660</v>
      </c>
      <c r="AO15" s="34">
        <f>'6. PEF5. VENTAS Y COSTES'!$H$21/12</f>
        <v>660</v>
      </c>
      <c r="AP15" s="34">
        <f>'6. PEF5. VENTAS Y COSTES'!$H$21/12</f>
        <v>660</v>
      </c>
      <c r="AQ15" s="34">
        <f>'6. PEF5. VENTAS Y COSTES'!$H$21/12</f>
        <v>660</v>
      </c>
      <c r="AR15" s="34">
        <f>'6. PEF5. VENTAS Y COSTES'!$H$21/12</f>
        <v>660</v>
      </c>
      <c r="AS15" s="34">
        <f>'6. PEF5. VENTAS Y COSTES'!$H$21/12</f>
        <v>660</v>
      </c>
      <c r="AT15" s="3"/>
      <c r="AU15" s="269" t="s">
        <v>163</v>
      </c>
      <c r="AV15" s="270"/>
      <c r="AW15" s="34">
        <f>'6. PEF5. VENTAS Y COSTES'!$H$21/12</f>
        <v>660</v>
      </c>
      <c r="AX15" s="34">
        <f>'6. PEF5. VENTAS Y COSTES'!$H$21/12</f>
        <v>660</v>
      </c>
      <c r="AY15" s="34">
        <f>'6. PEF5. VENTAS Y COSTES'!$H$21/12</f>
        <v>660</v>
      </c>
      <c r="AZ15" s="34">
        <f>'6. PEF5. VENTAS Y COSTES'!$H$21/12</f>
        <v>660</v>
      </c>
      <c r="BA15" s="34">
        <f>'6. PEF5. VENTAS Y COSTES'!$H$21/12</f>
        <v>660</v>
      </c>
      <c r="BB15" s="34">
        <f>'6. PEF5. VENTAS Y COSTES'!$H$21/12</f>
        <v>660</v>
      </c>
      <c r="BC15" s="3"/>
      <c r="BD15" s="269" t="s">
        <v>163</v>
      </c>
      <c r="BE15" s="270"/>
      <c r="BF15" s="26">
        <f>SUM(D15:I15)+SUM(M15:R15)</f>
        <v>5500</v>
      </c>
      <c r="BG15" s="26">
        <f>SUM(V15:AA15)+SUM(AE15:AJ15)</f>
        <v>6600</v>
      </c>
      <c r="BH15" s="26">
        <f>SUM(AN15:AS15)+SUM(AW15:BB15)</f>
        <v>7920</v>
      </c>
      <c r="BI15" s="2"/>
      <c r="BJ15" s="2"/>
      <c r="BK15" s="2"/>
    </row>
    <row r="16" spans="2:63" s="5" customFormat="1" ht="12.75" customHeight="1">
      <c r="B16" s="269" t="s">
        <v>164</v>
      </c>
      <c r="C16" s="270"/>
      <c r="D16" s="34">
        <f>'6. PEF5. VENTAS Y COSTES'!$F$22/12</f>
        <v>50</v>
      </c>
      <c r="E16" s="34">
        <f>'6. PEF5. VENTAS Y COSTES'!$F$22/12</f>
        <v>50</v>
      </c>
      <c r="F16" s="34">
        <f>'6. PEF5. VENTAS Y COSTES'!$F$22/12</f>
        <v>50</v>
      </c>
      <c r="G16" s="34">
        <f>'6. PEF5. VENTAS Y COSTES'!$F$22/12</f>
        <v>50</v>
      </c>
      <c r="H16" s="34">
        <f>'6. PEF5. VENTAS Y COSTES'!$F$22/12</f>
        <v>50</v>
      </c>
      <c r="I16" s="34">
        <f>'6. PEF5. VENTAS Y COSTES'!$F$22/12</f>
        <v>50</v>
      </c>
      <c r="J16" s="3"/>
      <c r="K16" s="269" t="s">
        <v>164</v>
      </c>
      <c r="L16" s="270"/>
      <c r="M16" s="34">
        <f>'6. PEF5. VENTAS Y COSTES'!$F$22/12</f>
        <v>50</v>
      </c>
      <c r="N16" s="34">
        <f>'6. PEF5. VENTAS Y COSTES'!$F$22/12</f>
        <v>50</v>
      </c>
      <c r="O16" s="34">
        <f>'6. PEF5. VENTAS Y COSTES'!$F$22/12</f>
        <v>50</v>
      </c>
      <c r="P16" s="34">
        <f>'6. PEF5. VENTAS Y COSTES'!$F$22/12</f>
        <v>50</v>
      </c>
      <c r="Q16" s="34">
        <f>'6. PEF5. VENTAS Y COSTES'!$F$22/12</f>
        <v>50</v>
      </c>
      <c r="R16" s="34">
        <f>'6. PEF5. VENTAS Y COSTES'!$F$22/12</f>
        <v>50</v>
      </c>
      <c r="T16" s="269" t="s">
        <v>164</v>
      </c>
      <c r="U16" s="270"/>
      <c r="V16" s="34">
        <f>'6. PEF5. VENTAS Y COSTES'!$G$22/12</f>
        <v>60</v>
      </c>
      <c r="W16" s="34">
        <f>'6. PEF5. VENTAS Y COSTES'!$G$22/12</f>
        <v>60</v>
      </c>
      <c r="X16" s="34">
        <f>'6. PEF5. VENTAS Y COSTES'!$G$22/12</f>
        <v>60</v>
      </c>
      <c r="Y16" s="34">
        <f>'6. PEF5. VENTAS Y COSTES'!$G$22/12</f>
        <v>60</v>
      </c>
      <c r="Z16" s="34">
        <f>'6. PEF5. VENTAS Y COSTES'!$G$22/12</f>
        <v>60</v>
      </c>
      <c r="AA16" s="34">
        <f>'6. PEF5. VENTAS Y COSTES'!$G$22/12</f>
        <v>60</v>
      </c>
      <c r="AB16" s="3"/>
      <c r="AC16" s="269" t="s">
        <v>164</v>
      </c>
      <c r="AD16" s="270"/>
      <c r="AE16" s="34">
        <f>'6. PEF5. VENTAS Y COSTES'!$G$22/12</f>
        <v>60</v>
      </c>
      <c r="AF16" s="34">
        <f>'6. PEF5. VENTAS Y COSTES'!$G$22/12</f>
        <v>60</v>
      </c>
      <c r="AG16" s="34">
        <f>'6. PEF5. VENTAS Y COSTES'!$G$22/12</f>
        <v>60</v>
      </c>
      <c r="AH16" s="34">
        <f>'6. PEF5. VENTAS Y COSTES'!$G$22/12</f>
        <v>60</v>
      </c>
      <c r="AI16" s="34">
        <f>'6. PEF5. VENTAS Y COSTES'!$G$22/12</f>
        <v>60</v>
      </c>
      <c r="AJ16" s="34">
        <f>'6. PEF5. VENTAS Y COSTES'!$G$22/12</f>
        <v>60</v>
      </c>
      <c r="AL16" s="269" t="s">
        <v>164</v>
      </c>
      <c r="AM16" s="270"/>
      <c r="AN16" s="34">
        <f>'6. PEF5. VENTAS Y COSTES'!$H$22/12</f>
        <v>72</v>
      </c>
      <c r="AO16" s="34">
        <f>'6. PEF5. VENTAS Y COSTES'!$H$22/12</f>
        <v>72</v>
      </c>
      <c r="AP16" s="34">
        <f>'6. PEF5. VENTAS Y COSTES'!$H$22/12</f>
        <v>72</v>
      </c>
      <c r="AQ16" s="34">
        <f>'6. PEF5. VENTAS Y COSTES'!$H$22/12</f>
        <v>72</v>
      </c>
      <c r="AR16" s="34">
        <f>'6. PEF5. VENTAS Y COSTES'!$H$22/12</f>
        <v>72</v>
      </c>
      <c r="AS16" s="34">
        <f>'6. PEF5. VENTAS Y COSTES'!$H$22/12</f>
        <v>72</v>
      </c>
      <c r="AT16" s="3"/>
      <c r="AU16" s="269" t="s">
        <v>164</v>
      </c>
      <c r="AV16" s="270"/>
      <c r="AW16" s="34">
        <f>'6. PEF5. VENTAS Y COSTES'!$H$22/12</f>
        <v>72</v>
      </c>
      <c r="AX16" s="34">
        <f>'6. PEF5. VENTAS Y COSTES'!$H$22/12</f>
        <v>72</v>
      </c>
      <c r="AY16" s="34">
        <f>'6. PEF5. VENTAS Y COSTES'!$H$22/12</f>
        <v>72</v>
      </c>
      <c r="AZ16" s="34">
        <f>'6. PEF5. VENTAS Y COSTES'!$H$22/12</f>
        <v>72</v>
      </c>
      <c r="BA16" s="34">
        <f>'6. PEF5. VENTAS Y COSTES'!$H$22/12</f>
        <v>72</v>
      </c>
      <c r="BB16" s="34">
        <f>'6. PEF5. VENTAS Y COSTES'!$H$22/12</f>
        <v>72</v>
      </c>
      <c r="BC16" s="3"/>
      <c r="BD16" s="269" t="s">
        <v>164</v>
      </c>
      <c r="BE16" s="270"/>
      <c r="BF16" s="26">
        <f t="shared" ref="BF16:BF22" si="6">SUM(D16:I16)+SUM(M16:R16)</f>
        <v>600</v>
      </c>
      <c r="BG16" s="26">
        <f t="shared" ref="BG16:BG22" si="7">SUM(V16:AA16)+SUM(AE16:AJ16)</f>
        <v>720</v>
      </c>
      <c r="BH16" s="26">
        <f t="shared" ref="BH16:BH22" si="8">SUM(AN16:AS16)+SUM(AW16:BB16)</f>
        <v>864</v>
      </c>
      <c r="BI16" s="2"/>
      <c r="BJ16" s="2"/>
      <c r="BK16" s="2"/>
    </row>
    <row r="17" spans="2:63" s="5" customFormat="1" ht="12.75" customHeight="1">
      <c r="B17" s="269" t="s">
        <v>165</v>
      </c>
      <c r="C17" s="270"/>
      <c r="D17" s="34">
        <f>'6. PEF5. VENTAS Y COSTES'!$F$23/12</f>
        <v>41.666666666666664</v>
      </c>
      <c r="E17" s="34">
        <f>'6. PEF5. VENTAS Y COSTES'!$F$23/12</f>
        <v>41.666666666666664</v>
      </c>
      <c r="F17" s="34">
        <f>'6. PEF5. VENTAS Y COSTES'!$F$23/12</f>
        <v>41.666666666666664</v>
      </c>
      <c r="G17" s="34">
        <f>'6. PEF5. VENTAS Y COSTES'!$F$23/12</f>
        <v>41.666666666666664</v>
      </c>
      <c r="H17" s="34">
        <f>'6. PEF5. VENTAS Y COSTES'!$F$23/12</f>
        <v>41.666666666666664</v>
      </c>
      <c r="I17" s="34">
        <f>'6. PEF5. VENTAS Y COSTES'!$F$23/12</f>
        <v>41.666666666666664</v>
      </c>
      <c r="J17" s="3"/>
      <c r="K17" s="269" t="s">
        <v>165</v>
      </c>
      <c r="L17" s="270"/>
      <c r="M17" s="34">
        <f>'6. PEF5. VENTAS Y COSTES'!$F$23/12</f>
        <v>41.666666666666664</v>
      </c>
      <c r="N17" s="34">
        <f>'6. PEF5. VENTAS Y COSTES'!$F$23/12</f>
        <v>41.666666666666664</v>
      </c>
      <c r="O17" s="34">
        <f>'6. PEF5. VENTAS Y COSTES'!$F$23/12</f>
        <v>41.666666666666664</v>
      </c>
      <c r="P17" s="34">
        <f>'6. PEF5. VENTAS Y COSTES'!$F$23/12</f>
        <v>41.666666666666664</v>
      </c>
      <c r="Q17" s="34">
        <f>'6. PEF5. VENTAS Y COSTES'!$F$23/12</f>
        <v>41.666666666666664</v>
      </c>
      <c r="R17" s="34">
        <f>'6. PEF5. VENTAS Y COSTES'!$F$23/12</f>
        <v>41.666666666666664</v>
      </c>
      <c r="T17" s="269" t="s">
        <v>165</v>
      </c>
      <c r="U17" s="270"/>
      <c r="V17" s="34">
        <f>'6. PEF5. VENTAS Y COSTES'!$G$23/12</f>
        <v>50</v>
      </c>
      <c r="W17" s="34">
        <f>'6. PEF5. VENTAS Y COSTES'!$G$23/12</f>
        <v>50</v>
      </c>
      <c r="X17" s="34">
        <f>'6. PEF5. VENTAS Y COSTES'!$G$23/12</f>
        <v>50</v>
      </c>
      <c r="Y17" s="34">
        <f>'6. PEF5. VENTAS Y COSTES'!$G$23/12</f>
        <v>50</v>
      </c>
      <c r="Z17" s="34">
        <f>'6. PEF5. VENTAS Y COSTES'!$G$23/12</f>
        <v>50</v>
      </c>
      <c r="AA17" s="34">
        <f>'6. PEF5. VENTAS Y COSTES'!$G$23/12</f>
        <v>50</v>
      </c>
      <c r="AB17" s="3"/>
      <c r="AC17" s="269" t="s">
        <v>165</v>
      </c>
      <c r="AD17" s="270"/>
      <c r="AE17" s="34">
        <f>'6. PEF5. VENTAS Y COSTES'!$G$23/12</f>
        <v>50</v>
      </c>
      <c r="AF17" s="34">
        <f>'6. PEF5. VENTAS Y COSTES'!$G$23/12</f>
        <v>50</v>
      </c>
      <c r="AG17" s="34">
        <f>'6. PEF5. VENTAS Y COSTES'!$G$23/12</f>
        <v>50</v>
      </c>
      <c r="AH17" s="34">
        <f>'6. PEF5. VENTAS Y COSTES'!$G$23/12</f>
        <v>50</v>
      </c>
      <c r="AI17" s="34">
        <f>'6. PEF5. VENTAS Y COSTES'!$G$23/12</f>
        <v>50</v>
      </c>
      <c r="AJ17" s="34">
        <f>'6. PEF5. VENTAS Y COSTES'!$G$23/12</f>
        <v>50</v>
      </c>
      <c r="AL17" s="269" t="s">
        <v>165</v>
      </c>
      <c r="AM17" s="270"/>
      <c r="AN17" s="34">
        <f>'6. PEF5. VENTAS Y COSTES'!$H$23/12</f>
        <v>60</v>
      </c>
      <c r="AO17" s="34">
        <f>'6. PEF5. VENTAS Y COSTES'!$H$23/12</f>
        <v>60</v>
      </c>
      <c r="AP17" s="34">
        <f>'6. PEF5. VENTAS Y COSTES'!$H$23/12</f>
        <v>60</v>
      </c>
      <c r="AQ17" s="34">
        <f>'6. PEF5. VENTAS Y COSTES'!$H$23/12</f>
        <v>60</v>
      </c>
      <c r="AR17" s="34">
        <f>'6. PEF5. VENTAS Y COSTES'!$H$23/12</f>
        <v>60</v>
      </c>
      <c r="AS17" s="34">
        <f>'6. PEF5. VENTAS Y COSTES'!$H$23/12</f>
        <v>60</v>
      </c>
      <c r="AT17" s="3"/>
      <c r="AU17" s="269" t="s">
        <v>165</v>
      </c>
      <c r="AV17" s="270"/>
      <c r="AW17" s="34">
        <f>'6. PEF5. VENTAS Y COSTES'!$H$23/12</f>
        <v>60</v>
      </c>
      <c r="AX17" s="34">
        <f>'6. PEF5. VENTAS Y COSTES'!$H$23/12</f>
        <v>60</v>
      </c>
      <c r="AY17" s="34">
        <f>'6. PEF5. VENTAS Y COSTES'!$H$23/12</f>
        <v>60</v>
      </c>
      <c r="AZ17" s="34">
        <f>'6. PEF5. VENTAS Y COSTES'!$H$23/12</f>
        <v>60</v>
      </c>
      <c r="BA17" s="34">
        <f>'6. PEF5. VENTAS Y COSTES'!$H$23/12</f>
        <v>60</v>
      </c>
      <c r="BB17" s="34">
        <f>'6. PEF5. VENTAS Y COSTES'!$H$23/12</f>
        <v>60</v>
      </c>
      <c r="BC17" s="3"/>
      <c r="BD17" s="269" t="s">
        <v>165</v>
      </c>
      <c r="BE17" s="270"/>
      <c r="BF17" s="26">
        <f t="shared" si="6"/>
        <v>499.99999999999994</v>
      </c>
      <c r="BG17" s="26">
        <f t="shared" si="7"/>
        <v>600</v>
      </c>
      <c r="BH17" s="26">
        <f t="shared" si="8"/>
        <v>720</v>
      </c>
      <c r="BI17" s="2"/>
      <c r="BJ17" s="2"/>
      <c r="BK17" s="2"/>
    </row>
    <row r="18" spans="2:63" s="5" customFormat="1" ht="12.75" customHeight="1">
      <c r="B18" s="269" t="s">
        <v>344</v>
      </c>
      <c r="C18" s="270"/>
      <c r="D18" s="34">
        <f>'6. PEF5. VENTAS Y COSTES'!$F$24/12</f>
        <v>116.66666666666667</v>
      </c>
      <c r="E18" s="34">
        <f>'6. PEF5. VENTAS Y COSTES'!$F$24/12</f>
        <v>116.66666666666667</v>
      </c>
      <c r="F18" s="34">
        <f>'6. PEF5. VENTAS Y COSTES'!$F$24/12</f>
        <v>116.66666666666667</v>
      </c>
      <c r="G18" s="34">
        <f>'6. PEF5. VENTAS Y COSTES'!$F$24/12</f>
        <v>116.66666666666667</v>
      </c>
      <c r="H18" s="34">
        <f>'6. PEF5. VENTAS Y COSTES'!$F$24/12</f>
        <v>116.66666666666667</v>
      </c>
      <c r="I18" s="34">
        <f>'6. PEF5. VENTAS Y COSTES'!$F$24/12</f>
        <v>116.66666666666667</v>
      </c>
      <c r="J18" s="3"/>
      <c r="K18" s="269" t="s">
        <v>344</v>
      </c>
      <c r="L18" s="270"/>
      <c r="M18" s="34">
        <f>'6. PEF5. VENTAS Y COSTES'!$F$24/12</f>
        <v>116.66666666666667</v>
      </c>
      <c r="N18" s="34">
        <f>'6. PEF5. VENTAS Y COSTES'!$F$24/12</f>
        <v>116.66666666666667</v>
      </c>
      <c r="O18" s="34">
        <f>'6. PEF5. VENTAS Y COSTES'!$F$24/12</f>
        <v>116.66666666666667</v>
      </c>
      <c r="P18" s="34">
        <f>'6. PEF5. VENTAS Y COSTES'!$F$24/12</f>
        <v>116.66666666666667</v>
      </c>
      <c r="Q18" s="34">
        <f>'6. PEF5. VENTAS Y COSTES'!$F$24/12</f>
        <v>116.66666666666667</v>
      </c>
      <c r="R18" s="34">
        <f>'6. PEF5. VENTAS Y COSTES'!$F$24/12</f>
        <v>116.66666666666667</v>
      </c>
      <c r="T18" s="269" t="s">
        <v>344</v>
      </c>
      <c r="U18" s="270"/>
      <c r="V18" s="34">
        <f>'6. PEF5. VENTAS Y COSTES'!$G$24/12</f>
        <v>140</v>
      </c>
      <c r="W18" s="34">
        <f>'6. PEF5. VENTAS Y COSTES'!$G$24/12</f>
        <v>140</v>
      </c>
      <c r="X18" s="34">
        <f>'6. PEF5. VENTAS Y COSTES'!$G$24/12</f>
        <v>140</v>
      </c>
      <c r="Y18" s="34">
        <f>'6. PEF5. VENTAS Y COSTES'!$G$24/12</f>
        <v>140</v>
      </c>
      <c r="Z18" s="34">
        <f>'6. PEF5. VENTAS Y COSTES'!$G$24/12</f>
        <v>140</v>
      </c>
      <c r="AA18" s="34">
        <f>'6. PEF5. VENTAS Y COSTES'!$G$24/12</f>
        <v>140</v>
      </c>
      <c r="AB18" s="3"/>
      <c r="AC18" s="269" t="s">
        <v>344</v>
      </c>
      <c r="AD18" s="270"/>
      <c r="AE18" s="34">
        <f>'6. PEF5. VENTAS Y COSTES'!$G$24/12</f>
        <v>140</v>
      </c>
      <c r="AF18" s="34">
        <f>'6. PEF5. VENTAS Y COSTES'!$G$24/12</f>
        <v>140</v>
      </c>
      <c r="AG18" s="34">
        <f>'6. PEF5. VENTAS Y COSTES'!$G$24/12</f>
        <v>140</v>
      </c>
      <c r="AH18" s="34">
        <f>'6. PEF5. VENTAS Y COSTES'!$G$24/12</f>
        <v>140</v>
      </c>
      <c r="AI18" s="34">
        <f>'6. PEF5. VENTAS Y COSTES'!$G$24/12</f>
        <v>140</v>
      </c>
      <c r="AJ18" s="34">
        <f>'6. PEF5. VENTAS Y COSTES'!$G$24/12</f>
        <v>140</v>
      </c>
      <c r="AL18" s="269" t="s">
        <v>344</v>
      </c>
      <c r="AM18" s="270"/>
      <c r="AN18" s="34">
        <f>'6. PEF5. VENTAS Y COSTES'!$H$24/12</f>
        <v>168</v>
      </c>
      <c r="AO18" s="34">
        <f>'6. PEF5. VENTAS Y COSTES'!$H$24/12</f>
        <v>168</v>
      </c>
      <c r="AP18" s="34">
        <f>'6. PEF5. VENTAS Y COSTES'!$H$24/12</f>
        <v>168</v>
      </c>
      <c r="AQ18" s="34">
        <f>'6. PEF5. VENTAS Y COSTES'!$H$24/12</f>
        <v>168</v>
      </c>
      <c r="AR18" s="34">
        <f>'6. PEF5. VENTAS Y COSTES'!$H$24/12</f>
        <v>168</v>
      </c>
      <c r="AS18" s="34">
        <f>'6. PEF5. VENTAS Y COSTES'!$H$24/12</f>
        <v>168</v>
      </c>
      <c r="AT18" s="3"/>
      <c r="AU18" s="269" t="s">
        <v>344</v>
      </c>
      <c r="AV18" s="270"/>
      <c r="AW18" s="34">
        <f>'6. PEF5. VENTAS Y COSTES'!$H$24/12</f>
        <v>168</v>
      </c>
      <c r="AX18" s="34">
        <f>'6. PEF5. VENTAS Y COSTES'!$H$24/12</f>
        <v>168</v>
      </c>
      <c r="AY18" s="34">
        <f>'6. PEF5. VENTAS Y COSTES'!$H$24/12</f>
        <v>168</v>
      </c>
      <c r="AZ18" s="34">
        <f>'6. PEF5. VENTAS Y COSTES'!$H$24/12</f>
        <v>168</v>
      </c>
      <c r="BA18" s="34">
        <f>'6. PEF5. VENTAS Y COSTES'!$H$24/12</f>
        <v>168</v>
      </c>
      <c r="BB18" s="34">
        <f>'6. PEF5. VENTAS Y COSTES'!$H$24/12</f>
        <v>168</v>
      </c>
      <c r="BC18" s="3"/>
      <c r="BD18" s="269" t="s">
        <v>344</v>
      </c>
      <c r="BE18" s="270"/>
      <c r="BF18" s="26">
        <f t="shared" si="6"/>
        <v>1400</v>
      </c>
      <c r="BG18" s="26">
        <f t="shared" si="7"/>
        <v>1680</v>
      </c>
      <c r="BH18" s="26">
        <f t="shared" si="8"/>
        <v>2016</v>
      </c>
      <c r="BI18" s="2"/>
      <c r="BJ18" s="2"/>
      <c r="BK18" s="2"/>
    </row>
    <row r="19" spans="2:63" s="5" customFormat="1" ht="12.75" customHeight="1">
      <c r="B19" s="269" t="s">
        <v>167</v>
      </c>
      <c r="C19" s="270"/>
      <c r="D19" s="34">
        <f>'6. PEF5. VENTAS Y COSTES'!$F$25/12</f>
        <v>12.5</v>
      </c>
      <c r="E19" s="34">
        <f>'6. PEF5. VENTAS Y COSTES'!$F$25/12</f>
        <v>12.5</v>
      </c>
      <c r="F19" s="34">
        <f>'6. PEF5. VENTAS Y COSTES'!$F$25/12</f>
        <v>12.5</v>
      </c>
      <c r="G19" s="34">
        <f>'6. PEF5. VENTAS Y COSTES'!$F$25/12</f>
        <v>12.5</v>
      </c>
      <c r="H19" s="34">
        <f>'6. PEF5. VENTAS Y COSTES'!$F$25/12</f>
        <v>12.5</v>
      </c>
      <c r="I19" s="34">
        <f>'6. PEF5. VENTAS Y COSTES'!$F$25/12</f>
        <v>12.5</v>
      </c>
      <c r="J19" s="3"/>
      <c r="K19" s="269" t="s">
        <v>167</v>
      </c>
      <c r="L19" s="270"/>
      <c r="M19" s="34">
        <f>'6. PEF5. VENTAS Y COSTES'!$F$25/12</f>
        <v>12.5</v>
      </c>
      <c r="N19" s="34">
        <f>'6. PEF5. VENTAS Y COSTES'!$F$25/12</f>
        <v>12.5</v>
      </c>
      <c r="O19" s="34">
        <f>'6. PEF5. VENTAS Y COSTES'!$F$25/12</f>
        <v>12.5</v>
      </c>
      <c r="P19" s="34">
        <f>'6. PEF5. VENTAS Y COSTES'!$F$25/12</f>
        <v>12.5</v>
      </c>
      <c r="Q19" s="34">
        <f>'6. PEF5. VENTAS Y COSTES'!$F$25/12</f>
        <v>12.5</v>
      </c>
      <c r="R19" s="34">
        <f>'6. PEF5. VENTAS Y COSTES'!$F$25/12</f>
        <v>12.5</v>
      </c>
      <c r="T19" s="269" t="s">
        <v>167</v>
      </c>
      <c r="U19" s="270"/>
      <c r="V19" s="34">
        <f>'6. PEF5. VENTAS Y COSTES'!$G$25/12</f>
        <v>15</v>
      </c>
      <c r="W19" s="34">
        <f>'6. PEF5. VENTAS Y COSTES'!$G$25/12</f>
        <v>15</v>
      </c>
      <c r="X19" s="34">
        <f>'6. PEF5. VENTAS Y COSTES'!$G$25/12</f>
        <v>15</v>
      </c>
      <c r="Y19" s="34">
        <f>'6. PEF5. VENTAS Y COSTES'!$G$25/12</f>
        <v>15</v>
      </c>
      <c r="Z19" s="34">
        <f>'6. PEF5. VENTAS Y COSTES'!$G$25/12</f>
        <v>15</v>
      </c>
      <c r="AA19" s="34">
        <f>'6. PEF5. VENTAS Y COSTES'!$G$25/12</f>
        <v>15</v>
      </c>
      <c r="AB19" s="3"/>
      <c r="AC19" s="269" t="s">
        <v>167</v>
      </c>
      <c r="AD19" s="270"/>
      <c r="AE19" s="34">
        <f>'6. PEF5. VENTAS Y COSTES'!$G$25/12</f>
        <v>15</v>
      </c>
      <c r="AF19" s="34">
        <f>'6. PEF5. VENTAS Y COSTES'!$G$25/12</f>
        <v>15</v>
      </c>
      <c r="AG19" s="34">
        <f>'6. PEF5. VENTAS Y COSTES'!$G$25/12</f>
        <v>15</v>
      </c>
      <c r="AH19" s="34">
        <f>'6. PEF5. VENTAS Y COSTES'!$G$25/12</f>
        <v>15</v>
      </c>
      <c r="AI19" s="34">
        <f>'6. PEF5. VENTAS Y COSTES'!$G$25/12</f>
        <v>15</v>
      </c>
      <c r="AJ19" s="34">
        <f>'6. PEF5. VENTAS Y COSTES'!$G$25/12</f>
        <v>15</v>
      </c>
      <c r="AL19" s="269" t="s">
        <v>167</v>
      </c>
      <c r="AM19" s="270"/>
      <c r="AN19" s="34">
        <f>'6. PEF5. VENTAS Y COSTES'!$H$25/12</f>
        <v>18</v>
      </c>
      <c r="AO19" s="34">
        <f>'6. PEF5. VENTAS Y COSTES'!$H$25/12</f>
        <v>18</v>
      </c>
      <c r="AP19" s="34">
        <f>'6. PEF5. VENTAS Y COSTES'!$H$25/12</f>
        <v>18</v>
      </c>
      <c r="AQ19" s="34">
        <f>'6. PEF5. VENTAS Y COSTES'!$H$25/12</f>
        <v>18</v>
      </c>
      <c r="AR19" s="34">
        <f>'6. PEF5. VENTAS Y COSTES'!$H$25/12</f>
        <v>18</v>
      </c>
      <c r="AS19" s="34">
        <f>'6. PEF5. VENTAS Y COSTES'!$H$25/12</f>
        <v>18</v>
      </c>
      <c r="AT19" s="3"/>
      <c r="AU19" s="269" t="s">
        <v>167</v>
      </c>
      <c r="AV19" s="270"/>
      <c r="AW19" s="34">
        <f>'6. PEF5. VENTAS Y COSTES'!$H$25/12</f>
        <v>18</v>
      </c>
      <c r="AX19" s="34">
        <f>'6. PEF5. VENTAS Y COSTES'!$H$25/12</f>
        <v>18</v>
      </c>
      <c r="AY19" s="34">
        <f>'6. PEF5. VENTAS Y COSTES'!$H$25/12</f>
        <v>18</v>
      </c>
      <c r="AZ19" s="34">
        <f>'6. PEF5. VENTAS Y COSTES'!$H$25/12</f>
        <v>18</v>
      </c>
      <c r="BA19" s="34">
        <f>'6. PEF5. VENTAS Y COSTES'!$H$25/12</f>
        <v>18</v>
      </c>
      <c r="BB19" s="34">
        <f>'6. PEF5. VENTAS Y COSTES'!$H$25/12</f>
        <v>18</v>
      </c>
      <c r="BC19" s="3"/>
      <c r="BD19" s="269" t="s">
        <v>167</v>
      </c>
      <c r="BE19" s="270"/>
      <c r="BF19" s="26">
        <f t="shared" si="6"/>
        <v>150</v>
      </c>
      <c r="BG19" s="26">
        <f t="shared" si="7"/>
        <v>180</v>
      </c>
      <c r="BH19" s="26">
        <f t="shared" si="8"/>
        <v>216</v>
      </c>
      <c r="BI19" s="2"/>
      <c r="BJ19" s="2"/>
      <c r="BK19" s="2"/>
    </row>
    <row r="20" spans="2:63" s="5" customFormat="1" ht="12.75" customHeight="1">
      <c r="B20" s="269" t="s">
        <v>345</v>
      </c>
      <c r="C20" s="270"/>
      <c r="D20" s="34">
        <f>'6. PEF5. VENTAS Y COSTES'!$F$26/12</f>
        <v>8.3333333333333339</v>
      </c>
      <c r="E20" s="34">
        <f>'6. PEF5. VENTAS Y COSTES'!$F$26/12</f>
        <v>8.3333333333333339</v>
      </c>
      <c r="F20" s="34">
        <f>'6. PEF5. VENTAS Y COSTES'!$F$26/12</f>
        <v>8.3333333333333339</v>
      </c>
      <c r="G20" s="34">
        <f>'6. PEF5. VENTAS Y COSTES'!$F$26/12</f>
        <v>8.3333333333333339</v>
      </c>
      <c r="H20" s="34">
        <f>'6. PEF5. VENTAS Y COSTES'!$F$26/12</f>
        <v>8.3333333333333339</v>
      </c>
      <c r="I20" s="34">
        <f>'6. PEF5. VENTAS Y COSTES'!$F$26/12</f>
        <v>8.3333333333333339</v>
      </c>
      <c r="J20" s="3"/>
      <c r="K20" s="269" t="s">
        <v>345</v>
      </c>
      <c r="L20" s="270"/>
      <c r="M20" s="34">
        <f>'6. PEF5. VENTAS Y COSTES'!$F$26/12</f>
        <v>8.3333333333333339</v>
      </c>
      <c r="N20" s="34">
        <f>'6. PEF5. VENTAS Y COSTES'!$F$26/12</f>
        <v>8.3333333333333339</v>
      </c>
      <c r="O20" s="34">
        <f>'6. PEF5. VENTAS Y COSTES'!$F$26/12</f>
        <v>8.3333333333333339</v>
      </c>
      <c r="P20" s="34">
        <f>'6. PEF5. VENTAS Y COSTES'!$F$26/12</f>
        <v>8.3333333333333339</v>
      </c>
      <c r="Q20" s="34">
        <f>'6. PEF5. VENTAS Y COSTES'!$F$26/12</f>
        <v>8.3333333333333339</v>
      </c>
      <c r="R20" s="34">
        <f>'6. PEF5. VENTAS Y COSTES'!$F$26/12</f>
        <v>8.3333333333333339</v>
      </c>
      <c r="T20" s="269" t="s">
        <v>345</v>
      </c>
      <c r="U20" s="270"/>
      <c r="V20" s="34">
        <f>'6. PEF5. VENTAS Y COSTES'!$G$26/12</f>
        <v>10</v>
      </c>
      <c r="W20" s="34">
        <f>'6. PEF5. VENTAS Y COSTES'!$G$26/12</f>
        <v>10</v>
      </c>
      <c r="X20" s="34">
        <f>'6. PEF5. VENTAS Y COSTES'!$G$26/12</f>
        <v>10</v>
      </c>
      <c r="Y20" s="34">
        <f>'6. PEF5. VENTAS Y COSTES'!$G$26/12</f>
        <v>10</v>
      </c>
      <c r="Z20" s="34">
        <f>'6. PEF5. VENTAS Y COSTES'!$G$26/12</f>
        <v>10</v>
      </c>
      <c r="AA20" s="34">
        <f>'6. PEF5. VENTAS Y COSTES'!$G$26/12</f>
        <v>10</v>
      </c>
      <c r="AB20" s="3"/>
      <c r="AC20" s="269" t="s">
        <v>345</v>
      </c>
      <c r="AD20" s="270"/>
      <c r="AE20" s="34">
        <f>'6. PEF5. VENTAS Y COSTES'!$G$26/12</f>
        <v>10</v>
      </c>
      <c r="AF20" s="34">
        <f>'6. PEF5. VENTAS Y COSTES'!$G$26/12</f>
        <v>10</v>
      </c>
      <c r="AG20" s="34">
        <f>'6. PEF5. VENTAS Y COSTES'!$G$26/12</f>
        <v>10</v>
      </c>
      <c r="AH20" s="34">
        <f>'6. PEF5. VENTAS Y COSTES'!$G$26/12</f>
        <v>10</v>
      </c>
      <c r="AI20" s="34">
        <f>'6. PEF5. VENTAS Y COSTES'!$G$26/12</f>
        <v>10</v>
      </c>
      <c r="AJ20" s="34">
        <f>'6. PEF5. VENTAS Y COSTES'!$G$26/12</f>
        <v>10</v>
      </c>
      <c r="AL20" s="269" t="s">
        <v>345</v>
      </c>
      <c r="AM20" s="270"/>
      <c r="AN20" s="34">
        <f>'6. PEF5. VENTAS Y COSTES'!$H$26/12</f>
        <v>12</v>
      </c>
      <c r="AO20" s="34">
        <f>'6. PEF5. VENTAS Y COSTES'!$H$26/12</f>
        <v>12</v>
      </c>
      <c r="AP20" s="34">
        <f>'6. PEF5. VENTAS Y COSTES'!$H$26/12</f>
        <v>12</v>
      </c>
      <c r="AQ20" s="34">
        <f>'6. PEF5. VENTAS Y COSTES'!$H$26/12</f>
        <v>12</v>
      </c>
      <c r="AR20" s="34">
        <f>'6. PEF5. VENTAS Y COSTES'!$H$26/12</f>
        <v>12</v>
      </c>
      <c r="AS20" s="34">
        <f>'6. PEF5. VENTAS Y COSTES'!$H$26/12</f>
        <v>12</v>
      </c>
      <c r="AT20" s="3"/>
      <c r="AU20" s="269" t="s">
        <v>345</v>
      </c>
      <c r="AV20" s="270"/>
      <c r="AW20" s="34">
        <f>'6. PEF5. VENTAS Y COSTES'!$H$26/12</f>
        <v>12</v>
      </c>
      <c r="AX20" s="34">
        <f>'6. PEF5. VENTAS Y COSTES'!$H$26/12</f>
        <v>12</v>
      </c>
      <c r="AY20" s="34">
        <f>'6. PEF5. VENTAS Y COSTES'!$H$26/12</f>
        <v>12</v>
      </c>
      <c r="AZ20" s="34">
        <f>'6. PEF5. VENTAS Y COSTES'!$H$26/12</f>
        <v>12</v>
      </c>
      <c r="BA20" s="34">
        <f>'6. PEF5. VENTAS Y COSTES'!$H$26/12</f>
        <v>12</v>
      </c>
      <c r="BB20" s="34">
        <f>'6. PEF5. VENTAS Y COSTES'!$H$26/12</f>
        <v>12</v>
      </c>
      <c r="BC20" s="3"/>
      <c r="BD20" s="269" t="s">
        <v>345</v>
      </c>
      <c r="BE20" s="270"/>
      <c r="BF20" s="26">
        <f t="shared" si="6"/>
        <v>100.00000000000001</v>
      </c>
      <c r="BG20" s="26">
        <f t="shared" si="7"/>
        <v>120</v>
      </c>
      <c r="BH20" s="26">
        <f t="shared" si="8"/>
        <v>144</v>
      </c>
      <c r="BI20" s="2"/>
      <c r="BJ20" s="2"/>
      <c r="BK20" s="2"/>
    </row>
    <row r="21" spans="2:63" s="5" customFormat="1" ht="12.75" customHeight="1">
      <c r="B21" s="269" t="s">
        <v>169</v>
      </c>
      <c r="C21" s="270"/>
      <c r="D21" s="34">
        <f>'6. PEF5. VENTAS Y COSTES'!$F$27/12</f>
        <v>58.333333333333336</v>
      </c>
      <c r="E21" s="34">
        <f>'6. PEF5. VENTAS Y COSTES'!$F$27/12</f>
        <v>58.333333333333336</v>
      </c>
      <c r="F21" s="34">
        <f>'6. PEF5. VENTAS Y COSTES'!$F$27/12</f>
        <v>58.333333333333336</v>
      </c>
      <c r="G21" s="34">
        <f>'6. PEF5. VENTAS Y COSTES'!$F$27/12</f>
        <v>58.333333333333336</v>
      </c>
      <c r="H21" s="34">
        <f>'6. PEF5. VENTAS Y COSTES'!$F$27/12</f>
        <v>58.333333333333336</v>
      </c>
      <c r="I21" s="34">
        <f>'6. PEF5. VENTAS Y COSTES'!$F$27/12</f>
        <v>58.333333333333336</v>
      </c>
      <c r="J21" s="3"/>
      <c r="K21" s="269" t="s">
        <v>169</v>
      </c>
      <c r="L21" s="270"/>
      <c r="M21" s="34">
        <f>'6. PEF5. VENTAS Y COSTES'!$F$27/12</f>
        <v>58.333333333333336</v>
      </c>
      <c r="N21" s="34">
        <f>'6. PEF5. VENTAS Y COSTES'!$F$27/12</f>
        <v>58.333333333333336</v>
      </c>
      <c r="O21" s="34">
        <f>'6. PEF5. VENTAS Y COSTES'!$F$27/12</f>
        <v>58.333333333333336</v>
      </c>
      <c r="P21" s="34">
        <f>'6. PEF5. VENTAS Y COSTES'!$F$27/12</f>
        <v>58.333333333333336</v>
      </c>
      <c r="Q21" s="34">
        <f>'6. PEF5. VENTAS Y COSTES'!$F$27/12</f>
        <v>58.333333333333336</v>
      </c>
      <c r="R21" s="34">
        <f>'6. PEF5. VENTAS Y COSTES'!$F$27/12</f>
        <v>58.333333333333336</v>
      </c>
      <c r="T21" s="269" t="s">
        <v>169</v>
      </c>
      <c r="U21" s="270"/>
      <c r="V21" s="34">
        <f>'6. PEF5. VENTAS Y COSTES'!$G$27/12</f>
        <v>70</v>
      </c>
      <c r="W21" s="34">
        <f>'6. PEF5. VENTAS Y COSTES'!$G$27/12</f>
        <v>70</v>
      </c>
      <c r="X21" s="34">
        <f>'6. PEF5. VENTAS Y COSTES'!$G$27/12</f>
        <v>70</v>
      </c>
      <c r="Y21" s="34">
        <f>'6. PEF5. VENTAS Y COSTES'!$G$27/12</f>
        <v>70</v>
      </c>
      <c r="Z21" s="34">
        <f>'6. PEF5. VENTAS Y COSTES'!$G$27/12</f>
        <v>70</v>
      </c>
      <c r="AA21" s="34">
        <f>'6. PEF5. VENTAS Y COSTES'!$G$27/12</f>
        <v>70</v>
      </c>
      <c r="AB21" s="3"/>
      <c r="AC21" s="269" t="s">
        <v>169</v>
      </c>
      <c r="AD21" s="270"/>
      <c r="AE21" s="34">
        <f>'6. PEF5. VENTAS Y COSTES'!$G$27/12</f>
        <v>70</v>
      </c>
      <c r="AF21" s="34">
        <f>'6. PEF5. VENTAS Y COSTES'!$G$27/12</f>
        <v>70</v>
      </c>
      <c r="AG21" s="34">
        <f>'6. PEF5. VENTAS Y COSTES'!$G$27/12</f>
        <v>70</v>
      </c>
      <c r="AH21" s="34">
        <f>'6. PEF5. VENTAS Y COSTES'!$G$27/12</f>
        <v>70</v>
      </c>
      <c r="AI21" s="34">
        <f>'6. PEF5. VENTAS Y COSTES'!$G$27/12</f>
        <v>70</v>
      </c>
      <c r="AJ21" s="34">
        <f>'6. PEF5. VENTAS Y COSTES'!$G$27/12</f>
        <v>70</v>
      </c>
      <c r="AL21" s="269" t="s">
        <v>169</v>
      </c>
      <c r="AM21" s="270"/>
      <c r="AN21" s="34">
        <f>'6. PEF5. VENTAS Y COSTES'!$H$27/12</f>
        <v>84</v>
      </c>
      <c r="AO21" s="34">
        <f>'6. PEF5. VENTAS Y COSTES'!$H$27/12</f>
        <v>84</v>
      </c>
      <c r="AP21" s="34">
        <f>'6. PEF5. VENTAS Y COSTES'!$H$27/12</f>
        <v>84</v>
      </c>
      <c r="AQ21" s="34">
        <f>'6. PEF5. VENTAS Y COSTES'!$H$27/12</f>
        <v>84</v>
      </c>
      <c r="AR21" s="34">
        <f>'6. PEF5. VENTAS Y COSTES'!$H$27/12</f>
        <v>84</v>
      </c>
      <c r="AS21" s="34">
        <f>'6. PEF5. VENTAS Y COSTES'!$H$27/12</f>
        <v>84</v>
      </c>
      <c r="AT21" s="3"/>
      <c r="AU21" s="269" t="s">
        <v>169</v>
      </c>
      <c r="AV21" s="270"/>
      <c r="AW21" s="34">
        <f>'6. PEF5. VENTAS Y COSTES'!$H$27/12</f>
        <v>84</v>
      </c>
      <c r="AX21" s="34">
        <f>'6. PEF5. VENTAS Y COSTES'!$H$27/12</f>
        <v>84</v>
      </c>
      <c r="AY21" s="34">
        <f>'6. PEF5. VENTAS Y COSTES'!$H$27/12</f>
        <v>84</v>
      </c>
      <c r="AZ21" s="34">
        <f>'6. PEF5. VENTAS Y COSTES'!$H$27/12</f>
        <v>84</v>
      </c>
      <c r="BA21" s="34">
        <f>'6. PEF5. VENTAS Y COSTES'!$H$27/12</f>
        <v>84</v>
      </c>
      <c r="BB21" s="34">
        <f>'6. PEF5. VENTAS Y COSTES'!$H$27/12</f>
        <v>84</v>
      </c>
      <c r="BC21" s="3"/>
      <c r="BD21" s="269" t="s">
        <v>169</v>
      </c>
      <c r="BE21" s="270"/>
      <c r="BF21" s="26">
        <f t="shared" si="6"/>
        <v>700</v>
      </c>
      <c r="BG21" s="26">
        <f t="shared" si="7"/>
        <v>840</v>
      </c>
      <c r="BH21" s="26">
        <f t="shared" si="8"/>
        <v>1008</v>
      </c>
      <c r="BI21" s="2"/>
      <c r="BJ21" s="2"/>
      <c r="BK21" s="2"/>
    </row>
    <row r="22" spans="2:63" s="5" customFormat="1" ht="12.75" customHeight="1">
      <c r="B22" s="269" t="s">
        <v>171</v>
      </c>
      <c r="C22" s="270"/>
      <c r="D22" s="34">
        <f>'6. PEF5. VENTAS Y COSTES'!$F$31/12</f>
        <v>416.66666666666669</v>
      </c>
      <c r="E22" s="34">
        <f>'6. PEF5. VENTAS Y COSTES'!$F$31/12</f>
        <v>416.66666666666669</v>
      </c>
      <c r="F22" s="34">
        <f>'6. PEF5. VENTAS Y COSTES'!$F$31/12</f>
        <v>416.66666666666669</v>
      </c>
      <c r="G22" s="34">
        <f>'6. PEF5. VENTAS Y COSTES'!$F$31/12</f>
        <v>416.66666666666669</v>
      </c>
      <c r="H22" s="34">
        <f>'6. PEF5. VENTAS Y COSTES'!$F$31/12</f>
        <v>416.66666666666669</v>
      </c>
      <c r="I22" s="34">
        <f>'6. PEF5. VENTAS Y COSTES'!$F$31/12</f>
        <v>416.66666666666669</v>
      </c>
      <c r="J22" s="3"/>
      <c r="K22" s="269" t="s">
        <v>171</v>
      </c>
      <c r="L22" s="270"/>
      <c r="M22" s="34">
        <f>'6. PEF5. VENTAS Y COSTES'!$F$31/12</f>
        <v>416.66666666666669</v>
      </c>
      <c r="N22" s="34">
        <f>'6. PEF5. VENTAS Y COSTES'!$F$31/12</f>
        <v>416.66666666666669</v>
      </c>
      <c r="O22" s="34">
        <f>'6. PEF5. VENTAS Y COSTES'!$F$31/12</f>
        <v>416.66666666666669</v>
      </c>
      <c r="P22" s="34">
        <f>'6. PEF5. VENTAS Y COSTES'!$F$31/12</f>
        <v>416.66666666666669</v>
      </c>
      <c r="Q22" s="34">
        <f>'6. PEF5. VENTAS Y COSTES'!$F$31/12</f>
        <v>416.66666666666669</v>
      </c>
      <c r="R22" s="34">
        <f>'6. PEF5. VENTAS Y COSTES'!$F$31/12</f>
        <v>416.66666666666669</v>
      </c>
      <c r="T22" s="269" t="s">
        <v>171</v>
      </c>
      <c r="U22" s="270"/>
      <c r="V22" s="34">
        <f>'6. PEF5. VENTAS Y COSTES'!$G$31/12</f>
        <v>500</v>
      </c>
      <c r="W22" s="34">
        <f>'6. PEF5. VENTAS Y COSTES'!$G$31/12</f>
        <v>500</v>
      </c>
      <c r="X22" s="34">
        <f>'6. PEF5. VENTAS Y COSTES'!$G$31/12</f>
        <v>500</v>
      </c>
      <c r="Y22" s="34">
        <f>'6. PEF5. VENTAS Y COSTES'!$G$31/12</f>
        <v>500</v>
      </c>
      <c r="Z22" s="34">
        <f>'6. PEF5. VENTAS Y COSTES'!$G$31/12</f>
        <v>500</v>
      </c>
      <c r="AA22" s="34">
        <f>'6. PEF5. VENTAS Y COSTES'!$G$31/12</f>
        <v>500</v>
      </c>
      <c r="AB22" s="3"/>
      <c r="AC22" s="269" t="s">
        <v>171</v>
      </c>
      <c r="AD22" s="270"/>
      <c r="AE22" s="34">
        <f>'6. PEF5. VENTAS Y COSTES'!$G$31/12</f>
        <v>500</v>
      </c>
      <c r="AF22" s="34">
        <f>'6. PEF5. VENTAS Y COSTES'!$G$31/12</f>
        <v>500</v>
      </c>
      <c r="AG22" s="34">
        <f>'6. PEF5. VENTAS Y COSTES'!$G$31/12</f>
        <v>500</v>
      </c>
      <c r="AH22" s="34">
        <f>'6. PEF5. VENTAS Y COSTES'!$G$31/12</f>
        <v>500</v>
      </c>
      <c r="AI22" s="34">
        <f>'6. PEF5. VENTAS Y COSTES'!$G$31/12</f>
        <v>500</v>
      </c>
      <c r="AJ22" s="34">
        <f>'6. PEF5. VENTAS Y COSTES'!$G$31/12</f>
        <v>500</v>
      </c>
      <c r="AL22" s="269" t="s">
        <v>171</v>
      </c>
      <c r="AM22" s="270"/>
      <c r="AN22" s="34">
        <f>'6. PEF5. VENTAS Y COSTES'!$H$31/12</f>
        <v>600</v>
      </c>
      <c r="AO22" s="34">
        <f>'6. PEF5. VENTAS Y COSTES'!$H$31/12</f>
        <v>600</v>
      </c>
      <c r="AP22" s="34">
        <f>'6. PEF5. VENTAS Y COSTES'!$H$31/12</f>
        <v>600</v>
      </c>
      <c r="AQ22" s="34">
        <f>'6. PEF5. VENTAS Y COSTES'!$H$31/12</f>
        <v>600</v>
      </c>
      <c r="AR22" s="34">
        <f>'6. PEF5. VENTAS Y COSTES'!$H$31/12</f>
        <v>600</v>
      </c>
      <c r="AS22" s="34">
        <f>'6. PEF5. VENTAS Y COSTES'!$H$31/12</f>
        <v>600</v>
      </c>
      <c r="AT22" s="3"/>
      <c r="AU22" s="269" t="s">
        <v>171</v>
      </c>
      <c r="AV22" s="270"/>
      <c r="AW22" s="34">
        <f>'6. PEF5. VENTAS Y COSTES'!$H$31/12</f>
        <v>600</v>
      </c>
      <c r="AX22" s="34">
        <f>'6. PEF5. VENTAS Y COSTES'!$H$31/12</f>
        <v>600</v>
      </c>
      <c r="AY22" s="34">
        <f>'6. PEF5. VENTAS Y COSTES'!$H$31/12</f>
        <v>600</v>
      </c>
      <c r="AZ22" s="34">
        <f>'6. PEF5. VENTAS Y COSTES'!$H$31/12</f>
        <v>600</v>
      </c>
      <c r="BA22" s="34">
        <f>'6. PEF5. VENTAS Y COSTES'!$H$31/12</f>
        <v>600</v>
      </c>
      <c r="BB22" s="34">
        <f>'6. PEF5. VENTAS Y COSTES'!$H$31/12</f>
        <v>600</v>
      </c>
      <c r="BC22" s="3"/>
      <c r="BD22" s="269" t="s">
        <v>171</v>
      </c>
      <c r="BE22" s="270"/>
      <c r="BF22" s="26">
        <f t="shared" si="6"/>
        <v>5000</v>
      </c>
      <c r="BG22" s="26">
        <f t="shared" si="7"/>
        <v>6000</v>
      </c>
      <c r="BH22" s="26">
        <f t="shared" si="8"/>
        <v>7200</v>
      </c>
      <c r="BI22" s="2"/>
      <c r="BJ22" s="2"/>
      <c r="BK22" s="2"/>
    </row>
    <row r="23" spans="2:63" s="5" customFormat="1" ht="12.75" customHeight="1">
      <c r="B23" s="267" t="s">
        <v>347</v>
      </c>
      <c r="C23" s="268"/>
      <c r="D23" s="34">
        <f t="shared" ref="D23:I23" si="9">SUM(D15:D22)</f>
        <v>1162.5</v>
      </c>
      <c r="E23" s="34">
        <f t="shared" si="9"/>
        <v>1162.5</v>
      </c>
      <c r="F23" s="34">
        <f t="shared" si="9"/>
        <v>1162.5</v>
      </c>
      <c r="G23" s="34">
        <f t="shared" si="9"/>
        <v>1162.5</v>
      </c>
      <c r="H23" s="34">
        <f t="shared" si="9"/>
        <v>1162.5</v>
      </c>
      <c r="I23" s="34">
        <f t="shared" si="9"/>
        <v>1162.5</v>
      </c>
      <c r="J23" s="3"/>
      <c r="K23" s="267" t="s">
        <v>347</v>
      </c>
      <c r="L23" s="268"/>
      <c r="M23" s="34">
        <f t="shared" ref="M23:R23" si="10">SUM(M15:M22)</f>
        <v>1162.5</v>
      </c>
      <c r="N23" s="34">
        <f t="shared" si="10"/>
        <v>1162.5</v>
      </c>
      <c r="O23" s="34">
        <f t="shared" si="10"/>
        <v>1162.5</v>
      </c>
      <c r="P23" s="34">
        <f t="shared" si="10"/>
        <v>1162.5</v>
      </c>
      <c r="Q23" s="34">
        <f t="shared" si="10"/>
        <v>1162.5</v>
      </c>
      <c r="R23" s="34">
        <f t="shared" si="10"/>
        <v>1162.5</v>
      </c>
      <c r="T23" s="267" t="s">
        <v>347</v>
      </c>
      <c r="U23" s="268"/>
      <c r="V23" s="34">
        <f t="shared" ref="V23:AA23" si="11">SUM(V15:V22)</f>
        <v>1395</v>
      </c>
      <c r="W23" s="34">
        <f t="shared" si="11"/>
        <v>1395</v>
      </c>
      <c r="X23" s="34">
        <f t="shared" si="11"/>
        <v>1395</v>
      </c>
      <c r="Y23" s="34">
        <f t="shared" si="11"/>
        <v>1395</v>
      </c>
      <c r="Z23" s="34">
        <f t="shared" si="11"/>
        <v>1395</v>
      </c>
      <c r="AA23" s="34">
        <f t="shared" si="11"/>
        <v>1395</v>
      </c>
      <c r="AB23" s="3"/>
      <c r="AC23" s="267" t="s">
        <v>347</v>
      </c>
      <c r="AD23" s="268"/>
      <c r="AE23" s="34">
        <f t="shared" ref="AE23:AJ23" si="12">SUM(AE15:AE22)</f>
        <v>1395</v>
      </c>
      <c r="AF23" s="34">
        <f t="shared" si="12"/>
        <v>1395</v>
      </c>
      <c r="AG23" s="34">
        <f t="shared" si="12"/>
        <v>1395</v>
      </c>
      <c r="AH23" s="34">
        <f t="shared" si="12"/>
        <v>1395</v>
      </c>
      <c r="AI23" s="34">
        <f t="shared" si="12"/>
        <v>1395</v>
      </c>
      <c r="AJ23" s="34">
        <f t="shared" si="12"/>
        <v>1395</v>
      </c>
      <c r="AL23" s="267" t="s">
        <v>347</v>
      </c>
      <c r="AM23" s="268"/>
      <c r="AN23" s="34">
        <f t="shared" ref="AN23:AS23" si="13">SUM(AN15:AN22)</f>
        <v>1674</v>
      </c>
      <c r="AO23" s="34">
        <f t="shared" si="13"/>
        <v>1674</v>
      </c>
      <c r="AP23" s="34">
        <f t="shared" si="13"/>
        <v>1674</v>
      </c>
      <c r="AQ23" s="34">
        <f t="shared" si="13"/>
        <v>1674</v>
      </c>
      <c r="AR23" s="34">
        <f t="shared" si="13"/>
        <v>1674</v>
      </c>
      <c r="AS23" s="34">
        <f t="shared" si="13"/>
        <v>1674</v>
      </c>
      <c r="AT23" s="3"/>
      <c r="AU23" s="267" t="s">
        <v>347</v>
      </c>
      <c r="AV23" s="268"/>
      <c r="AW23" s="34">
        <f t="shared" ref="AW23:BB23" si="14">SUM(AW15:AW22)</f>
        <v>1674</v>
      </c>
      <c r="AX23" s="34">
        <f t="shared" si="14"/>
        <v>1674</v>
      </c>
      <c r="AY23" s="34">
        <f t="shared" si="14"/>
        <v>1674</v>
      </c>
      <c r="AZ23" s="34">
        <f t="shared" si="14"/>
        <v>1674</v>
      </c>
      <c r="BA23" s="34">
        <f t="shared" si="14"/>
        <v>1674</v>
      </c>
      <c r="BB23" s="34">
        <f t="shared" si="14"/>
        <v>1674</v>
      </c>
      <c r="BC23" s="3"/>
      <c r="BD23" s="267" t="s">
        <v>347</v>
      </c>
      <c r="BE23" s="268"/>
      <c r="BF23" s="24">
        <f>SUM(BF15:BF22)</f>
        <v>13950</v>
      </c>
      <c r="BG23" s="24">
        <f>SUM(BG15:BG22)</f>
        <v>16740</v>
      </c>
      <c r="BH23" s="24">
        <f>SUM(BH15:BH22)</f>
        <v>20088</v>
      </c>
      <c r="BI23" s="2"/>
      <c r="BJ23" s="2"/>
      <c r="BK23" s="2"/>
    </row>
    <row r="24" spans="2:63" s="5" customFormat="1" ht="12.75" customHeight="1">
      <c r="B24" s="267" t="s">
        <v>350</v>
      </c>
      <c r="C24" s="268"/>
      <c r="D24" s="34">
        <f>'6. PEF5. VENTAS Y COSTES'!$F$29/12</f>
        <v>0</v>
      </c>
      <c r="E24" s="34">
        <f>'6. PEF5. VENTAS Y COSTES'!$F$29/12</f>
        <v>0</v>
      </c>
      <c r="F24" s="34">
        <f>'6. PEF5. VENTAS Y COSTES'!$F$29/12</f>
        <v>0</v>
      </c>
      <c r="G24" s="34">
        <f>'6. PEF5. VENTAS Y COSTES'!$F$29/12</f>
        <v>0</v>
      </c>
      <c r="H24" s="34">
        <f>'6. PEF5. VENTAS Y COSTES'!$F$29/12</f>
        <v>0</v>
      </c>
      <c r="I24" s="34">
        <f>'6. PEF5. VENTAS Y COSTES'!$F$29/12</f>
        <v>0</v>
      </c>
      <c r="J24" s="3"/>
      <c r="K24" s="267" t="s">
        <v>350</v>
      </c>
      <c r="L24" s="268"/>
      <c r="M24" s="34">
        <f>'6. PEF5. VENTAS Y COSTES'!$F$29/12</f>
        <v>0</v>
      </c>
      <c r="N24" s="34">
        <f>'6. PEF5. VENTAS Y COSTES'!$F$29/12</f>
        <v>0</v>
      </c>
      <c r="O24" s="34">
        <f>'6. PEF5. VENTAS Y COSTES'!$F$29/12</f>
        <v>0</v>
      </c>
      <c r="P24" s="34">
        <f>'6. PEF5. VENTAS Y COSTES'!$F$29/12</f>
        <v>0</v>
      </c>
      <c r="Q24" s="34">
        <f>'6. PEF5. VENTAS Y COSTES'!$F$29/12</f>
        <v>0</v>
      </c>
      <c r="R24" s="34">
        <f>'6. PEF5. VENTAS Y COSTES'!$F$29/12</f>
        <v>0</v>
      </c>
      <c r="T24" s="267" t="s">
        <v>350</v>
      </c>
      <c r="U24" s="268"/>
      <c r="V24" s="34">
        <f>'6. PEF5. VENTAS Y COSTES'!$G$29/12</f>
        <v>0</v>
      </c>
      <c r="W24" s="34">
        <f>'6. PEF5. VENTAS Y COSTES'!$G$29/12</f>
        <v>0</v>
      </c>
      <c r="X24" s="34">
        <f>'6. PEF5. VENTAS Y COSTES'!$G$29/12</f>
        <v>0</v>
      </c>
      <c r="Y24" s="34">
        <f>'6. PEF5. VENTAS Y COSTES'!$G$29/12</f>
        <v>0</v>
      </c>
      <c r="Z24" s="34">
        <f>'6. PEF5. VENTAS Y COSTES'!$G$29/12</f>
        <v>0</v>
      </c>
      <c r="AA24" s="34">
        <f>'6. PEF5. VENTAS Y COSTES'!$G$29/12</f>
        <v>0</v>
      </c>
      <c r="AB24" s="3"/>
      <c r="AC24" s="267" t="s">
        <v>350</v>
      </c>
      <c r="AD24" s="268"/>
      <c r="AE24" s="34">
        <f>'6. PEF5. VENTAS Y COSTES'!$G$29/12</f>
        <v>0</v>
      </c>
      <c r="AF24" s="34">
        <f>'6. PEF5. VENTAS Y COSTES'!$G$29/12</f>
        <v>0</v>
      </c>
      <c r="AG24" s="34">
        <f>'6. PEF5. VENTAS Y COSTES'!$G$29/12</f>
        <v>0</v>
      </c>
      <c r="AH24" s="34">
        <f>'6. PEF5. VENTAS Y COSTES'!$G$29/12</f>
        <v>0</v>
      </c>
      <c r="AI24" s="34">
        <f>'6. PEF5. VENTAS Y COSTES'!$G$29/12</f>
        <v>0</v>
      </c>
      <c r="AJ24" s="34">
        <f>'6. PEF5. VENTAS Y COSTES'!$G$29/12</f>
        <v>0</v>
      </c>
      <c r="AL24" s="267" t="s">
        <v>350</v>
      </c>
      <c r="AM24" s="268"/>
      <c r="AN24" s="34">
        <f>'6. PEF5. VENTAS Y COSTES'!$H$29/12</f>
        <v>0</v>
      </c>
      <c r="AO24" s="34">
        <f>'6. PEF5. VENTAS Y COSTES'!$H$29/12</f>
        <v>0</v>
      </c>
      <c r="AP24" s="34">
        <f>'6. PEF5. VENTAS Y COSTES'!$H$29/12</f>
        <v>0</v>
      </c>
      <c r="AQ24" s="34">
        <f>'6. PEF5. VENTAS Y COSTES'!$H$29/12</f>
        <v>0</v>
      </c>
      <c r="AR24" s="34">
        <f>'6. PEF5. VENTAS Y COSTES'!$H$29/12</f>
        <v>0</v>
      </c>
      <c r="AS24" s="34">
        <f>'6. PEF5. VENTAS Y COSTES'!$H$29/12</f>
        <v>0</v>
      </c>
      <c r="AT24" s="3"/>
      <c r="AU24" s="267" t="s">
        <v>350</v>
      </c>
      <c r="AV24" s="268"/>
      <c r="AW24" s="34">
        <f>'6. PEF5. VENTAS Y COSTES'!$H$29/12</f>
        <v>0</v>
      </c>
      <c r="AX24" s="34">
        <f>'6. PEF5. VENTAS Y COSTES'!$H$29/12</f>
        <v>0</v>
      </c>
      <c r="AY24" s="34">
        <f>'6. PEF5. VENTAS Y COSTES'!$H$29/12</f>
        <v>0</v>
      </c>
      <c r="AZ24" s="34">
        <f>'6. PEF5. VENTAS Y COSTES'!$H$29/12</f>
        <v>0</v>
      </c>
      <c r="BA24" s="34">
        <f>'6. PEF5. VENTAS Y COSTES'!$H$29/12</f>
        <v>0</v>
      </c>
      <c r="BB24" s="34">
        <f>'6. PEF5. VENTAS Y COSTES'!$H$29/12</f>
        <v>0</v>
      </c>
      <c r="BC24" s="3"/>
      <c r="BD24" s="267" t="s">
        <v>350</v>
      </c>
      <c r="BE24" s="268"/>
      <c r="BF24" s="24">
        <f>SUM(D24:I24)+SUM(M24:R24)</f>
        <v>0</v>
      </c>
      <c r="BG24" s="24">
        <f t="shared" ref="BG24:BG30" si="15">SUM(V24:AA24)+SUM(AE24:AJ24)</f>
        <v>0</v>
      </c>
      <c r="BH24" s="24">
        <f t="shared" ref="BH24:BH30" si="16">SUM(AN24:AS24)+SUM(AW24:BB24)</f>
        <v>0</v>
      </c>
      <c r="BI24" s="2"/>
      <c r="BJ24" s="2"/>
      <c r="BK24" s="2"/>
    </row>
    <row r="25" spans="2:63" s="5" customFormat="1" ht="12.75" customHeight="1">
      <c r="B25" s="263" t="s">
        <v>170</v>
      </c>
      <c r="C25" s="264"/>
      <c r="D25" s="26">
        <f>'6.PEF4. AMORTIZACIÓN'!$G$33/12</f>
        <v>149.0972222222222</v>
      </c>
      <c r="E25" s="26">
        <f>'6.PEF4. AMORTIZACIÓN'!$G$33/12</f>
        <v>149.0972222222222</v>
      </c>
      <c r="F25" s="26">
        <f>'6.PEF4. AMORTIZACIÓN'!$G$33/12</f>
        <v>149.0972222222222</v>
      </c>
      <c r="G25" s="26">
        <f>'6.PEF4. AMORTIZACIÓN'!$G$33/12</f>
        <v>149.0972222222222</v>
      </c>
      <c r="H25" s="26">
        <f>'6.PEF4. AMORTIZACIÓN'!$G$33/12</f>
        <v>149.0972222222222</v>
      </c>
      <c r="I25" s="26">
        <f>'6.PEF4. AMORTIZACIÓN'!$G$33/12</f>
        <v>149.0972222222222</v>
      </c>
      <c r="J25" s="3"/>
      <c r="K25" s="263" t="s">
        <v>170</v>
      </c>
      <c r="L25" s="264"/>
      <c r="M25" s="26">
        <f>'6.PEF4. AMORTIZACIÓN'!$G$33/12</f>
        <v>149.0972222222222</v>
      </c>
      <c r="N25" s="26">
        <f>'6.PEF4. AMORTIZACIÓN'!$G$33/12</f>
        <v>149.0972222222222</v>
      </c>
      <c r="O25" s="26">
        <f>'6.PEF4. AMORTIZACIÓN'!$G$33/12</f>
        <v>149.0972222222222</v>
      </c>
      <c r="P25" s="26">
        <f>'6.PEF4. AMORTIZACIÓN'!$G$33/12</f>
        <v>149.0972222222222</v>
      </c>
      <c r="Q25" s="26">
        <f>'6.PEF4. AMORTIZACIÓN'!$G$33/12</f>
        <v>149.0972222222222</v>
      </c>
      <c r="R25" s="26">
        <f>'6.PEF4. AMORTIZACIÓN'!$G$33/12</f>
        <v>149.0972222222222</v>
      </c>
      <c r="T25" s="263" t="s">
        <v>170</v>
      </c>
      <c r="U25" s="264"/>
      <c r="V25" s="26">
        <f>'6.PEF4. AMORTIZACIÓN'!$H$33/12</f>
        <v>149.0972222222222</v>
      </c>
      <c r="W25" s="26">
        <f>'6.PEF4. AMORTIZACIÓN'!$H$33/12</f>
        <v>149.0972222222222</v>
      </c>
      <c r="X25" s="26">
        <f>'6.PEF4. AMORTIZACIÓN'!$H$33/12</f>
        <v>149.0972222222222</v>
      </c>
      <c r="Y25" s="26">
        <f>'6.PEF4. AMORTIZACIÓN'!$H$33/12</f>
        <v>149.0972222222222</v>
      </c>
      <c r="Z25" s="26">
        <f>'6.PEF4. AMORTIZACIÓN'!$H$33/12</f>
        <v>149.0972222222222</v>
      </c>
      <c r="AA25" s="26">
        <f>'6.PEF4. AMORTIZACIÓN'!$H$33/12</f>
        <v>149.0972222222222</v>
      </c>
      <c r="AB25" s="3"/>
      <c r="AC25" s="263" t="s">
        <v>170</v>
      </c>
      <c r="AD25" s="264"/>
      <c r="AE25" s="26">
        <f>'6.PEF4. AMORTIZACIÓN'!$H$33/12</f>
        <v>149.0972222222222</v>
      </c>
      <c r="AF25" s="26">
        <f>'6.PEF4. AMORTIZACIÓN'!$H$33/12</f>
        <v>149.0972222222222</v>
      </c>
      <c r="AG25" s="26">
        <f>'6.PEF4. AMORTIZACIÓN'!$H$33/12</f>
        <v>149.0972222222222</v>
      </c>
      <c r="AH25" s="26">
        <f>'6.PEF4. AMORTIZACIÓN'!$H$33/12</f>
        <v>149.0972222222222</v>
      </c>
      <c r="AI25" s="26">
        <f>'6.PEF4. AMORTIZACIÓN'!$H$33/12</f>
        <v>149.0972222222222</v>
      </c>
      <c r="AJ25" s="26">
        <f>'6.PEF4. AMORTIZACIÓN'!$H$33/12</f>
        <v>149.0972222222222</v>
      </c>
      <c r="AL25" s="263" t="s">
        <v>170</v>
      </c>
      <c r="AM25" s="264"/>
      <c r="AN25" s="26">
        <f>'6.PEF4. AMORTIZACIÓN'!$I$33/12</f>
        <v>149.0972222222222</v>
      </c>
      <c r="AO25" s="26">
        <f>'6.PEF4. AMORTIZACIÓN'!$I$33/12</f>
        <v>149.0972222222222</v>
      </c>
      <c r="AP25" s="26">
        <f>'6.PEF4. AMORTIZACIÓN'!$I$33/12</f>
        <v>149.0972222222222</v>
      </c>
      <c r="AQ25" s="26">
        <f>'6.PEF4. AMORTIZACIÓN'!$I$33/12</f>
        <v>149.0972222222222</v>
      </c>
      <c r="AR25" s="26">
        <f>'6.PEF4. AMORTIZACIÓN'!$I$33/12</f>
        <v>149.0972222222222</v>
      </c>
      <c r="AS25" s="26">
        <f>'6.PEF4. AMORTIZACIÓN'!$I$33/12</f>
        <v>149.0972222222222</v>
      </c>
      <c r="AT25" s="3"/>
      <c r="AU25" s="263" t="s">
        <v>170</v>
      </c>
      <c r="AV25" s="264"/>
      <c r="AW25" s="26">
        <f>'6.PEF4. AMORTIZACIÓN'!$I$33/12</f>
        <v>149.0972222222222</v>
      </c>
      <c r="AX25" s="26">
        <f>'6.PEF4. AMORTIZACIÓN'!$I$33/12</f>
        <v>149.0972222222222</v>
      </c>
      <c r="AY25" s="26">
        <f>'6.PEF4. AMORTIZACIÓN'!$I$33/12</f>
        <v>149.0972222222222</v>
      </c>
      <c r="AZ25" s="26">
        <f>'6.PEF4. AMORTIZACIÓN'!$I$33/12</f>
        <v>149.0972222222222</v>
      </c>
      <c r="BA25" s="26">
        <f>'6.PEF4. AMORTIZACIÓN'!$I$33/12</f>
        <v>149.0972222222222</v>
      </c>
      <c r="BB25" s="26">
        <f>'6.PEF4. AMORTIZACIÓN'!$I$33/12</f>
        <v>149.0972222222222</v>
      </c>
      <c r="BC25" s="3"/>
      <c r="BD25" s="263" t="s">
        <v>170</v>
      </c>
      <c r="BE25" s="264"/>
      <c r="BF25" s="24">
        <f>SUM(D25:I25)+SUM(M25:R25)</f>
        <v>1789.1666666666663</v>
      </c>
      <c r="BG25" s="24">
        <f t="shared" si="15"/>
        <v>1789.1666666666663</v>
      </c>
      <c r="BH25" s="24">
        <f t="shared" si="16"/>
        <v>1789.1666666666663</v>
      </c>
      <c r="BI25" s="2"/>
      <c r="BJ25" s="2"/>
      <c r="BK25" s="2"/>
    </row>
    <row r="26" spans="2:63" s="5" customFormat="1" ht="12.75" customHeight="1">
      <c r="B26" s="263" t="s">
        <v>349</v>
      </c>
      <c r="C26" s="264"/>
      <c r="D26" s="26">
        <f t="shared" ref="D26:I26" si="17">D13-D14-D23-D24-D25</f>
        <v>971.73611111111086</v>
      </c>
      <c r="E26" s="26">
        <f t="shared" si="17"/>
        <v>2971.7361111111109</v>
      </c>
      <c r="F26" s="26">
        <f t="shared" si="17"/>
        <v>2971.7361111111109</v>
      </c>
      <c r="G26" s="26">
        <f t="shared" si="17"/>
        <v>6971.7361111111113</v>
      </c>
      <c r="H26" s="26">
        <f t="shared" si="17"/>
        <v>4971.7361111111104</v>
      </c>
      <c r="I26" s="26">
        <f t="shared" si="17"/>
        <v>-2028.2638888888889</v>
      </c>
      <c r="J26" s="3"/>
      <c r="K26" s="263" t="s">
        <v>349</v>
      </c>
      <c r="L26" s="264"/>
      <c r="M26" s="26">
        <f t="shared" ref="M26:R26" si="18">M13-M14-M23-M24-M25</f>
        <v>-2028.2638888888889</v>
      </c>
      <c r="N26" s="26">
        <f t="shared" si="18"/>
        <v>-1528.2638888888889</v>
      </c>
      <c r="O26" s="26">
        <f t="shared" si="18"/>
        <v>2971.7361111111109</v>
      </c>
      <c r="P26" s="26">
        <f t="shared" si="18"/>
        <v>471.73611111111109</v>
      </c>
      <c r="Q26" s="26">
        <f t="shared" si="18"/>
        <v>4971.7361111111104</v>
      </c>
      <c r="R26" s="26">
        <f t="shared" si="18"/>
        <v>-28.263888888888943</v>
      </c>
      <c r="T26" s="263" t="s">
        <v>349</v>
      </c>
      <c r="U26" s="264"/>
      <c r="V26" s="26">
        <f t="shared" ref="V26:AA26" si="19">V13-V14-V23-V24-V25</f>
        <v>1195.9027777777778</v>
      </c>
      <c r="W26" s="26">
        <f t="shared" si="19"/>
        <v>3595.9027777777778</v>
      </c>
      <c r="X26" s="26">
        <f t="shared" si="19"/>
        <v>3595.9027777777778</v>
      </c>
      <c r="Y26" s="26">
        <f t="shared" si="19"/>
        <v>8395.9027777777774</v>
      </c>
      <c r="Z26" s="26">
        <f t="shared" si="19"/>
        <v>5995.9027777777774</v>
      </c>
      <c r="AA26" s="26">
        <f t="shared" si="19"/>
        <v>-2404.0972222222222</v>
      </c>
      <c r="AB26" s="3"/>
      <c r="AC26" s="263" t="s">
        <v>349</v>
      </c>
      <c r="AD26" s="264"/>
      <c r="AE26" s="26">
        <f t="shared" ref="AE26:AJ26" si="20">AE13-AE14-AE23-AE24-AE25</f>
        <v>-2404.0972222222222</v>
      </c>
      <c r="AF26" s="26">
        <f t="shared" si="20"/>
        <v>-1804.0972222222222</v>
      </c>
      <c r="AG26" s="26">
        <f t="shared" si="20"/>
        <v>3595.9027777777778</v>
      </c>
      <c r="AH26" s="26">
        <f t="shared" si="20"/>
        <v>595.90277777777783</v>
      </c>
      <c r="AI26" s="26">
        <f t="shared" si="20"/>
        <v>5995.9027777777774</v>
      </c>
      <c r="AJ26" s="26">
        <f t="shared" si="20"/>
        <v>-4.0972222222222001</v>
      </c>
      <c r="AL26" s="263" t="s">
        <v>349</v>
      </c>
      <c r="AM26" s="264"/>
      <c r="AN26" s="26">
        <f t="shared" ref="AN26:AS26" si="21">AN13-AN14-AN23-AN24-AN25</f>
        <v>1464.9027777777778</v>
      </c>
      <c r="AO26" s="26">
        <f t="shared" si="21"/>
        <v>4344.9027777777774</v>
      </c>
      <c r="AP26" s="26">
        <f t="shared" si="21"/>
        <v>4344.9027777777774</v>
      </c>
      <c r="AQ26" s="26">
        <f t="shared" si="21"/>
        <v>10104.902777777777</v>
      </c>
      <c r="AR26" s="26">
        <f t="shared" si="21"/>
        <v>7224.9027777777774</v>
      </c>
      <c r="AS26" s="26">
        <f t="shared" si="21"/>
        <v>-2855.0972222222222</v>
      </c>
      <c r="AT26" s="3"/>
      <c r="AU26" s="263" t="s">
        <v>349</v>
      </c>
      <c r="AV26" s="264"/>
      <c r="AW26" s="26">
        <f t="shared" ref="AW26:BB26" si="22">AW13-AW14-AW23-AW24-AW25</f>
        <v>-2855.0972222222222</v>
      </c>
      <c r="AX26" s="26">
        <f t="shared" si="22"/>
        <v>-2135.0972222222222</v>
      </c>
      <c r="AY26" s="26">
        <f t="shared" si="22"/>
        <v>4344.9027777777774</v>
      </c>
      <c r="AZ26" s="26">
        <f t="shared" si="22"/>
        <v>744.90277777777783</v>
      </c>
      <c r="BA26" s="26">
        <f t="shared" si="22"/>
        <v>7224.9027777777774</v>
      </c>
      <c r="BB26" s="26">
        <f t="shared" si="22"/>
        <v>24.9027777777778</v>
      </c>
      <c r="BC26" s="3"/>
      <c r="BD26" s="242" t="s">
        <v>349</v>
      </c>
      <c r="BE26" s="242"/>
      <c r="BF26" s="140">
        <f>BF13-BF14-BF23-BF24-BF25</f>
        <v>21660.833333333332</v>
      </c>
      <c r="BG26" s="140">
        <f t="shared" si="15"/>
        <v>26350.833333333328</v>
      </c>
      <c r="BH26" s="140">
        <f t="shared" si="16"/>
        <v>31978.833333333328</v>
      </c>
      <c r="BI26" s="2"/>
      <c r="BJ26" s="2"/>
      <c r="BK26" s="2"/>
    </row>
    <row r="27" spans="2:63" s="5" customFormat="1" ht="12.75" customHeight="1">
      <c r="B27" s="265" t="s">
        <v>442</v>
      </c>
      <c r="C27" s="266"/>
      <c r="D27" s="26">
        <f>'AMORTIZ. PTMO.'!C12+'6.PEF4. AMORTIZACIÓN'!$G$16/12</f>
        <v>129.16666666666669</v>
      </c>
      <c r="E27" s="26">
        <f>'AMORTIZ. PTMO.'!C13+'6.PEF4. AMORTIZACIÓN'!$G$16/12</f>
        <v>127.63494093985997</v>
      </c>
      <c r="F27" s="26">
        <f>'AMORTIZ. PTMO.'!C14+'6.PEF4. AMORTIZACIÓN'!$G$16/12</f>
        <v>126.0968330225249</v>
      </c>
      <c r="G27" s="26">
        <f>'AMORTIZ. PTMO.'!C15+'6.PEF4. AMORTIZACIÓN'!$G$16/12</f>
        <v>124.55231632220097</v>
      </c>
      <c r="H27" s="26">
        <f>'AMORTIZ. PTMO.'!C16+'6.PEF4. AMORTIZACIÓN'!$G$16/12</f>
        <v>123.00136413562566</v>
      </c>
      <c r="I27" s="26">
        <f>'AMORTIZ. PTMO.'!C17+'6.PEF4. AMORTIZACIÓN'!$G$16/12</f>
        <v>121.44394964827296</v>
      </c>
      <c r="J27" s="3"/>
      <c r="K27" s="265" t="s">
        <v>442</v>
      </c>
      <c r="L27" s="266"/>
      <c r="M27" s="26">
        <f>'AMORTIZ. PTMO.'!C18+'6.PEF4. AMORTIZACIÓN'!$G$16/12</f>
        <v>119.88004593388962</v>
      </c>
      <c r="N27" s="26">
        <f>'AMORTIZ. PTMO.'!C19+'6.PEF4. AMORTIZACIÓN'!$G$16/12</f>
        <v>118.30962595402968</v>
      </c>
      <c r="O27" s="26">
        <f>'AMORTIZ. PTMO.'!C20+'6.PEF4. AMORTIZACIÓN'!$G$16/12</f>
        <v>116.73266255758702</v>
      </c>
      <c r="P27" s="26">
        <f>'AMORTIZ. PTMO.'!C21+'6.PEF4. AMORTIZACIÓN'!$G$16/12</f>
        <v>115.14912848032581</v>
      </c>
      <c r="Q27" s="26">
        <f>'AMORTIZ. PTMO.'!C22+'6.PEF4. AMORTIZACIÓN'!$G$16/12</f>
        <v>113.55899634440937</v>
      </c>
      <c r="R27" s="26">
        <f>'AMORTIZ. PTMO.'!C23+'6.PEF4. AMORTIZACIÓN'!$G$16/12</f>
        <v>111.96223865792659</v>
      </c>
      <c r="T27" s="265" t="s">
        <v>442</v>
      </c>
      <c r="U27" s="266"/>
      <c r="V27" s="26">
        <f>'AMORTIZ. PTMO.'!C24</f>
        <v>85.358827814416827</v>
      </c>
      <c r="W27" s="26">
        <f>'AMORTIZ. PTMO.'!C25</f>
        <v>83.74873609239242</v>
      </c>
      <c r="X27" s="26">
        <f>'AMORTIZ. PTMO.'!C26</f>
        <v>82.131935654859589</v>
      </c>
      <c r="Y27" s="26">
        <f>'AMORTIZ. PTMO.'!C27</f>
        <v>80.508398548837036</v>
      </c>
      <c r="Z27" s="26">
        <f>'AMORTIZ. PTMO.'!C28</f>
        <v>78.878096704872704</v>
      </c>
      <c r="AA27" s="26">
        <f>'AMORTIZ. PTMO.'!C29</f>
        <v>77.241001936558547</v>
      </c>
      <c r="AB27" s="3"/>
      <c r="AC27" s="265" t="s">
        <v>442</v>
      </c>
      <c r="AD27" s="266"/>
      <c r="AE27" s="26">
        <f>'AMORTIZ. PTMO.'!C30</f>
        <v>75.597085940043073</v>
      </c>
      <c r="AF27" s="26">
        <f>'AMORTIZ. PTMO.'!C31</f>
        <v>73.946320293542101</v>
      </c>
      <c r="AG27" s="26">
        <f>'AMORTIZ. PTMO.'!C32</f>
        <v>72.288676456847384</v>
      </c>
      <c r="AH27" s="26">
        <f>'AMORTIZ. PTMO.'!C33</f>
        <v>70.624125770833118</v>
      </c>
      <c r="AI27" s="26">
        <f>'AMORTIZ. PTMO.'!C34</f>
        <v>68.952639456960455</v>
      </c>
      <c r="AJ27" s="26">
        <f>'AMORTIZ. PTMO.'!C35</f>
        <v>67.274188616779981</v>
      </c>
      <c r="AL27" s="265" t="s">
        <v>442</v>
      </c>
      <c r="AM27" s="266"/>
      <c r="AN27" s="26">
        <f>'AMORTIZ. PTMO.'!C36</f>
        <v>65.588744231432088</v>
      </c>
      <c r="AO27" s="26">
        <f>'AMORTIZ. PTMO.'!C37</f>
        <v>63.89627716114525</v>
      </c>
      <c r="AP27" s="26">
        <f>'AMORTIZ. PTMO.'!C38</f>
        <v>62.196758144732229</v>
      </c>
      <c r="AQ27" s="26">
        <f>'AMORTIZ. PTMO.'!C39</f>
        <v>60.490157799084123</v>
      </c>
      <c r="AR27" s="26">
        <f>'AMORTIZ. PTMO.'!C40</f>
        <v>58.776446618662504</v>
      </c>
      <c r="AS27" s="26">
        <f>'AMORTIZ. PTMO.'!C41</f>
        <v>57.055594974989141</v>
      </c>
      <c r="AT27" s="3"/>
      <c r="AU27" s="265" t="s">
        <v>442</v>
      </c>
      <c r="AV27" s="266"/>
      <c r="AW27" s="26">
        <f>'AMORTIZ. PTMO.'!C42</f>
        <v>55.327573116133777</v>
      </c>
      <c r="AX27" s="26">
        <f>'AMORTIZ. PTMO.'!C43</f>
        <v>53.592351166199869</v>
      </c>
      <c r="AY27" s="26">
        <f>'AMORTIZ. PTMO.'!C44</f>
        <v>51.849899124807898</v>
      </c>
      <c r="AZ27" s="26">
        <f>'AMORTIZ. PTMO.'!C45</f>
        <v>50.100186866576792</v>
      </c>
      <c r="BA27" s="26">
        <f>'AMORTIZ. PTMO.'!C46</f>
        <v>48.34318414060305</v>
      </c>
      <c r="BB27" s="26">
        <f>'AMORTIZ. PTMO.'!C47</f>
        <v>46.578860569937767</v>
      </c>
      <c r="BC27" s="3"/>
      <c r="BD27" s="265" t="s">
        <v>442</v>
      </c>
      <c r="BE27" s="266"/>
      <c r="BF27" s="26">
        <f>SUM(D27:I27)+SUM(M27:R27)</f>
        <v>1447.4887686633192</v>
      </c>
      <c r="BG27" s="26">
        <f t="shared" si="15"/>
        <v>916.55003328694329</v>
      </c>
      <c r="BH27" s="26">
        <f t="shared" si="16"/>
        <v>673.79603391430453</v>
      </c>
      <c r="BI27" s="2"/>
      <c r="BJ27" s="2"/>
      <c r="BK27" s="2"/>
    </row>
    <row r="28" spans="2:63" s="5" customFormat="1" ht="12.75" customHeight="1">
      <c r="B28" s="263" t="s">
        <v>444</v>
      </c>
      <c r="C28" s="264"/>
      <c r="D28" s="26">
        <f t="shared" ref="D28:I28" si="23">D26-D27</f>
        <v>842.56944444444412</v>
      </c>
      <c r="E28" s="26">
        <f t="shared" si="23"/>
        <v>2844.1011701712509</v>
      </c>
      <c r="F28" s="26">
        <f t="shared" si="23"/>
        <v>2845.6392780885858</v>
      </c>
      <c r="G28" s="26">
        <f t="shared" si="23"/>
        <v>6847.1837947889107</v>
      </c>
      <c r="H28" s="26">
        <f t="shared" si="23"/>
        <v>4848.734746975485</v>
      </c>
      <c r="I28" s="26">
        <f t="shared" si="23"/>
        <v>-2149.7078385371619</v>
      </c>
      <c r="J28" s="3"/>
      <c r="K28" s="263" t="s">
        <v>444</v>
      </c>
      <c r="L28" s="264"/>
      <c r="M28" s="26">
        <f t="shared" ref="M28:R28" si="24">M26-M27</f>
        <v>-2148.1439348227786</v>
      </c>
      <c r="N28" s="26">
        <f t="shared" si="24"/>
        <v>-1646.5735148429185</v>
      </c>
      <c r="O28" s="26">
        <f t="shared" si="24"/>
        <v>2855.0034485535239</v>
      </c>
      <c r="P28" s="26">
        <f t="shared" si="24"/>
        <v>356.58698263078526</v>
      </c>
      <c r="Q28" s="26">
        <f t="shared" si="24"/>
        <v>4858.1771147667014</v>
      </c>
      <c r="R28" s="26">
        <f t="shared" si="24"/>
        <v>-140.22612754681552</v>
      </c>
      <c r="T28" s="263" t="s">
        <v>444</v>
      </c>
      <c r="U28" s="264"/>
      <c r="V28" s="26">
        <f t="shared" ref="V28:AA28" si="25">V26-V27</f>
        <v>1110.543949963361</v>
      </c>
      <c r="W28" s="26">
        <f t="shared" si="25"/>
        <v>3512.1540416853854</v>
      </c>
      <c r="X28" s="26">
        <f t="shared" si="25"/>
        <v>3513.7708421229181</v>
      </c>
      <c r="Y28" s="26">
        <f t="shared" si="25"/>
        <v>8315.394379228941</v>
      </c>
      <c r="Z28" s="26">
        <f t="shared" si="25"/>
        <v>5917.024681072905</v>
      </c>
      <c r="AA28" s="26">
        <f t="shared" si="25"/>
        <v>-2481.3382241587806</v>
      </c>
      <c r="AB28" s="3"/>
      <c r="AC28" s="263" t="s">
        <v>444</v>
      </c>
      <c r="AD28" s="264"/>
      <c r="AE28" s="26">
        <f t="shared" ref="AE28:AJ28" si="26">AE26-AE27</f>
        <v>-2479.6943081622653</v>
      </c>
      <c r="AF28" s="26">
        <f t="shared" si="26"/>
        <v>-1878.0435425157643</v>
      </c>
      <c r="AG28" s="26">
        <f t="shared" si="26"/>
        <v>3523.6141013209303</v>
      </c>
      <c r="AH28" s="26">
        <f t="shared" si="26"/>
        <v>525.27865200694475</v>
      </c>
      <c r="AI28" s="26">
        <f t="shared" si="26"/>
        <v>5926.9501383208171</v>
      </c>
      <c r="AJ28" s="26">
        <f t="shared" si="26"/>
        <v>-71.371410839002181</v>
      </c>
      <c r="AL28" s="263" t="s">
        <v>444</v>
      </c>
      <c r="AM28" s="264"/>
      <c r="AN28" s="26">
        <f t="shared" ref="AN28:AS28" si="27">AN26-AN27</f>
        <v>1399.3140335463459</v>
      </c>
      <c r="AO28" s="26">
        <f t="shared" si="27"/>
        <v>4281.0065006166324</v>
      </c>
      <c r="AP28" s="26">
        <f t="shared" si="27"/>
        <v>4282.7060196330449</v>
      </c>
      <c r="AQ28" s="26">
        <f t="shared" si="27"/>
        <v>10044.412619978693</v>
      </c>
      <c r="AR28" s="26">
        <f t="shared" si="27"/>
        <v>7166.1263311591147</v>
      </c>
      <c r="AS28" s="26">
        <f t="shared" si="27"/>
        <v>-2912.1528171972113</v>
      </c>
      <c r="AT28" s="3"/>
      <c r="AU28" s="263" t="s">
        <v>444</v>
      </c>
      <c r="AV28" s="264"/>
      <c r="AW28" s="26">
        <f t="shared" ref="AW28:BB28" si="28">AW26-AW27</f>
        <v>-2910.424795338356</v>
      </c>
      <c r="AX28" s="26">
        <f t="shared" si="28"/>
        <v>-2188.6895733884221</v>
      </c>
      <c r="AY28" s="26">
        <f t="shared" si="28"/>
        <v>4293.0528786529694</v>
      </c>
      <c r="AZ28" s="26">
        <f t="shared" si="28"/>
        <v>694.80259091120104</v>
      </c>
      <c r="BA28" s="26">
        <f t="shared" si="28"/>
        <v>7176.5595936371747</v>
      </c>
      <c r="BB28" s="26">
        <f t="shared" si="28"/>
        <v>-21.676082792159967</v>
      </c>
      <c r="BC28" s="3"/>
      <c r="BD28" s="242" t="s">
        <v>444</v>
      </c>
      <c r="BE28" s="242"/>
      <c r="BF28" s="140">
        <f>SUM(D28:I28)+SUM(M28:R28)</f>
        <v>20213.344564670013</v>
      </c>
      <c r="BG28" s="140">
        <f t="shared" si="15"/>
        <v>25434.283300046387</v>
      </c>
      <c r="BH28" s="140">
        <f t="shared" si="16"/>
        <v>31305.037299419022</v>
      </c>
      <c r="BI28" s="2"/>
      <c r="BJ28" s="2"/>
      <c r="BK28" s="2"/>
    </row>
    <row r="29" spans="2:63" s="5" customFormat="1" ht="12.75" customHeight="1">
      <c r="B29" s="261" t="s">
        <v>443</v>
      </c>
      <c r="C29" s="262"/>
      <c r="D29" s="26">
        <f>IF($BF$29=0,0,D28*'6. PEF5. VENTAS Y COSTES'!$F$44)</f>
        <v>210.64236111111103</v>
      </c>
      <c r="E29" s="26">
        <f>IF($BF$29=0,0,E28*'6. PEF5. VENTAS Y COSTES'!$F$44)</f>
        <v>711.02529254281274</v>
      </c>
      <c r="F29" s="26">
        <f>IF($BF$29=0,0,F28*'6. PEF5. VENTAS Y COSTES'!$F$44)</f>
        <v>711.40981952214645</v>
      </c>
      <c r="G29" s="26">
        <f>IF($BF$29=0,0,G28*'6. PEF5. VENTAS Y COSTES'!$F$44)</f>
        <v>1711.7959486972277</v>
      </c>
      <c r="H29" s="26">
        <f>IF($BF$29=0,0,H28*'6. PEF5. VENTAS Y COSTES'!$F$44)</f>
        <v>1212.1836867438712</v>
      </c>
      <c r="I29" s="26">
        <f>IF($BF$29=0,0,I28*'6. PEF5. VENTAS Y COSTES'!$F$44)</f>
        <v>-537.42695963429048</v>
      </c>
      <c r="J29" s="3"/>
      <c r="K29" s="261" t="s">
        <v>443</v>
      </c>
      <c r="L29" s="262"/>
      <c r="M29" s="26">
        <f>IF($BF$29=0,0,M28*'6. PEF5. VENTAS Y COSTES'!$F$44)</f>
        <v>-537.03598370569466</v>
      </c>
      <c r="N29" s="26">
        <f>IF($BF$29=0,0,N28*'6. PEF5. VENTAS Y COSTES'!$F$44)</f>
        <v>-411.64337871072962</v>
      </c>
      <c r="O29" s="26">
        <f>IF($BF$29=0,0,O28*'6. PEF5. VENTAS Y COSTES'!$F$44)</f>
        <v>713.75086213838097</v>
      </c>
      <c r="P29" s="26">
        <f>IF($BF$29=0,0,P28*'6. PEF5. VENTAS Y COSTES'!$F$44)</f>
        <v>89.146745657696314</v>
      </c>
      <c r="Q29" s="26">
        <f>IF($BF$29=0,0,Q28*'6. PEF5. VENTAS Y COSTES'!$F$44)</f>
        <v>1214.5442786916753</v>
      </c>
      <c r="R29" s="26">
        <f>IF($BF$29=0,0,R28*'6. PEF5. VENTAS Y COSTES'!$F$44)</f>
        <v>-35.05653188670388</v>
      </c>
      <c r="T29" s="261" t="s">
        <v>443</v>
      </c>
      <c r="U29" s="262"/>
      <c r="V29" s="26">
        <f>IF($BG$29=0,0,V28*'6. PEF5. VENTAS Y COSTES'!$F$44)</f>
        <v>277.63598749084025</v>
      </c>
      <c r="W29" s="26">
        <f>IF($BG$29=0,0,W28*'6. PEF5. VENTAS Y COSTES'!$F$44)</f>
        <v>878.03851042134636</v>
      </c>
      <c r="X29" s="26">
        <f>IF($BG$29=0,0,X28*'6. PEF5. VENTAS Y COSTES'!$F$44)</f>
        <v>878.44271053072953</v>
      </c>
      <c r="Y29" s="26">
        <f>IF($BG$29=0,0,Y28*'6. PEF5. VENTAS Y COSTES'!$F$44)</f>
        <v>2078.8485948072353</v>
      </c>
      <c r="Z29" s="26">
        <f>IF($BG$29=0,0,Z28*'6. PEF5. VENTAS Y COSTES'!$F$44)</f>
        <v>1479.2561702682262</v>
      </c>
      <c r="AA29" s="26">
        <f>IF($BG$29=0,0,AA28*'6. PEF5. VENTAS Y COSTES'!$F$44)</f>
        <v>-620.33455603969514</v>
      </c>
      <c r="AB29" s="3"/>
      <c r="AC29" s="261" t="s">
        <v>443</v>
      </c>
      <c r="AD29" s="262"/>
      <c r="AE29" s="26">
        <f>IF($BG$29=0,0,AE28*'6. PEF5. VENTAS Y COSTES'!$F$44)</f>
        <v>-619.92357704056633</v>
      </c>
      <c r="AF29" s="26">
        <f>IF($BG$29=0,0,AF28*'6. PEF5. VENTAS Y COSTES'!$F$44)</f>
        <v>-469.51088562894108</v>
      </c>
      <c r="AG29" s="26">
        <f>IF($BG$29=0,0,AG28*'6. PEF5. VENTAS Y COSTES'!$F$44)</f>
        <v>880.90352533023258</v>
      </c>
      <c r="AH29" s="26">
        <f>IF($BG$29=0,0,AH28*'6. PEF5. VENTAS Y COSTES'!$F$44)</f>
        <v>131.31966300173619</v>
      </c>
      <c r="AI29" s="26">
        <f>IF($BG$29=0,0,AI28*'6. PEF5. VENTAS Y COSTES'!$F$44)</f>
        <v>1481.7375345802043</v>
      </c>
      <c r="AJ29" s="26">
        <f>IF($BG$29=0,0,AJ28*'6. PEF5. VENTAS Y COSTES'!$F$44)</f>
        <v>-17.842852709750545</v>
      </c>
      <c r="AL29" s="261" t="s">
        <v>443</v>
      </c>
      <c r="AM29" s="262"/>
      <c r="AN29" s="26">
        <f>IF($BH$29=0,0,AN28*'6. PEF5. VENTAS Y COSTES'!$F$44)</f>
        <v>349.82850838658646</v>
      </c>
      <c r="AO29" s="26">
        <f>IF($BH$29=0,0,AO28*'6. PEF5. VENTAS Y COSTES'!$F$44)</f>
        <v>1070.2516251541581</v>
      </c>
      <c r="AP29" s="26">
        <f>IF($BH$29=0,0,AP28*'6. PEF5. VENTAS Y COSTES'!$F$44)</f>
        <v>1070.6765049082612</v>
      </c>
      <c r="AQ29" s="26">
        <f>IF($BH$29=0,0,AQ28*'6. PEF5. VENTAS Y COSTES'!$F$44)</f>
        <v>2511.1031549946733</v>
      </c>
      <c r="AR29" s="26">
        <f>IF($BH$29=0,0,AR28*'6. PEF5. VENTAS Y COSTES'!$F$44)</f>
        <v>1791.5315827897787</v>
      </c>
      <c r="AS29" s="26">
        <f>IF($BH$29=0,0,AS28*'6. PEF5. VENTAS Y COSTES'!$F$44)</f>
        <v>-728.03820429930283</v>
      </c>
      <c r="AT29" s="3"/>
      <c r="AU29" s="261" t="s">
        <v>443</v>
      </c>
      <c r="AV29" s="262"/>
      <c r="AW29" s="26">
        <f>IF($BH$29=0,0,AW28*'6. PEF5. VENTAS Y COSTES'!$F$44)</f>
        <v>-727.60619883458901</v>
      </c>
      <c r="AX29" s="26">
        <f>IF($BH$29=0,0,AX28*'6. PEF5. VENTAS Y COSTES'!$F$44)</f>
        <v>-547.17239334710553</v>
      </c>
      <c r="AY29" s="26">
        <f>IF($BH$29=0,0,AY28*'6. PEF5. VENTAS Y COSTES'!$F$44)</f>
        <v>1073.2632196632424</v>
      </c>
      <c r="AZ29" s="26">
        <f>IF($BH$29=0,0,AZ28*'6. PEF5. VENTAS Y COSTES'!$F$44)</f>
        <v>173.70064772780026</v>
      </c>
      <c r="BA29" s="26">
        <f>IF($BH$29=0,0,BA28*'6. PEF5. VENTAS Y COSTES'!$F$44)</f>
        <v>1794.1398984092937</v>
      </c>
      <c r="BB29" s="26">
        <f>IF($BH$29=0,0,BB28*'6. PEF5. VENTAS Y COSTES'!$F$44)</f>
        <v>-5.4190206980399918</v>
      </c>
      <c r="BC29" s="3"/>
      <c r="BD29" s="261" t="s">
        <v>443</v>
      </c>
      <c r="BE29" s="262"/>
      <c r="BF29" s="26">
        <f>MAX('6. PEF5. VENTAS Y COSTES'!$F$44*BF28,0)</f>
        <v>5053.3361411675032</v>
      </c>
      <c r="BG29" s="26">
        <f>MAX('6. PEF5. VENTAS Y COSTES'!$F$44*BG28,0)</f>
        <v>6358.5708250115968</v>
      </c>
      <c r="BH29" s="26">
        <f>MAX('6. PEF5. VENTAS Y COSTES'!$F$44*BH28,0)</f>
        <v>7826.2593248547555</v>
      </c>
      <c r="BI29" s="2"/>
      <c r="BJ29" s="2"/>
      <c r="BK29" s="2"/>
    </row>
    <row r="30" spans="2:63" s="5" customFormat="1" ht="12.75" customHeight="1">
      <c r="B30" s="263" t="s">
        <v>445</v>
      </c>
      <c r="C30" s="264"/>
      <c r="D30" s="26">
        <f t="shared" ref="D30:I30" si="29">D28-D29</f>
        <v>631.92708333333303</v>
      </c>
      <c r="E30" s="26">
        <f t="shared" si="29"/>
        <v>2133.0758776284383</v>
      </c>
      <c r="F30" s="26">
        <f t="shared" si="29"/>
        <v>2134.2294585664395</v>
      </c>
      <c r="G30" s="26">
        <f t="shared" si="29"/>
        <v>5135.3878460916831</v>
      </c>
      <c r="H30" s="26">
        <f t="shared" si="29"/>
        <v>3636.5510602316135</v>
      </c>
      <c r="I30" s="26">
        <f t="shared" si="29"/>
        <v>-1612.2808789028713</v>
      </c>
      <c r="J30" s="3"/>
      <c r="K30" s="263" t="s">
        <v>445</v>
      </c>
      <c r="L30" s="264"/>
      <c r="M30" s="26">
        <f t="shared" ref="M30:R30" si="30">M28-M29</f>
        <v>-1611.107951117084</v>
      </c>
      <c r="N30" s="26">
        <f t="shared" si="30"/>
        <v>-1234.9301361321889</v>
      </c>
      <c r="O30" s="26">
        <f t="shared" si="30"/>
        <v>2141.252586415143</v>
      </c>
      <c r="P30" s="26">
        <f t="shared" si="30"/>
        <v>267.44023697308893</v>
      </c>
      <c r="Q30" s="26">
        <f t="shared" si="30"/>
        <v>3643.6328360750258</v>
      </c>
      <c r="R30" s="26">
        <f t="shared" si="30"/>
        <v>-105.16959566011164</v>
      </c>
      <c r="T30" s="263" t="s">
        <v>445</v>
      </c>
      <c r="U30" s="264"/>
      <c r="V30" s="26">
        <f t="shared" ref="V30:AA30" si="31">V28-V29</f>
        <v>832.90796247252069</v>
      </c>
      <c r="W30" s="26">
        <f t="shared" si="31"/>
        <v>2634.115531264039</v>
      </c>
      <c r="X30" s="26">
        <f t="shared" si="31"/>
        <v>2635.3281315921886</v>
      </c>
      <c r="Y30" s="26">
        <f t="shared" si="31"/>
        <v>6236.5457844217053</v>
      </c>
      <c r="Z30" s="26">
        <f t="shared" si="31"/>
        <v>4437.768510804679</v>
      </c>
      <c r="AA30" s="26">
        <f t="shared" si="31"/>
        <v>-1861.0036681190854</v>
      </c>
      <c r="AB30" s="3"/>
      <c r="AC30" s="263" t="s">
        <v>445</v>
      </c>
      <c r="AD30" s="264"/>
      <c r="AE30" s="26">
        <f t="shared" ref="AE30:AJ30" si="32">AE28-AE29</f>
        <v>-1859.7707311216991</v>
      </c>
      <c r="AF30" s="26">
        <f t="shared" si="32"/>
        <v>-1408.5326568868231</v>
      </c>
      <c r="AG30" s="26">
        <f t="shared" si="32"/>
        <v>2642.7105759906976</v>
      </c>
      <c r="AH30" s="26">
        <f t="shared" si="32"/>
        <v>393.95898900520854</v>
      </c>
      <c r="AI30" s="26">
        <f t="shared" si="32"/>
        <v>4445.2126037406124</v>
      </c>
      <c r="AJ30" s="26">
        <f t="shared" si="32"/>
        <v>-53.528558129251635</v>
      </c>
      <c r="AL30" s="263" t="s">
        <v>445</v>
      </c>
      <c r="AM30" s="264"/>
      <c r="AN30" s="26">
        <f t="shared" ref="AN30:AS30" si="33">AN28-AN29</f>
        <v>1049.4855251597594</v>
      </c>
      <c r="AO30" s="26">
        <f t="shared" si="33"/>
        <v>3210.754875462474</v>
      </c>
      <c r="AP30" s="26">
        <f t="shared" si="33"/>
        <v>3212.0295147247834</v>
      </c>
      <c r="AQ30" s="26">
        <f t="shared" si="33"/>
        <v>7533.3094649840205</v>
      </c>
      <c r="AR30" s="26">
        <f t="shared" si="33"/>
        <v>5374.5947483693362</v>
      </c>
      <c r="AS30" s="26">
        <f t="shared" si="33"/>
        <v>-2184.1146128979085</v>
      </c>
      <c r="AT30" s="3"/>
      <c r="AU30" s="263" t="s">
        <v>445</v>
      </c>
      <c r="AV30" s="264"/>
      <c r="AW30" s="26">
        <f t="shared" ref="AW30:BB30" si="34">AW28-AW29</f>
        <v>-2182.8185965037669</v>
      </c>
      <c r="AX30" s="26">
        <f t="shared" si="34"/>
        <v>-1641.5171800413166</v>
      </c>
      <c r="AY30" s="26">
        <f t="shared" si="34"/>
        <v>3219.7896589897273</v>
      </c>
      <c r="AZ30" s="26">
        <f t="shared" si="34"/>
        <v>521.10194318340075</v>
      </c>
      <c r="BA30" s="26">
        <f t="shared" si="34"/>
        <v>5382.4196952278808</v>
      </c>
      <c r="BB30" s="26">
        <f t="shared" si="34"/>
        <v>-16.257062094119973</v>
      </c>
      <c r="BC30" s="3"/>
      <c r="BD30" s="242" t="s">
        <v>445</v>
      </c>
      <c r="BE30" s="242"/>
      <c r="BF30" s="140">
        <f>SUM(D30:I30)+SUM(M30:R30)</f>
        <v>15160.00842350251</v>
      </c>
      <c r="BG30" s="140">
        <f t="shared" si="15"/>
        <v>19075.712475034794</v>
      </c>
      <c r="BH30" s="140">
        <f t="shared" si="16"/>
        <v>23478.777974564273</v>
      </c>
      <c r="BI30" s="2"/>
      <c r="BJ30" s="2"/>
      <c r="BK30" s="2"/>
    </row>
    <row r="31" spans="2:63" s="5" customFormat="1" ht="12.75" customHeight="1">
      <c r="K31" s="48"/>
      <c r="L31" s="48"/>
      <c r="M31" s="2"/>
      <c r="N31" s="2"/>
      <c r="O31" s="2"/>
      <c r="P31" s="2"/>
      <c r="Q31" s="2"/>
      <c r="R31" s="2"/>
      <c r="AC31" s="48"/>
      <c r="AD31" s="48"/>
      <c r="AE31" s="2"/>
      <c r="AF31" s="2"/>
      <c r="AG31" s="2"/>
      <c r="AH31" s="2"/>
      <c r="AI31" s="2"/>
      <c r="AJ31" s="2"/>
      <c r="AU31" s="48"/>
      <c r="AV31" s="48"/>
      <c r="AW31" s="2"/>
      <c r="AX31" s="2"/>
      <c r="AY31" s="2"/>
      <c r="AZ31" s="2"/>
      <c r="BA31" s="2"/>
      <c r="BB31" s="2"/>
      <c r="BD31" s="48"/>
      <c r="BE31" s="48"/>
      <c r="BF31" s="2"/>
      <c r="BG31" s="2"/>
      <c r="BH31" s="2"/>
      <c r="BI31" s="2"/>
      <c r="BJ31" s="2"/>
      <c r="BK31" s="2"/>
    </row>
    <row r="32" spans="2:63" s="5" customFormat="1" ht="12.75" customHeight="1">
      <c r="K32" s="48"/>
      <c r="L32" s="48"/>
      <c r="M32" s="2"/>
      <c r="N32" s="2"/>
      <c r="O32" s="2"/>
      <c r="P32" s="2"/>
      <c r="Q32" s="2"/>
      <c r="R32" s="2"/>
      <c r="AC32" s="48"/>
      <c r="AD32" s="48"/>
      <c r="AE32" s="2"/>
      <c r="AF32" s="2"/>
      <c r="AG32" s="2"/>
      <c r="AH32" s="2"/>
      <c r="AI32" s="2"/>
      <c r="AJ32" s="2"/>
      <c r="AU32" s="48"/>
      <c r="AV32" s="48"/>
      <c r="AW32" s="2"/>
      <c r="AX32" s="2"/>
      <c r="AY32" s="2"/>
      <c r="AZ32" s="2"/>
      <c r="BA32" s="2"/>
      <c r="BB32" s="2"/>
      <c r="BD32" s="48"/>
      <c r="BE32" s="48"/>
      <c r="BF32" s="2"/>
      <c r="BG32" s="2"/>
      <c r="BH32" s="2"/>
      <c r="BI32" s="2"/>
      <c r="BJ32" s="2"/>
      <c r="BK32" s="2"/>
    </row>
    <row r="33" spans="3:63" s="5" customFormat="1" ht="12.75" customHeight="1">
      <c r="K33" s="48"/>
      <c r="L33" s="48"/>
      <c r="M33" s="2"/>
      <c r="N33" s="2"/>
      <c r="O33" s="2"/>
      <c r="P33" s="2"/>
      <c r="Q33" s="2"/>
      <c r="R33" s="2"/>
      <c r="AC33" s="48"/>
      <c r="AD33" s="48"/>
      <c r="AE33" s="2"/>
      <c r="AF33" s="2"/>
      <c r="AG33" s="2"/>
      <c r="AH33" s="2"/>
      <c r="AI33" s="2"/>
      <c r="AJ33" s="2"/>
      <c r="AU33" s="48"/>
      <c r="AV33" s="48"/>
      <c r="AW33" s="2"/>
      <c r="AX33" s="2"/>
      <c r="AY33" s="2"/>
      <c r="AZ33" s="2"/>
      <c r="BA33" s="2"/>
      <c r="BB33" s="2"/>
      <c r="BD33" s="48"/>
      <c r="BE33" s="48"/>
      <c r="BF33" s="2"/>
      <c r="BG33" s="2"/>
      <c r="BH33" s="2"/>
      <c r="BI33" s="2"/>
      <c r="BJ33" s="2"/>
      <c r="BK33" s="2"/>
    </row>
    <row r="34" spans="3:63" ht="12.75" customHeight="1">
      <c r="K34" s="48"/>
      <c r="L34" s="48"/>
      <c r="M34" s="2"/>
      <c r="N34" s="2"/>
      <c r="O34" s="2"/>
      <c r="P34" s="2"/>
      <c r="Q34" s="2"/>
      <c r="R34" s="2"/>
      <c r="AC34" s="48"/>
      <c r="AD34" s="48"/>
      <c r="AE34" s="2"/>
      <c r="AF34" s="2"/>
      <c r="AG34" s="2"/>
      <c r="AH34" s="2"/>
      <c r="AI34" s="2"/>
      <c r="AJ34" s="2"/>
      <c r="AU34" s="48"/>
      <c r="AV34" s="48"/>
      <c r="AW34" s="2"/>
      <c r="AX34" s="2"/>
      <c r="AY34" s="2"/>
      <c r="AZ34" s="2"/>
      <c r="BA34" s="2"/>
      <c r="BB34" s="2"/>
      <c r="BD34" s="48"/>
      <c r="BE34" s="48"/>
      <c r="BF34" s="2"/>
      <c r="BG34" s="2"/>
      <c r="BH34" s="2"/>
      <c r="BI34" s="2"/>
      <c r="BJ34" s="2"/>
      <c r="BK34" s="2"/>
    </row>
    <row r="35" spans="3:63" ht="12.75" customHeight="1">
      <c r="K35" s="49"/>
      <c r="L35" s="49"/>
      <c r="M35" s="2"/>
      <c r="N35" s="2"/>
      <c r="O35" s="2"/>
      <c r="P35" s="2"/>
      <c r="Q35" s="2"/>
      <c r="R35" s="2"/>
      <c r="AC35" s="49"/>
      <c r="AD35" s="49"/>
      <c r="AE35" s="2"/>
      <c r="AF35" s="2"/>
      <c r="AG35" s="2"/>
      <c r="AH35" s="2"/>
      <c r="AI35" s="2"/>
      <c r="AJ35" s="2"/>
      <c r="AU35" s="49"/>
      <c r="AV35" s="49"/>
      <c r="AW35" s="2"/>
      <c r="AX35" s="2"/>
      <c r="AY35" s="2"/>
      <c r="AZ35" s="2"/>
      <c r="BA35" s="2"/>
      <c r="BB35" s="2"/>
      <c r="BD35" s="49"/>
      <c r="BE35" s="49"/>
      <c r="BF35" s="2"/>
      <c r="BG35" s="2"/>
      <c r="BH35" s="2"/>
      <c r="BI35" s="2"/>
      <c r="BJ35" s="2"/>
      <c r="BK35" s="2"/>
    </row>
    <row r="36" spans="3:63" ht="12.75" customHeight="1">
      <c r="K36" s="50"/>
      <c r="L36" s="50"/>
      <c r="M36" s="38"/>
      <c r="N36" s="38"/>
      <c r="O36" s="38"/>
      <c r="P36" s="38"/>
      <c r="Q36" s="38"/>
      <c r="R36" s="38"/>
      <c r="AC36" s="50"/>
      <c r="AD36" s="50"/>
      <c r="AE36" s="38"/>
      <c r="AF36" s="38"/>
      <c r="AG36" s="38"/>
      <c r="AH36" s="38"/>
      <c r="AI36" s="38"/>
      <c r="AJ36" s="38"/>
      <c r="AU36" s="50"/>
      <c r="AV36" s="50"/>
      <c r="AW36" s="38"/>
      <c r="AX36" s="38"/>
      <c r="AY36" s="38"/>
      <c r="AZ36" s="38"/>
      <c r="BA36" s="38"/>
      <c r="BB36" s="38"/>
      <c r="BD36" s="50"/>
      <c r="BE36" s="50"/>
      <c r="BF36" s="38"/>
      <c r="BG36" s="38"/>
      <c r="BH36" s="38"/>
      <c r="BI36" s="38"/>
      <c r="BJ36" s="38"/>
      <c r="BK36" s="38"/>
    </row>
    <row r="37" spans="3:63" ht="12.75" customHeight="1">
      <c r="M37" s="3"/>
      <c r="N37" s="3"/>
      <c r="O37" s="3"/>
      <c r="P37" s="3"/>
      <c r="Q37" s="3"/>
      <c r="R37" s="3"/>
      <c r="AE37" s="3"/>
      <c r="AF37" s="3"/>
      <c r="AG37" s="3"/>
      <c r="AH37" s="3"/>
      <c r="AI37" s="3"/>
      <c r="AJ37" s="3"/>
      <c r="AW37" s="3"/>
      <c r="AX37" s="3"/>
      <c r="AY37" s="3"/>
      <c r="AZ37" s="3"/>
      <c r="BA37" s="3"/>
      <c r="BB37" s="3"/>
      <c r="BF37" s="3"/>
      <c r="BG37" s="3"/>
      <c r="BH37" s="3"/>
      <c r="BI37" s="3"/>
      <c r="BJ37" s="3"/>
      <c r="BK37" s="3"/>
    </row>
    <row r="38" spans="3:63" ht="12.75" customHeight="1">
      <c r="P38" s="2"/>
      <c r="Q38" s="2"/>
      <c r="R38" s="42"/>
      <c r="AH38" s="2"/>
      <c r="AI38" s="2"/>
      <c r="AJ38" s="42"/>
      <c r="AZ38" s="2"/>
      <c r="BA38" s="2"/>
      <c r="BB38" s="42"/>
      <c r="BI38" s="2"/>
      <c r="BJ38" s="2"/>
      <c r="BK38" s="42"/>
    </row>
    <row r="39" spans="3:63" ht="12.75" customHeight="1">
      <c r="P39" s="2"/>
      <c r="Q39" s="2"/>
      <c r="R39" s="43"/>
      <c r="AH39" s="2"/>
      <c r="AI39" s="2"/>
      <c r="AJ39" s="43"/>
      <c r="AZ39" s="2"/>
      <c r="BA39" s="2"/>
      <c r="BB39" s="43"/>
      <c r="BI39" s="2"/>
      <c r="BJ39" s="2"/>
      <c r="BK39" s="43"/>
    </row>
    <row r="40" spans="3:63">
      <c r="P40" s="2"/>
      <c r="Q40" s="2"/>
      <c r="R40" s="43"/>
      <c r="AH40" s="2"/>
      <c r="AI40" s="2"/>
      <c r="AJ40" s="43"/>
      <c r="AZ40" s="2"/>
      <c r="BA40" s="2"/>
      <c r="BB40" s="43"/>
      <c r="BI40" s="2"/>
      <c r="BJ40" s="2"/>
      <c r="BK40" s="43"/>
    </row>
    <row r="41" spans="3:63">
      <c r="P41" s="2"/>
      <c r="Q41" s="3"/>
      <c r="R41" s="44"/>
      <c r="AH41" s="2"/>
      <c r="AI41" s="3"/>
      <c r="AJ41" s="44"/>
      <c r="AZ41" s="2"/>
      <c r="BA41" s="3"/>
      <c r="BB41" s="44"/>
      <c r="BI41" s="2"/>
      <c r="BJ41" s="3"/>
      <c r="BK41" s="44"/>
    </row>
    <row r="42" spans="3:63">
      <c r="L42" s="45"/>
      <c r="M42" s="45"/>
      <c r="N42" s="45"/>
      <c r="O42" s="38"/>
      <c r="P42" s="2"/>
      <c r="R42" s="8"/>
      <c r="AD42" s="45"/>
      <c r="AE42" s="45"/>
      <c r="AF42" s="45"/>
      <c r="AG42" s="38"/>
      <c r="AH42" s="2"/>
      <c r="AJ42" s="8"/>
      <c r="AV42" s="45"/>
      <c r="AW42" s="45"/>
      <c r="AX42" s="45"/>
      <c r="AY42" s="38"/>
      <c r="AZ42" s="2"/>
      <c r="BB42" s="8"/>
      <c r="BE42" s="45"/>
      <c r="BF42" s="45"/>
      <c r="BG42" s="45"/>
      <c r="BH42" s="38"/>
      <c r="BI42" s="2"/>
      <c r="BK42" s="8"/>
    </row>
    <row r="43" spans="3:63">
      <c r="D43" s="32"/>
      <c r="E43" s="32"/>
      <c r="F43" s="32"/>
      <c r="G43" s="32"/>
      <c r="H43" s="32"/>
      <c r="I43" s="32"/>
      <c r="L43" s="45"/>
      <c r="M43" s="45"/>
      <c r="N43" s="45"/>
      <c r="O43" s="38"/>
      <c r="P43" s="2"/>
      <c r="R43" s="8"/>
      <c r="V43" s="32"/>
      <c r="W43" s="32"/>
      <c r="X43" s="32"/>
      <c r="Y43" s="32"/>
      <c r="Z43" s="32"/>
      <c r="AA43" s="32"/>
      <c r="AD43" s="45"/>
      <c r="AE43" s="45"/>
      <c r="AF43" s="45"/>
      <c r="AG43" s="38"/>
      <c r="AH43" s="2"/>
      <c r="AJ43" s="8"/>
      <c r="AN43" s="32"/>
      <c r="AO43" s="32"/>
      <c r="AP43" s="32"/>
      <c r="AQ43" s="32"/>
      <c r="AR43" s="32"/>
      <c r="AS43" s="32"/>
      <c r="AV43" s="45"/>
      <c r="AW43" s="45"/>
      <c r="AX43" s="45"/>
      <c r="AY43" s="38"/>
      <c r="AZ43" s="2"/>
      <c r="BB43" s="8"/>
      <c r="BE43" s="45"/>
      <c r="BF43" s="45"/>
      <c r="BG43" s="45"/>
      <c r="BH43" s="38"/>
      <c r="BI43" s="2"/>
      <c r="BK43" s="8"/>
    </row>
    <row r="44" spans="3:63">
      <c r="C44" s="8"/>
      <c r="D44" s="8"/>
      <c r="E44" s="8"/>
      <c r="F44" s="8"/>
      <c r="G44" s="8"/>
      <c r="H44" s="8"/>
      <c r="I44" s="8"/>
      <c r="J44" s="8"/>
      <c r="K44" s="8"/>
      <c r="L44" s="8"/>
      <c r="M44" s="8"/>
      <c r="N44" s="8"/>
      <c r="O44" s="8"/>
      <c r="P44" s="46"/>
      <c r="Q44" s="8"/>
      <c r="R44" s="8"/>
      <c r="U44" s="8"/>
      <c r="V44" s="8"/>
      <c r="W44" s="8"/>
      <c r="X44" s="8"/>
      <c r="Y44" s="8"/>
      <c r="Z44" s="8"/>
      <c r="AA44" s="8"/>
      <c r="AB44" s="8"/>
      <c r="AC44" s="8"/>
      <c r="AD44" s="8"/>
      <c r="AE44" s="8"/>
      <c r="AF44" s="8"/>
      <c r="AG44" s="8"/>
      <c r="AH44" s="46"/>
      <c r="AI44" s="8"/>
      <c r="AJ44" s="8"/>
      <c r="AM44" s="8"/>
      <c r="AN44" s="8"/>
      <c r="AO44" s="8"/>
      <c r="AP44" s="8"/>
      <c r="AQ44" s="8"/>
      <c r="AR44" s="8"/>
      <c r="AS44" s="8"/>
      <c r="AT44" s="8"/>
      <c r="AU44" s="8"/>
      <c r="AV44" s="8"/>
      <c r="AW44" s="8"/>
      <c r="AX44" s="8"/>
      <c r="AY44" s="8"/>
      <c r="AZ44" s="46"/>
      <c r="BA44" s="8"/>
      <c r="BB44" s="8"/>
      <c r="BC44" s="8"/>
      <c r="BD44" s="8"/>
      <c r="BE44" s="8"/>
      <c r="BF44" s="8"/>
      <c r="BG44" s="8"/>
      <c r="BH44" s="8"/>
      <c r="BI44" s="46"/>
      <c r="BJ44" s="8"/>
      <c r="BK44" s="8"/>
    </row>
    <row r="45" spans="3:63">
      <c r="J45" s="8"/>
      <c r="K45" s="8"/>
      <c r="L45" s="8"/>
      <c r="M45" s="8"/>
      <c r="N45" s="8"/>
      <c r="O45" s="8"/>
      <c r="P45" s="8"/>
      <c r="Q45" s="8"/>
      <c r="R45" s="8"/>
      <c r="AB45" s="8"/>
      <c r="AC45" s="8"/>
      <c r="AD45" s="8"/>
      <c r="AE45" s="8"/>
      <c r="AF45" s="8"/>
      <c r="AG45" s="8"/>
      <c r="AH45" s="8"/>
      <c r="AI45" s="8"/>
      <c r="AJ45" s="8"/>
      <c r="AT45" s="8"/>
      <c r="AU45" s="8"/>
      <c r="AV45" s="8"/>
      <c r="AW45" s="8"/>
      <c r="AX45" s="8"/>
      <c r="AY45" s="8"/>
      <c r="AZ45" s="8"/>
      <c r="BA45" s="8"/>
      <c r="BB45" s="8"/>
      <c r="BC45" s="8"/>
      <c r="BD45" s="8"/>
      <c r="BE45" s="8"/>
      <c r="BF45" s="8"/>
      <c r="BG45" s="8"/>
      <c r="BH45" s="8"/>
      <c r="BI45" s="8"/>
      <c r="BJ45" s="8"/>
      <c r="BK45" s="8"/>
    </row>
    <row r="54" spans="1:63">
      <c r="B54" s="73"/>
      <c r="C54" s="73"/>
      <c r="D54" s="73"/>
      <c r="E54" s="73"/>
      <c r="F54" s="73"/>
      <c r="G54" s="73"/>
      <c r="H54" s="73"/>
      <c r="I54" s="73"/>
      <c r="K54" s="73"/>
      <c r="L54" s="73"/>
      <c r="M54" s="73"/>
      <c r="N54" s="73"/>
      <c r="O54" s="73"/>
      <c r="P54" s="73"/>
      <c r="Q54" s="73"/>
      <c r="R54" s="73"/>
      <c r="T54" s="73"/>
      <c r="U54" s="73"/>
      <c r="V54" s="73"/>
      <c r="W54" s="73"/>
      <c r="X54" s="73"/>
      <c r="Y54" s="73"/>
      <c r="Z54" s="73"/>
      <c r="AA54" s="73"/>
      <c r="AC54" s="73"/>
      <c r="AD54" s="73"/>
      <c r="AE54" s="73"/>
      <c r="AF54" s="73"/>
      <c r="AG54" s="73"/>
      <c r="AH54" s="73"/>
      <c r="AI54" s="73"/>
      <c r="AJ54" s="73"/>
      <c r="AL54" s="73"/>
      <c r="AM54" s="73"/>
      <c r="AN54" s="73"/>
      <c r="AO54" s="73"/>
      <c r="AP54" s="73"/>
      <c r="AQ54" s="73"/>
      <c r="AR54" s="73"/>
      <c r="AS54" s="73"/>
      <c r="AU54" s="73"/>
      <c r="AV54" s="73"/>
      <c r="AW54" s="73"/>
      <c r="AX54" s="73"/>
      <c r="AY54" s="73"/>
      <c r="AZ54" s="73"/>
      <c r="BA54" s="73"/>
      <c r="BB54" s="73"/>
      <c r="BD54" s="73"/>
      <c r="BE54" s="73"/>
      <c r="BF54" s="73"/>
      <c r="BG54" s="73"/>
      <c r="BH54" s="73"/>
      <c r="BI54" s="73"/>
      <c r="BJ54" s="73"/>
    </row>
    <row r="55" spans="1:63">
      <c r="A55" s="80"/>
      <c r="B55" s="175"/>
      <c r="C55" s="175"/>
      <c r="D55" s="175"/>
      <c r="E55" s="175"/>
      <c r="F55" s="175"/>
      <c r="G55" s="175"/>
      <c r="H55" s="175"/>
      <c r="I55" s="175"/>
      <c r="J55" s="80"/>
      <c r="K55" s="175"/>
      <c r="L55" s="175"/>
      <c r="M55" s="175"/>
      <c r="N55" s="175"/>
      <c r="O55" s="175"/>
      <c r="P55" s="175"/>
      <c r="Q55" s="175"/>
      <c r="R55" s="175"/>
      <c r="S55" s="80"/>
      <c r="T55" s="175"/>
      <c r="U55" s="175"/>
      <c r="V55" s="175"/>
      <c r="W55" s="175"/>
      <c r="X55" s="175"/>
      <c r="Y55" s="175"/>
      <c r="Z55" s="175"/>
      <c r="AA55" s="175"/>
      <c r="AB55" s="80"/>
      <c r="AC55" s="175"/>
      <c r="AD55" s="175"/>
      <c r="AE55" s="175"/>
      <c r="AF55" s="175"/>
      <c r="AG55" s="175"/>
      <c r="AH55" s="175"/>
      <c r="AI55" s="175"/>
      <c r="AJ55" s="175"/>
      <c r="AK55" s="80"/>
      <c r="AL55" s="175"/>
      <c r="AM55" s="175"/>
      <c r="AN55" s="175"/>
      <c r="AO55" s="175"/>
      <c r="AP55" s="175"/>
      <c r="AQ55" s="175"/>
      <c r="AR55" s="175"/>
      <c r="AS55" s="175"/>
      <c r="AT55" s="80"/>
      <c r="AU55" s="175"/>
      <c r="AV55" s="175"/>
      <c r="AW55" s="175"/>
      <c r="AX55" s="175"/>
      <c r="AY55" s="175"/>
      <c r="AZ55" s="175"/>
      <c r="BA55" s="175"/>
      <c r="BB55" s="175"/>
      <c r="BC55" s="80"/>
      <c r="BD55" s="168"/>
      <c r="BE55" s="168"/>
      <c r="BF55" s="168"/>
      <c r="BG55" s="168"/>
      <c r="BH55" s="168"/>
      <c r="BI55" s="168"/>
      <c r="BJ55" s="168"/>
      <c r="BK55" s="80"/>
    </row>
    <row r="57" spans="1:63" ht="17.399999999999999">
      <c r="B57" s="72"/>
      <c r="K57" s="72"/>
      <c r="T57" s="72"/>
      <c r="AC57" s="72"/>
      <c r="AL57" s="72"/>
      <c r="AU57" s="72"/>
      <c r="BD57" s="72"/>
    </row>
    <row r="59" spans="1:63">
      <c r="C59" s="6"/>
      <c r="D59" s="6"/>
      <c r="E59" s="6"/>
      <c r="F59" s="6"/>
      <c r="G59" s="6"/>
      <c r="H59" s="6"/>
      <c r="I59" s="6"/>
      <c r="J59" s="6"/>
      <c r="K59" s="6"/>
      <c r="L59" s="6"/>
      <c r="M59" s="6"/>
      <c r="N59" s="6"/>
      <c r="O59" s="6"/>
      <c r="P59" s="6"/>
      <c r="Q59" s="6"/>
      <c r="R59" s="6"/>
      <c r="U59" s="6"/>
      <c r="V59" s="6"/>
      <c r="W59" s="6"/>
      <c r="X59" s="6"/>
      <c r="Y59" s="6"/>
      <c r="Z59" s="6"/>
      <c r="AA59" s="6"/>
      <c r="AB59" s="6"/>
      <c r="AC59" s="6"/>
      <c r="AD59" s="6"/>
      <c r="AE59" s="6"/>
      <c r="AF59" s="6"/>
      <c r="AG59" s="6"/>
      <c r="AH59" s="6"/>
      <c r="AI59" s="6"/>
      <c r="AJ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row>
    <row r="60" spans="1:63">
      <c r="C60" s="6"/>
      <c r="D60" s="6"/>
      <c r="E60" s="6"/>
      <c r="F60" s="6"/>
      <c r="G60" s="6"/>
      <c r="H60" s="6"/>
      <c r="I60" s="6"/>
      <c r="J60" s="6"/>
      <c r="K60" s="6"/>
      <c r="L60" s="6"/>
      <c r="M60" s="6"/>
      <c r="N60" s="6"/>
      <c r="O60" s="6"/>
      <c r="P60" s="6"/>
      <c r="Q60" s="6"/>
      <c r="R60" s="6"/>
      <c r="U60" s="6"/>
      <c r="V60" s="6"/>
      <c r="W60" s="6"/>
      <c r="X60" s="6"/>
      <c r="Y60" s="6"/>
      <c r="Z60" s="6"/>
      <c r="AA60" s="6"/>
      <c r="AB60" s="6"/>
      <c r="AC60" s="6"/>
      <c r="AD60" s="6"/>
      <c r="AE60" s="6"/>
      <c r="AF60" s="6"/>
      <c r="AG60" s="6"/>
      <c r="AH60" s="6"/>
      <c r="AI60" s="6"/>
      <c r="AJ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row>
    <row r="61" spans="1:63">
      <c r="C61" s="6"/>
      <c r="D61" s="6"/>
      <c r="E61" s="6"/>
      <c r="F61" s="6"/>
      <c r="G61" s="6"/>
      <c r="H61" s="6"/>
      <c r="I61" s="6"/>
      <c r="J61" s="6"/>
      <c r="K61" s="6"/>
      <c r="L61" s="6"/>
      <c r="M61" s="6"/>
      <c r="N61" s="6"/>
      <c r="O61" s="6"/>
      <c r="P61" s="6"/>
      <c r="Q61" s="6"/>
      <c r="R61" s="6"/>
      <c r="U61" s="6"/>
      <c r="V61" s="6"/>
      <c r="W61" s="6"/>
      <c r="X61" s="6"/>
      <c r="Y61" s="6"/>
      <c r="Z61" s="6"/>
      <c r="AA61" s="6"/>
      <c r="AB61" s="6"/>
      <c r="AC61" s="6"/>
      <c r="AD61" s="6"/>
      <c r="AE61" s="6"/>
      <c r="AF61" s="6"/>
      <c r="AG61" s="6"/>
      <c r="AH61" s="6"/>
      <c r="AI61" s="6"/>
      <c r="AJ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row>
    <row r="62" spans="1:63">
      <c r="C62" s="6"/>
      <c r="D62" s="6"/>
      <c r="E62" s="6"/>
      <c r="F62" s="6"/>
      <c r="G62" s="6"/>
      <c r="H62" s="6"/>
      <c r="I62" s="6"/>
      <c r="J62" s="6"/>
      <c r="K62" s="6"/>
      <c r="L62" s="6"/>
      <c r="M62" s="6"/>
      <c r="N62" s="6"/>
      <c r="O62" s="6"/>
      <c r="P62" s="6"/>
      <c r="Q62" s="6"/>
      <c r="R62" s="6"/>
      <c r="U62" s="6"/>
      <c r="V62" s="6"/>
      <c r="W62" s="6"/>
      <c r="X62" s="6"/>
      <c r="Y62" s="6"/>
      <c r="Z62" s="6"/>
      <c r="AA62" s="6"/>
      <c r="AB62" s="6"/>
      <c r="AC62" s="6"/>
      <c r="AD62" s="6"/>
      <c r="AE62" s="6"/>
      <c r="AF62" s="6"/>
      <c r="AG62" s="6"/>
      <c r="AH62" s="6"/>
      <c r="AI62" s="6"/>
      <c r="AJ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row>
    <row r="63" spans="1:63">
      <c r="C63" s="6"/>
      <c r="D63" s="6"/>
      <c r="E63" s="6"/>
      <c r="F63" s="6"/>
      <c r="G63" s="6"/>
      <c r="H63" s="6"/>
      <c r="I63" s="6"/>
      <c r="J63" s="6"/>
      <c r="K63" s="6"/>
      <c r="L63" s="6"/>
      <c r="M63" s="6"/>
      <c r="N63" s="6"/>
      <c r="O63" s="6"/>
      <c r="P63" s="6"/>
      <c r="Q63" s="6"/>
      <c r="R63" s="6"/>
      <c r="U63" s="6"/>
      <c r="V63" s="6"/>
      <c r="W63" s="6"/>
      <c r="X63" s="6"/>
      <c r="Y63" s="6"/>
      <c r="Z63" s="6"/>
      <c r="AA63" s="6"/>
      <c r="AB63" s="6"/>
      <c r="AC63" s="6"/>
      <c r="AD63" s="6"/>
      <c r="AE63" s="6"/>
      <c r="AF63" s="6"/>
      <c r="AG63" s="6"/>
      <c r="AH63" s="6"/>
      <c r="AI63" s="6"/>
      <c r="AJ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row>
    <row r="64" spans="1:63">
      <c r="C64" s="6"/>
      <c r="D64" s="6"/>
      <c r="E64" s="6"/>
      <c r="F64" s="6"/>
      <c r="G64" s="6"/>
      <c r="H64" s="6"/>
      <c r="I64" s="6"/>
      <c r="J64" s="6"/>
      <c r="K64" s="6"/>
      <c r="L64" s="6"/>
      <c r="M64" s="6"/>
      <c r="N64" s="6"/>
      <c r="O64" s="6"/>
      <c r="P64" s="6"/>
      <c r="Q64" s="6"/>
      <c r="R64" s="6"/>
      <c r="U64" s="6"/>
      <c r="V64" s="6"/>
      <c r="W64" s="6"/>
      <c r="X64" s="6"/>
      <c r="Y64" s="6"/>
      <c r="Z64" s="6"/>
      <c r="AA64" s="6"/>
      <c r="AB64" s="6"/>
      <c r="AC64" s="6"/>
      <c r="AD64" s="6"/>
      <c r="AE64" s="6"/>
      <c r="AF64" s="6"/>
      <c r="AG64" s="6"/>
      <c r="AH64" s="6"/>
      <c r="AI64" s="6"/>
      <c r="AJ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row>
    <row r="65" spans="3:63">
      <c r="C65" s="6"/>
      <c r="D65" s="6"/>
      <c r="E65" s="6"/>
      <c r="F65" s="6"/>
      <c r="G65" s="6"/>
      <c r="H65" s="6"/>
      <c r="I65" s="6"/>
      <c r="J65" s="6"/>
      <c r="K65" s="6"/>
      <c r="L65" s="6"/>
      <c r="M65" s="6"/>
      <c r="N65" s="6"/>
      <c r="O65" s="6"/>
      <c r="P65" s="6"/>
      <c r="Q65" s="6"/>
      <c r="R65" s="6"/>
      <c r="U65" s="6"/>
      <c r="V65" s="6"/>
      <c r="W65" s="6"/>
      <c r="X65" s="6"/>
      <c r="Y65" s="6"/>
      <c r="Z65" s="6"/>
      <c r="AA65" s="6"/>
      <c r="AB65" s="6"/>
      <c r="AC65" s="6"/>
      <c r="AD65" s="6"/>
      <c r="AE65" s="6"/>
      <c r="AF65" s="6"/>
      <c r="AG65" s="6"/>
      <c r="AH65" s="6"/>
      <c r="AI65" s="6"/>
      <c r="AJ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row>
  </sheetData>
  <sheetProtection password="CC9B" sheet="1" objects="1" scenarios="1"/>
  <mergeCells count="187">
    <mergeCell ref="AC55:AJ55"/>
    <mergeCell ref="AL55:AS55"/>
    <mergeCell ref="AU55:BB55"/>
    <mergeCell ref="BD1:BG1"/>
    <mergeCell ref="K1:N1"/>
    <mergeCell ref="T1:W1"/>
    <mergeCell ref="AC1:AF1"/>
    <mergeCell ref="AL1:AO1"/>
    <mergeCell ref="BD30:BE30"/>
    <mergeCell ref="BD24:BE24"/>
    <mergeCell ref="AC30:AD30"/>
    <mergeCell ref="AL29:AM29"/>
    <mergeCell ref="AU29:AV29"/>
    <mergeCell ref="AL30:AM30"/>
    <mergeCell ref="AU30:AV30"/>
    <mergeCell ref="AL28:AM28"/>
    <mergeCell ref="AU28:AV28"/>
    <mergeCell ref="BD28:BE28"/>
    <mergeCell ref="AU10:AV10"/>
    <mergeCell ref="AL16:AM16"/>
    <mergeCell ref="AL17:AM17"/>
    <mergeCell ref="AU13:AV13"/>
    <mergeCell ref="AL11:AM11"/>
    <mergeCell ref="BD13:BE13"/>
    <mergeCell ref="BK1:BK3"/>
    <mergeCell ref="I4:I5"/>
    <mergeCell ref="R4:R5"/>
    <mergeCell ref="AA4:AA5"/>
    <mergeCell ref="AJ4:AJ5"/>
    <mergeCell ref="AS4:AS5"/>
    <mergeCell ref="BB4:BB5"/>
    <mergeCell ref="BJ4:BJ5"/>
    <mergeCell ref="I1:I3"/>
    <mergeCell ref="R1:R3"/>
    <mergeCell ref="T5:X5"/>
    <mergeCell ref="AC5:AG5"/>
    <mergeCell ref="AS1:AS3"/>
    <mergeCell ref="BB1:BB3"/>
    <mergeCell ref="AA1:AA3"/>
    <mergeCell ref="AJ1:AJ3"/>
    <mergeCell ref="AU1:AX1"/>
    <mergeCell ref="AL5:AP5"/>
    <mergeCell ref="AU5:AY5"/>
    <mergeCell ref="BD5:BH5"/>
    <mergeCell ref="B23:C23"/>
    <mergeCell ref="K18:L18"/>
    <mergeCell ref="K19:L19"/>
    <mergeCell ref="K20:L20"/>
    <mergeCell ref="K21:L21"/>
    <mergeCell ref="K22:L22"/>
    <mergeCell ref="K23:L23"/>
    <mergeCell ref="BD8:BE8"/>
    <mergeCell ref="B5:F5"/>
    <mergeCell ref="K5:O5"/>
    <mergeCell ref="AL10:AM10"/>
    <mergeCell ref="AL19:AM19"/>
    <mergeCell ref="AL20:AM20"/>
    <mergeCell ref="AL21:AM21"/>
    <mergeCell ref="AU22:AV22"/>
    <mergeCell ref="AU19:AV19"/>
    <mergeCell ref="B8:C8"/>
    <mergeCell ref="K8:L8"/>
    <mergeCell ref="T8:U8"/>
    <mergeCell ref="AC8:AD8"/>
    <mergeCell ref="AL8:AM8"/>
    <mergeCell ref="AU8:AV8"/>
    <mergeCell ref="AL18:AM18"/>
    <mergeCell ref="AL13:AM13"/>
    <mergeCell ref="B22:C22"/>
    <mergeCell ref="BD10:BE10"/>
    <mergeCell ref="AU16:AV16"/>
    <mergeCell ref="AU17:AV17"/>
    <mergeCell ref="BD11:BE11"/>
    <mergeCell ref="AL12:AM12"/>
    <mergeCell ref="AU12:AV12"/>
    <mergeCell ref="BD12:BE12"/>
    <mergeCell ref="B10:C10"/>
    <mergeCell ref="K10:L10"/>
    <mergeCell ref="T10:U10"/>
    <mergeCell ref="AC10:AD10"/>
    <mergeCell ref="AC11:AD11"/>
    <mergeCell ref="B13:C13"/>
    <mergeCell ref="B11:C11"/>
    <mergeCell ref="AC12:AD12"/>
    <mergeCell ref="K11:L11"/>
    <mergeCell ref="T11:U11"/>
    <mergeCell ref="B15:C15"/>
    <mergeCell ref="B16:C16"/>
    <mergeCell ref="B17:C17"/>
    <mergeCell ref="K15:L15"/>
    <mergeCell ref="K16:L16"/>
    <mergeCell ref="AU11:AV11"/>
    <mergeCell ref="AL15:AM15"/>
    <mergeCell ref="AU15:AV15"/>
    <mergeCell ref="BD15:BE15"/>
    <mergeCell ref="AU18:AV18"/>
    <mergeCell ref="BD22:BE22"/>
    <mergeCell ref="BD17:BE17"/>
    <mergeCell ref="AL22:AM22"/>
    <mergeCell ref="BD14:BE14"/>
    <mergeCell ref="AU20:AV20"/>
    <mergeCell ref="BD16:BE16"/>
    <mergeCell ref="B18:C18"/>
    <mergeCell ref="B20:C20"/>
    <mergeCell ref="B21:C21"/>
    <mergeCell ref="B19:C19"/>
    <mergeCell ref="B12:C12"/>
    <mergeCell ref="T13:U13"/>
    <mergeCell ref="AC13:AD13"/>
    <mergeCell ref="AU14:AV14"/>
    <mergeCell ref="AC15:AD15"/>
    <mergeCell ref="AC16:AD16"/>
    <mergeCell ref="AC18:AD18"/>
    <mergeCell ref="AC19:AD19"/>
    <mergeCell ref="AC17:AD17"/>
    <mergeCell ref="K12:L12"/>
    <mergeCell ref="T12:U12"/>
    <mergeCell ref="T15:U15"/>
    <mergeCell ref="T20:U20"/>
    <mergeCell ref="T21:U21"/>
    <mergeCell ref="K13:L13"/>
    <mergeCell ref="B14:C14"/>
    <mergeCell ref="K14:L14"/>
    <mergeCell ref="T14:U14"/>
    <mergeCell ref="AC14:AD14"/>
    <mergeCell ref="AL14:AM14"/>
    <mergeCell ref="T16:U16"/>
    <mergeCell ref="T17:U17"/>
    <mergeCell ref="K17:L17"/>
    <mergeCell ref="T22:U22"/>
    <mergeCell ref="T23:U23"/>
    <mergeCell ref="AC23:AD23"/>
    <mergeCell ref="T18:U18"/>
    <mergeCell ref="T25:U25"/>
    <mergeCell ref="AC25:AD25"/>
    <mergeCell ref="K24:L24"/>
    <mergeCell ref="T19:U19"/>
    <mergeCell ref="AC20:AD20"/>
    <mergeCell ref="AC22:AD22"/>
    <mergeCell ref="AC21:AD21"/>
    <mergeCell ref="AC24:AD24"/>
    <mergeCell ref="B24:C24"/>
    <mergeCell ref="K27:L27"/>
    <mergeCell ref="T27:U27"/>
    <mergeCell ref="T24:U24"/>
    <mergeCell ref="B25:C25"/>
    <mergeCell ref="K25:L25"/>
    <mergeCell ref="BD26:BE26"/>
    <mergeCell ref="AL25:AM25"/>
    <mergeCell ref="AU25:AV25"/>
    <mergeCell ref="BD27:BE27"/>
    <mergeCell ref="AC27:AD27"/>
    <mergeCell ref="BD25:BE25"/>
    <mergeCell ref="AU23:AV23"/>
    <mergeCell ref="BD23:BE23"/>
    <mergeCell ref="AL24:AM24"/>
    <mergeCell ref="AU24:AV24"/>
    <mergeCell ref="BD18:BE18"/>
    <mergeCell ref="BD19:BE19"/>
    <mergeCell ref="BD20:BE20"/>
    <mergeCell ref="BD21:BE21"/>
    <mergeCell ref="AU21:AV21"/>
    <mergeCell ref="AL23:AM23"/>
    <mergeCell ref="BD29:BE29"/>
    <mergeCell ref="B28:C28"/>
    <mergeCell ref="B55:I55"/>
    <mergeCell ref="K55:R55"/>
    <mergeCell ref="T55:AA55"/>
    <mergeCell ref="B26:C26"/>
    <mergeCell ref="K26:L26"/>
    <mergeCell ref="T26:U26"/>
    <mergeCell ref="AC26:AD26"/>
    <mergeCell ref="AL27:AM27"/>
    <mergeCell ref="AU27:AV27"/>
    <mergeCell ref="B30:C30"/>
    <mergeCell ref="K29:L29"/>
    <mergeCell ref="K30:L30"/>
    <mergeCell ref="T29:U29"/>
    <mergeCell ref="T30:U30"/>
    <mergeCell ref="B29:C29"/>
    <mergeCell ref="AC29:AD29"/>
    <mergeCell ref="B27:C27"/>
    <mergeCell ref="AL26:AM26"/>
    <mergeCell ref="AU26:AV26"/>
    <mergeCell ref="K28:L28"/>
    <mergeCell ref="T28:U28"/>
    <mergeCell ref="AC28:AD28"/>
  </mergeCells>
  <phoneticPr fontId="2" type="noConversion"/>
  <pageMargins left="0.59055118110236227" right="0.59055118110236227" top="0.39370078740157483" bottom="0.39370078740157483" header="0" footer="0"/>
  <pageSetup paperSize="9" orientation="portrait" horizontalDpi="1200" verticalDpi="1200" r:id="rId1"/>
  <headerFooter alignWithMargins="0"/>
  <ignoredErrors>
    <ignoredError sqref="BF26 BF13:BH13 BF23:BH23 BF29:BH29 D29:R29 V29:AJ29 AN29:BB29" 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indexed="22"/>
  </sheetPr>
  <dimension ref="A1:BH58"/>
  <sheetViews>
    <sheetView showGridLines="0" zoomScale="85" zoomScaleNormal="85" zoomScaleSheetLayoutView="100" workbookViewId="0">
      <selection activeCell="J10" sqref="J10:K10"/>
    </sheetView>
  </sheetViews>
  <sheetFormatPr baseColWidth="10" defaultColWidth="11.44140625" defaultRowHeight="13.2"/>
  <cols>
    <col min="1" max="2" width="4.6640625" customWidth="1"/>
    <col min="4" max="15" width="5.6640625" customWidth="1"/>
    <col min="16" max="17" width="4.6640625" customWidth="1"/>
    <col min="19" max="30" width="5.6640625" customWidth="1"/>
    <col min="31" max="32" width="4.6640625" customWidth="1"/>
    <col min="34" max="45" width="5.6640625" customWidth="1"/>
    <col min="46" max="47" width="4.6640625" customWidth="1"/>
    <col min="48" max="48" width="11.5546875" bestFit="1" customWidth="1"/>
    <col min="49" max="54" width="5.6640625" customWidth="1"/>
    <col min="55" max="55" width="8.5546875" customWidth="1"/>
    <col min="56" max="58" width="5.6640625" customWidth="1"/>
    <col min="59" max="59" width="9.21875" customWidth="1"/>
    <col min="60" max="60" width="5.6640625" customWidth="1"/>
  </cols>
  <sheetData>
    <row r="1" spans="2:60" ht="18" customHeight="1">
      <c r="B1" s="236"/>
      <c r="C1" s="236"/>
      <c r="D1" s="236"/>
      <c r="E1" s="236"/>
      <c r="F1" s="236"/>
      <c r="G1" s="236"/>
      <c r="H1" s="236"/>
      <c r="N1" s="182" t="s">
        <v>198</v>
      </c>
      <c r="O1" s="182"/>
      <c r="Q1" s="236"/>
      <c r="R1" s="236"/>
      <c r="S1" s="236"/>
      <c r="T1" s="236"/>
      <c r="U1" s="236"/>
      <c r="V1" s="236"/>
      <c r="W1" s="236"/>
      <c r="AC1" s="182"/>
      <c r="AD1" s="182"/>
      <c r="AF1" s="236"/>
      <c r="AG1" s="236"/>
      <c r="AH1" s="236"/>
      <c r="AI1" s="236"/>
      <c r="AJ1" s="236"/>
      <c r="AK1" s="236"/>
      <c r="AL1" s="236"/>
      <c r="AR1" s="182"/>
      <c r="AS1" s="182"/>
      <c r="AU1" s="236"/>
      <c r="AV1" s="236"/>
      <c r="AW1" s="236"/>
      <c r="AX1" s="236"/>
      <c r="AY1" s="236"/>
      <c r="AZ1" s="236"/>
      <c r="BA1" s="236"/>
      <c r="BG1" s="182"/>
      <c r="BH1" s="182"/>
    </row>
    <row r="2" spans="2:60" ht="12.75" customHeight="1">
      <c r="N2" s="182"/>
      <c r="O2" s="182"/>
      <c r="AC2" s="182"/>
      <c r="AD2" s="182"/>
      <c r="AR2" s="182"/>
      <c r="AS2" s="182"/>
      <c r="BG2" s="182"/>
      <c r="BH2" s="182"/>
    </row>
    <row r="3" spans="2:60" ht="18.75" customHeight="1">
      <c r="B3" s="236"/>
      <c r="C3" s="236"/>
      <c r="D3" s="236"/>
      <c r="E3" s="236"/>
      <c r="F3" s="236"/>
      <c r="G3" s="236"/>
      <c r="H3" s="236"/>
      <c r="N3" s="182"/>
      <c r="O3" s="182"/>
      <c r="Q3" s="236"/>
      <c r="R3" s="236"/>
      <c r="S3" s="236"/>
      <c r="T3" s="236"/>
      <c r="U3" s="236"/>
      <c r="V3" s="236"/>
      <c r="W3" s="236"/>
      <c r="AC3" s="182"/>
      <c r="AD3" s="182"/>
      <c r="AF3" s="236"/>
      <c r="AG3" s="236"/>
      <c r="AH3" s="236"/>
      <c r="AI3" s="236"/>
      <c r="AJ3" s="236"/>
      <c r="AK3" s="236"/>
      <c r="AL3" s="236"/>
      <c r="AR3" s="182"/>
      <c r="AS3" s="182"/>
      <c r="AU3" s="236"/>
      <c r="AV3" s="236"/>
      <c r="AW3" s="236"/>
      <c r="AX3" s="236"/>
      <c r="AY3" s="236"/>
      <c r="AZ3" s="236"/>
      <c r="BA3" s="236"/>
      <c r="BG3" s="182"/>
      <c r="BH3" s="182"/>
    </row>
    <row r="4" spans="2:60">
      <c r="N4" s="271" t="s">
        <v>213</v>
      </c>
      <c r="O4" s="271"/>
      <c r="AC4" s="271" t="s">
        <v>214</v>
      </c>
      <c r="AD4" s="271"/>
      <c r="AR4" s="271" t="s">
        <v>402</v>
      </c>
      <c r="AS4" s="271"/>
      <c r="BG4" s="271" t="s">
        <v>403</v>
      </c>
      <c r="BH4" s="271"/>
    </row>
    <row r="5" spans="2:60">
      <c r="B5" s="98"/>
      <c r="C5" s="98"/>
      <c r="E5" s="98"/>
      <c r="F5" s="98"/>
      <c r="H5" s="98"/>
      <c r="I5" s="98"/>
      <c r="J5" s="98"/>
      <c r="N5" s="271"/>
      <c r="O5" s="271"/>
      <c r="Q5" s="98"/>
      <c r="R5" s="98"/>
      <c r="T5" s="98"/>
      <c r="U5" s="98"/>
      <c r="V5" s="98"/>
      <c r="W5" s="98"/>
      <c r="X5" s="98"/>
      <c r="Y5" s="98"/>
      <c r="AC5" s="271"/>
      <c r="AD5" s="271"/>
      <c r="AF5" s="98"/>
      <c r="AG5" s="98"/>
      <c r="AI5" s="98"/>
      <c r="AJ5" s="98"/>
      <c r="AK5" s="98"/>
      <c r="AL5" s="98"/>
      <c r="AM5" s="98"/>
      <c r="AN5" s="98"/>
      <c r="AR5" s="271"/>
      <c r="AS5" s="271"/>
      <c r="AU5" s="98"/>
      <c r="AV5" s="98"/>
      <c r="AX5" s="98"/>
      <c r="AY5" s="98"/>
      <c r="AZ5" s="98"/>
      <c r="BA5" s="98"/>
      <c r="BB5" s="98"/>
      <c r="BC5" s="98"/>
      <c r="BG5" s="271"/>
      <c r="BH5" s="271"/>
    </row>
    <row r="6" spans="2:60">
      <c r="B6" s="98"/>
      <c r="C6" s="98"/>
      <c r="D6" s="98"/>
      <c r="E6" s="98"/>
      <c r="F6" s="98"/>
      <c r="G6" s="98"/>
      <c r="H6" s="98"/>
      <c r="I6" s="98"/>
      <c r="J6" s="98"/>
      <c r="N6" s="141"/>
      <c r="O6" s="141"/>
      <c r="Q6" s="98"/>
      <c r="R6" s="98"/>
      <c r="S6" s="98"/>
      <c r="T6" s="98"/>
      <c r="U6" s="98"/>
      <c r="V6" s="98"/>
      <c r="W6" s="98"/>
      <c r="X6" s="98"/>
      <c r="Y6" s="98"/>
      <c r="AC6" s="141"/>
      <c r="AD6" s="141"/>
      <c r="AF6" s="98"/>
      <c r="AG6" s="98"/>
      <c r="AH6" s="98"/>
      <c r="AI6" s="98"/>
      <c r="AJ6" s="98"/>
      <c r="AK6" s="98"/>
      <c r="AL6" s="98"/>
      <c r="AM6" s="98"/>
      <c r="AN6" s="98"/>
      <c r="AR6" s="141"/>
      <c r="AS6" s="141"/>
      <c r="AU6" s="98"/>
      <c r="AV6" s="98"/>
      <c r="AW6" s="98"/>
      <c r="AX6" s="98"/>
      <c r="AY6" s="98"/>
      <c r="AZ6" s="98"/>
      <c r="BA6" s="98"/>
      <c r="BB6" s="98"/>
      <c r="BC6" s="98"/>
      <c r="BG6" s="141"/>
      <c r="BH6" s="141"/>
    </row>
    <row r="7" spans="2:60" ht="29.25" customHeight="1">
      <c r="B7" s="303"/>
      <c r="C7" s="303"/>
      <c r="D7" s="303"/>
      <c r="E7" s="303"/>
      <c r="F7" s="303"/>
      <c r="G7" s="303"/>
      <c r="H7" s="303"/>
      <c r="I7" s="303"/>
      <c r="J7" s="303"/>
      <c r="K7" s="303"/>
      <c r="L7" s="303"/>
      <c r="M7" s="303"/>
      <c r="N7" s="303"/>
      <c r="O7" s="303"/>
      <c r="Q7" s="98"/>
      <c r="R7" s="98"/>
      <c r="S7" s="98"/>
      <c r="T7" s="98"/>
      <c r="U7" s="98"/>
      <c r="V7" s="98"/>
      <c r="W7" s="98"/>
      <c r="X7" s="98"/>
      <c r="Y7" s="98"/>
      <c r="AC7" s="141"/>
      <c r="AD7" s="141"/>
      <c r="AF7" s="244"/>
      <c r="AG7" s="244"/>
      <c r="AH7" s="244"/>
      <c r="AI7" s="244"/>
      <c r="AJ7" s="244"/>
      <c r="AK7" s="244"/>
      <c r="AL7" s="244"/>
      <c r="AM7" s="244"/>
      <c r="AN7" s="244"/>
      <c r="AO7" s="244"/>
      <c r="AP7" s="244"/>
      <c r="AQ7" s="244"/>
      <c r="AR7" s="244"/>
      <c r="AS7" s="244"/>
      <c r="AU7" s="98"/>
      <c r="AV7" s="98"/>
      <c r="AW7" s="98"/>
      <c r="AX7" s="98"/>
      <c r="AY7" s="98"/>
      <c r="AZ7" s="98"/>
      <c r="BA7" s="98"/>
      <c r="BB7" s="98"/>
      <c r="BC7" s="98"/>
      <c r="BG7" s="141"/>
      <c r="BH7" s="141"/>
    </row>
    <row r="9" spans="2:60">
      <c r="J9" s="304" t="s">
        <v>208</v>
      </c>
      <c r="K9" s="304"/>
      <c r="L9" s="306" t="s">
        <v>207</v>
      </c>
      <c r="M9" s="306"/>
      <c r="N9" s="301" t="s">
        <v>206</v>
      </c>
      <c r="O9" s="301"/>
      <c r="Y9" s="304" t="s">
        <v>208</v>
      </c>
      <c r="Z9" s="304"/>
      <c r="AA9" s="306" t="s">
        <v>207</v>
      </c>
      <c r="AB9" s="306"/>
      <c r="AC9" s="301" t="s">
        <v>206</v>
      </c>
      <c r="AD9" s="301"/>
      <c r="AN9" s="304" t="s">
        <v>208</v>
      </c>
      <c r="AO9" s="304"/>
      <c r="AP9" s="306" t="s">
        <v>207</v>
      </c>
      <c r="AQ9" s="306"/>
      <c r="AR9" s="301" t="s">
        <v>206</v>
      </c>
      <c r="AS9" s="301"/>
    </row>
    <row r="10" spans="2:60">
      <c r="B10" s="286" t="s">
        <v>192</v>
      </c>
      <c r="C10" s="286"/>
      <c r="D10" s="286"/>
      <c r="E10" s="286" t="s">
        <v>55</v>
      </c>
      <c r="F10" s="286"/>
      <c r="H10" s="245" t="s">
        <v>195</v>
      </c>
      <c r="I10" s="245"/>
      <c r="J10" s="288">
        <v>0.04</v>
      </c>
      <c r="K10" s="288"/>
      <c r="L10" s="288">
        <v>0.1</v>
      </c>
      <c r="M10" s="288"/>
      <c r="N10" s="288">
        <v>0.21</v>
      </c>
      <c r="O10" s="288"/>
      <c r="Q10" s="286" t="s">
        <v>192</v>
      </c>
      <c r="R10" s="286"/>
      <c r="S10" s="286"/>
      <c r="T10" s="286" t="s">
        <v>56</v>
      </c>
      <c r="U10" s="286"/>
      <c r="W10" s="245" t="s">
        <v>195</v>
      </c>
      <c r="X10" s="245"/>
      <c r="Y10" s="305">
        <f>J10</f>
        <v>0.04</v>
      </c>
      <c r="Z10" s="305"/>
      <c r="AA10" s="305">
        <f>L10</f>
        <v>0.1</v>
      </c>
      <c r="AB10" s="305"/>
      <c r="AC10" s="305">
        <f>N10</f>
        <v>0.21</v>
      </c>
      <c r="AD10" s="305"/>
      <c r="AF10" s="286" t="s">
        <v>192</v>
      </c>
      <c r="AG10" s="286"/>
      <c r="AH10" s="286"/>
      <c r="AI10" s="286" t="s">
        <v>57</v>
      </c>
      <c r="AJ10" s="286"/>
      <c r="AL10" s="245" t="s">
        <v>195</v>
      </c>
      <c r="AM10" s="245"/>
      <c r="AN10" s="305">
        <f>J10</f>
        <v>0.04</v>
      </c>
      <c r="AO10" s="305"/>
      <c r="AP10" s="305">
        <f>L10</f>
        <v>0.1</v>
      </c>
      <c r="AQ10" s="305"/>
      <c r="AR10" s="305">
        <f>N10</f>
        <v>0.21</v>
      </c>
      <c r="AS10" s="305"/>
      <c r="AU10" s="286" t="s">
        <v>194</v>
      </c>
      <c r="AV10" s="286"/>
      <c r="AW10" s="286"/>
      <c r="AX10" s="286"/>
      <c r="AY10" s="286"/>
    </row>
    <row r="12" spans="2:60">
      <c r="B12" s="284" t="s">
        <v>49</v>
      </c>
      <c r="C12" s="284"/>
      <c r="D12" s="245">
        <v>1</v>
      </c>
      <c r="E12" s="245"/>
      <c r="F12" s="245">
        <v>2</v>
      </c>
      <c r="G12" s="245"/>
      <c r="H12" s="245">
        <v>3</v>
      </c>
      <c r="I12" s="245"/>
      <c r="J12" s="245">
        <v>4</v>
      </c>
      <c r="K12" s="245"/>
      <c r="L12" s="245">
        <v>5</v>
      </c>
      <c r="M12" s="245"/>
      <c r="N12" s="245">
        <v>6</v>
      </c>
      <c r="O12" s="245"/>
      <c r="Q12" s="284" t="s">
        <v>49</v>
      </c>
      <c r="R12" s="284"/>
      <c r="S12" s="245">
        <v>1</v>
      </c>
      <c r="T12" s="245"/>
      <c r="U12" s="245">
        <v>2</v>
      </c>
      <c r="V12" s="245"/>
      <c r="W12" s="245">
        <v>3</v>
      </c>
      <c r="X12" s="245"/>
      <c r="Y12" s="245">
        <v>4</v>
      </c>
      <c r="Z12" s="245"/>
      <c r="AA12" s="245">
        <v>5</v>
      </c>
      <c r="AB12" s="245"/>
      <c r="AC12" s="245">
        <v>6</v>
      </c>
      <c r="AD12" s="245"/>
      <c r="AF12" s="284" t="s">
        <v>49</v>
      </c>
      <c r="AG12" s="284"/>
      <c r="AH12" s="245">
        <v>1</v>
      </c>
      <c r="AI12" s="245"/>
      <c r="AJ12" s="245">
        <v>2</v>
      </c>
      <c r="AK12" s="245"/>
      <c r="AL12" s="245">
        <v>3</v>
      </c>
      <c r="AM12" s="245"/>
      <c r="AN12" s="245">
        <v>4</v>
      </c>
      <c r="AO12" s="245"/>
      <c r="AP12" s="245">
        <v>5</v>
      </c>
      <c r="AQ12" s="245"/>
      <c r="AR12" s="245">
        <v>6</v>
      </c>
      <c r="AS12" s="245"/>
      <c r="AW12" s="302" t="s">
        <v>55</v>
      </c>
      <c r="AX12" s="302"/>
      <c r="AY12" s="302"/>
      <c r="AZ12" s="302"/>
      <c r="BA12" s="302" t="s">
        <v>56</v>
      </c>
      <c r="BB12" s="302"/>
      <c r="BC12" s="302"/>
      <c r="BD12" s="302"/>
      <c r="BE12" s="302" t="s">
        <v>57</v>
      </c>
      <c r="BF12" s="302"/>
      <c r="BG12" s="302"/>
      <c r="BH12" s="302"/>
    </row>
    <row r="13" spans="2:60" ht="13.5" customHeight="1">
      <c r="B13" s="284" t="s">
        <v>211</v>
      </c>
      <c r="C13" s="284"/>
      <c r="D13" s="275">
        <f>'2. P. MARKETING'!BO25</f>
        <v>5000</v>
      </c>
      <c r="E13" s="276"/>
      <c r="F13" s="275">
        <f>'2. P. MARKETING'!BQ25</f>
        <v>8000</v>
      </c>
      <c r="G13" s="276"/>
      <c r="H13" s="275">
        <f>'2. P. MARKETING'!BS25</f>
        <v>10000</v>
      </c>
      <c r="I13" s="276"/>
      <c r="J13" s="275">
        <f>'2. P. MARKETING'!BU25</f>
        <v>15000</v>
      </c>
      <c r="K13" s="276"/>
      <c r="L13" s="275">
        <f>'2. P. MARKETING'!BW25</f>
        <v>12000</v>
      </c>
      <c r="M13" s="276"/>
      <c r="N13" s="275">
        <f>'2. P. MARKETING'!BY25</f>
        <v>3000</v>
      </c>
      <c r="O13" s="276"/>
      <c r="Q13" s="284" t="s">
        <v>211</v>
      </c>
      <c r="R13" s="284"/>
      <c r="S13" s="275">
        <f>D13*(1+ '6. PEF1. PLAN COMERCIAL'!$F$28)</f>
        <v>6000</v>
      </c>
      <c r="T13" s="276"/>
      <c r="U13" s="275">
        <f>F13*(1+ '6. PEF1. PLAN COMERCIAL'!$F$28)</f>
        <v>9600</v>
      </c>
      <c r="V13" s="276"/>
      <c r="W13" s="275">
        <f>H13*(1+ '6. PEF1. PLAN COMERCIAL'!$F$28)</f>
        <v>12000</v>
      </c>
      <c r="X13" s="276"/>
      <c r="Y13" s="275">
        <f>J13*(1+ '6. PEF1. PLAN COMERCIAL'!$F$28)</f>
        <v>18000</v>
      </c>
      <c r="Z13" s="276"/>
      <c r="AA13" s="275">
        <f>L13*(1+ '6. PEF1. PLAN COMERCIAL'!$F$28)</f>
        <v>14400</v>
      </c>
      <c r="AB13" s="276"/>
      <c r="AC13" s="275">
        <f>N13*(1+ '6. PEF1. PLAN COMERCIAL'!$F$28)</f>
        <v>3600</v>
      </c>
      <c r="AD13" s="276"/>
      <c r="AF13" s="284" t="s">
        <v>211</v>
      </c>
      <c r="AG13" s="284"/>
      <c r="AH13" s="275">
        <f>S13*(1+ '6. PEF1. PLAN COMERCIAL'!$F$28)</f>
        <v>7200</v>
      </c>
      <c r="AI13" s="276"/>
      <c r="AJ13" s="275">
        <f>U13*(1+ '6. PEF1. PLAN COMERCIAL'!$F$28)</f>
        <v>11520</v>
      </c>
      <c r="AK13" s="276"/>
      <c r="AL13" s="275">
        <f>W13*(1+ '6. PEF1. PLAN COMERCIAL'!$F$28)</f>
        <v>14400</v>
      </c>
      <c r="AM13" s="276"/>
      <c r="AN13" s="275">
        <f>Y13*(1+ '6. PEF1. PLAN COMERCIAL'!$F$28)</f>
        <v>21600</v>
      </c>
      <c r="AO13" s="276"/>
      <c r="AP13" s="275">
        <f>AA13*(1+ '6. PEF1. PLAN COMERCIAL'!$F$28)</f>
        <v>17280</v>
      </c>
      <c r="AQ13" s="276"/>
      <c r="AR13" s="275">
        <f>AC13*(1+ '6. PEF1. PLAN COMERCIAL'!$F$28)</f>
        <v>4320</v>
      </c>
      <c r="AS13" s="276"/>
      <c r="AU13" s="284" t="s">
        <v>215</v>
      </c>
      <c r="AV13" s="285"/>
      <c r="AW13" s="272">
        <f t="shared" ref="AW13:AW20" si="0">SUM(D13:O13)+SUM(D23:O23)</f>
        <v>87500</v>
      </c>
      <c r="AX13" s="273"/>
      <c r="AY13" s="273"/>
      <c r="AZ13" s="274"/>
      <c r="BA13" s="272">
        <f>SUM(S13:AD13)+SUM(S23:AD23)</f>
        <v>105000</v>
      </c>
      <c r="BB13" s="273"/>
      <c r="BC13" s="273"/>
      <c r="BD13" s="274"/>
      <c r="BE13" s="272">
        <f t="shared" ref="BE13:BE18" si="1">SUM(AH13:AS13)+SUM(AH23:AS23)</f>
        <v>126000</v>
      </c>
      <c r="BF13" s="273"/>
      <c r="BG13" s="273"/>
      <c r="BH13" s="274"/>
    </row>
    <row r="14" spans="2:60">
      <c r="B14" s="282" t="s">
        <v>51</v>
      </c>
      <c r="C14" s="283"/>
      <c r="D14" s="278">
        <v>0</v>
      </c>
      <c r="E14" s="279"/>
      <c r="F14" s="278"/>
      <c r="G14" s="279"/>
      <c r="H14" s="278"/>
      <c r="I14" s="279"/>
      <c r="J14" s="278"/>
      <c r="K14" s="279"/>
      <c r="L14" s="278"/>
      <c r="M14" s="279"/>
      <c r="N14" s="278"/>
      <c r="O14" s="279"/>
      <c r="Q14" s="282" t="s">
        <v>51</v>
      </c>
      <c r="R14" s="283"/>
      <c r="S14" s="275">
        <f>S13*D14/D13</f>
        <v>0</v>
      </c>
      <c r="T14" s="276"/>
      <c r="U14" s="275">
        <f>U13*F14/F13</f>
        <v>0</v>
      </c>
      <c r="V14" s="276"/>
      <c r="W14" s="275">
        <f>W13*H14/H13</f>
        <v>0</v>
      </c>
      <c r="X14" s="276"/>
      <c r="Y14" s="275">
        <f>Y13*J14/J13</f>
        <v>0</v>
      </c>
      <c r="Z14" s="276"/>
      <c r="AA14" s="275">
        <f>AA13*L14/L13</f>
        <v>0</v>
      </c>
      <c r="AB14" s="276"/>
      <c r="AC14" s="275">
        <f>AC13*N14/N13</f>
        <v>0</v>
      </c>
      <c r="AD14" s="276"/>
      <c r="AF14" s="282" t="s">
        <v>51</v>
      </c>
      <c r="AG14" s="283"/>
      <c r="AH14" s="275">
        <f>AH13*S14/S13</f>
        <v>0</v>
      </c>
      <c r="AI14" s="276"/>
      <c r="AJ14" s="275">
        <f>AJ13*U14/U13</f>
        <v>0</v>
      </c>
      <c r="AK14" s="276"/>
      <c r="AL14" s="275">
        <f>AL13*W14/W13</f>
        <v>0</v>
      </c>
      <c r="AM14" s="276"/>
      <c r="AN14" s="275">
        <f>AN13*Y14/Y13</f>
        <v>0</v>
      </c>
      <c r="AO14" s="276"/>
      <c r="AP14" s="275">
        <f>AP13*AA14/AA13</f>
        <v>0</v>
      </c>
      <c r="AQ14" s="276"/>
      <c r="AR14" s="275">
        <f>AR13*AC14/AC13</f>
        <v>0</v>
      </c>
      <c r="AS14" s="276"/>
      <c r="AU14" s="282" t="s">
        <v>51</v>
      </c>
      <c r="AV14" s="283"/>
      <c r="AW14" s="272">
        <f t="shared" si="0"/>
        <v>0</v>
      </c>
      <c r="AX14" s="273"/>
      <c r="AY14" s="273"/>
      <c r="AZ14" s="274"/>
      <c r="BA14" s="272">
        <f t="shared" ref="BA14:BA19" si="2">SUM(S14:AD14)+SUM(S24:AD24)</f>
        <v>0</v>
      </c>
      <c r="BB14" s="273"/>
      <c r="BC14" s="273"/>
      <c r="BD14" s="274"/>
      <c r="BE14" s="272">
        <f t="shared" si="1"/>
        <v>0</v>
      </c>
      <c r="BF14" s="273"/>
      <c r="BG14" s="273"/>
      <c r="BH14" s="274"/>
    </row>
    <row r="15" spans="2:60">
      <c r="B15" s="144" t="s">
        <v>181</v>
      </c>
      <c r="C15" s="145">
        <f>$J$10</f>
        <v>0.04</v>
      </c>
      <c r="D15" s="277">
        <f>D14*$J$10</f>
        <v>0</v>
      </c>
      <c r="E15" s="277"/>
      <c r="F15" s="277">
        <f>F14*$J$10</f>
        <v>0</v>
      </c>
      <c r="G15" s="277"/>
      <c r="H15" s="277">
        <f>H14*$J$10</f>
        <v>0</v>
      </c>
      <c r="I15" s="277"/>
      <c r="J15" s="277">
        <f>J14*$J$10</f>
        <v>0</v>
      </c>
      <c r="K15" s="277"/>
      <c r="L15" s="277">
        <f>L14*$J$10</f>
        <v>0</v>
      </c>
      <c r="M15" s="277"/>
      <c r="N15" s="277">
        <f>N14*$J$10</f>
        <v>0</v>
      </c>
      <c r="O15" s="277"/>
      <c r="Q15" s="144" t="s">
        <v>181</v>
      </c>
      <c r="R15" s="145">
        <f>$J$10</f>
        <v>0.04</v>
      </c>
      <c r="S15" s="277">
        <f>S14*$J$10</f>
        <v>0</v>
      </c>
      <c r="T15" s="277"/>
      <c r="U15" s="277">
        <f>U14*$J$10</f>
        <v>0</v>
      </c>
      <c r="V15" s="277"/>
      <c r="W15" s="277">
        <f>W14*$J$10</f>
        <v>0</v>
      </c>
      <c r="X15" s="277"/>
      <c r="Y15" s="277">
        <f>Y14*$J$10</f>
        <v>0</v>
      </c>
      <c r="Z15" s="277"/>
      <c r="AA15" s="277">
        <f>AA14*$J$10</f>
        <v>0</v>
      </c>
      <c r="AB15" s="277"/>
      <c r="AC15" s="277">
        <f>AC14*$J$10</f>
        <v>0</v>
      </c>
      <c r="AD15" s="277"/>
      <c r="AF15" s="144" t="s">
        <v>181</v>
      </c>
      <c r="AG15" s="145">
        <f>$J$10</f>
        <v>0.04</v>
      </c>
      <c r="AH15" s="277">
        <f>AH14*$J$10</f>
        <v>0</v>
      </c>
      <c r="AI15" s="277"/>
      <c r="AJ15" s="277">
        <f>AJ14*$J$10</f>
        <v>0</v>
      </c>
      <c r="AK15" s="277"/>
      <c r="AL15" s="277">
        <f>AL14*$J$10</f>
        <v>0</v>
      </c>
      <c r="AM15" s="277"/>
      <c r="AN15" s="277">
        <f>AN14*$J$10</f>
        <v>0</v>
      </c>
      <c r="AO15" s="277"/>
      <c r="AP15" s="277">
        <f>AP14*$J$10</f>
        <v>0</v>
      </c>
      <c r="AQ15" s="277"/>
      <c r="AR15" s="277">
        <f>AR14*$J$10</f>
        <v>0</v>
      </c>
      <c r="AS15" s="277"/>
      <c r="AU15" s="144" t="s">
        <v>181</v>
      </c>
      <c r="AV15" s="145">
        <f>$J$10</f>
        <v>0.04</v>
      </c>
      <c r="AW15" s="272">
        <f t="shared" si="0"/>
        <v>0</v>
      </c>
      <c r="AX15" s="273"/>
      <c r="AY15" s="273"/>
      <c r="AZ15" s="274"/>
      <c r="BA15" s="272">
        <f t="shared" si="2"/>
        <v>0</v>
      </c>
      <c r="BB15" s="273"/>
      <c r="BC15" s="273"/>
      <c r="BD15" s="274"/>
      <c r="BE15" s="272">
        <f t="shared" si="1"/>
        <v>0</v>
      </c>
      <c r="BF15" s="273"/>
      <c r="BG15" s="273"/>
      <c r="BH15" s="274"/>
    </row>
    <row r="16" spans="2:60">
      <c r="B16" s="280" t="s">
        <v>51</v>
      </c>
      <c r="C16" s="281"/>
      <c r="D16" s="278">
        <v>0</v>
      </c>
      <c r="E16" s="279"/>
      <c r="F16" s="278">
        <v>0</v>
      </c>
      <c r="G16" s="279"/>
      <c r="H16" s="278">
        <v>0</v>
      </c>
      <c r="I16" s="279"/>
      <c r="J16" s="278">
        <v>0</v>
      </c>
      <c r="K16" s="279"/>
      <c r="L16" s="278">
        <v>0</v>
      </c>
      <c r="M16" s="279"/>
      <c r="N16" s="278">
        <v>0</v>
      </c>
      <c r="O16" s="279"/>
      <c r="Q16" s="280" t="s">
        <v>51</v>
      </c>
      <c r="R16" s="281"/>
      <c r="S16" s="275">
        <f>S13*D16/D13</f>
        <v>0</v>
      </c>
      <c r="T16" s="276"/>
      <c r="U16" s="275">
        <f>U13*F16/F13</f>
        <v>0</v>
      </c>
      <c r="V16" s="276"/>
      <c r="W16" s="275">
        <f>W13*H16/H13</f>
        <v>0</v>
      </c>
      <c r="X16" s="276"/>
      <c r="Y16" s="275">
        <f>Y13*J16/J13</f>
        <v>0</v>
      </c>
      <c r="Z16" s="276"/>
      <c r="AA16" s="275">
        <f>AA13*L16/L13</f>
        <v>0</v>
      </c>
      <c r="AB16" s="276"/>
      <c r="AC16" s="275">
        <f>AC13*N16/N13</f>
        <v>0</v>
      </c>
      <c r="AD16" s="276"/>
      <c r="AF16" s="280" t="s">
        <v>51</v>
      </c>
      <c r="AG16" s="281"/>
      <c r="AH16" s="275">
        <f>AH13*S16/S13</f>
        <v>0</v>
      </c>
      <c r="AI16" s="276"/>
      <c r="AJ16" s="275">
        <f>AJ13*U16/U13</f>
        <v>0</v>
      </c>
      <c r="AK16" s="276"/>
      <c r="AL16" s="275">
        <f>AL13*W16/W13</f>
        <v>0</v>
      </c>
      <c r="AM16" s="276"/>
      <c r="AN16" s="275">
        <f>AN13*Y16/Y13</f>
        <v>0</v>
      </c>
      <c r="AO16" s="276"/>
      <c r="AP16" s="275">
        <f>AP13*AA16/AA13</f>
        <v>0</v>
      </c>
      <c r="AQ16" s="276"/>
      <c r="AR16" s="275">
        <f>AR13*AC16/AC13</f>
        <v>0</v>
      </c>
      <c r="AS16" s="276"/>
      <c r="AU16" s="280" t="s">
        <v>51</v>
      </c>
      <c r="AV16" s="281"/>
      <c r="AW16" s="272">
        <f t="shared" si="0"/>
        <v>0</v>
      </c>
      <c r="AX16" s="273"/>
      <c r="AY16" s="273"/>
      <c r="AZ16" s="274"/>
      <c r="BA16" s="272">
        <f t="shared" si="2"/>
        <v>0</v>
      </c>
      <c r="BB16" s="273"/>
      <c r="BC16" s="273"/>
      <c r="BD16" s="274"/>
      <c r="BE16" s="272">
        <f t="shared" si="1"/>
        <v>0</v>
      </c>
      <c r="BF16" s="273"/>
      <c r="BG16" s="273"/>
      <c r="BH16" s="274"/>
    </row>
    <row r="17" spans="2:60">
      <c r="B17" s="146" t="s">
        <v>181</v>
      </c>
      <c r="C17" s="147">
        <f>$L$10</f>
        <v>0.1</v>
      </c>
      <c r="D17" s="277">
        <f>D16*$L$10</f>
        <v>0</v>
      </c>
      <c r="E17" s="277"/>
      <c r="F17" s="277">
        <f>F16*$L$10</f>
        <v>0</v>
      </c>
      <c r="G17" s="277"/>
      <c r="H17" s="277">
        <f>H16*$L$10</f>
        <v>0</v>
      </c>
      <c r="I17" s="277"/>
      <c r="J17" s="277">
        <f>J16*$L$10</f>
        <v>0</v>
      </c>
      <c r="K17" s="277"/>
      <c r="L17" s="277">
        <f>L16*$L$10</f>
        <v>0</v>
      </c>
      <c r="M17" s="277"/>
      <c r="N17" s="277">
        <f>N16*$L$10</f>
        <v>0</v>
      </c>
      <c r="O17" s="277"/>
      <c r="Q17" s="146" t="s">
        <v>181</v>
      </c>
      <c r="R17" s="147">
        <f>$L$10</f>
        <v>0.1</v>
      </c>
      <c r="S17" s="277">
        <f>S16*$L$10</f>
        <v>0</v>
      </c>
      <c r="T17" s="277"/>
      <c r="U17" s="277">
        <f>U16*$L$10</f>
        <v>0</v>
      </c>
      <c r="V17" s="277"/>
      <c r="W17" s="277">
        <f>W16*$L$10</f>
        <v>0</v>
      </c>
      <c r="X17" s="277"/>
      <c r="Y17" s="277">
        <f>Y16*$L$10</f>
        <v>0</v>
      </c>
      <c r="Z17" s="277"/>
      <c r="AA17" s="277">
        <f>AA16*$L$10</f>
        <v>0</v>
      </c>
      <c r="AB17" s="277"/>
      <c r="AC17" s="277">
        <f>AC16*$L$10</f>
        <v>0</v>
      </c>
      <c r="AD17" s="277"/>
      <c r="AF17" s="146" t="s">
        <v>181</v>
      </c>
      <c r="AG17" s="147">
        <f>$L$10</f>
        <v>0.1</v>
      </c>
      <c r="AH17" s="277">
        <f>AH16*$L$10</f>
        <v>0</v>
      </c>
      <c r="AI17" s="277"/>
      <c r="AJ17" s="277">
        <f>AJ16*$L$10</f>
        <v>0</v>
      </c>
      <c r="AK17" s="277"/>
      <c r="AL17" s="277">
        <f>AL16*$L$10</f>
        <v>0</v>
      </c>
      <c r="AM17" s="277"/>
      <c r="AN17" s="277">
        <f>AN16*$L$10</f>
        <v>0</v>
      </c>
      <c r="AO17" s="277"/>
      <c r="AP17" s="277">
        <f>AP16*$L$10</f>
        <v>0</v>
      </c>
      <c r="AQ17" s="277"/>
      <c r="AR17" s="277">
        <f>AR16*$L$10</f>
        <v>0</v>
      </c>
      <c r="AS17" s="277"/>
      <c r="AU17" s="146" t="s">
        <v>181</v>
      </c>
      <c r="AV17" s="147">
        <f>$L$10</f>
        <v>0.1</v>
      </c>
      <c r="AW17" s="272">
        <f t="shared" si="0"/>
        <v>0</v>
      </c>
      <c r="AX17" s="273"/>
      <c r="AY17" s="273"/>
      <c r="AZ17" s="274"/>
      <c r="BA17" s="272">
        <f t="shared" si="2"/>
        <v>0</v>
      </c>
      <c r="BB17" s="273"/>
      <c r="BC17" s="273"/>
      <c r="BD17" s="274"/>
      <c r="BE17" s="272">
        <f t="shared" si="1"/>
        <v>0</v>
      </c>
      <c r="BF17" s="273"/>
      <c r="BG17" s="273"/>
      <c r="BH17" s="274"/>
    </row>
    <row r="18" spans="2:60">
      <c r="B18" s="289" t="s">
        <v>51</v>
      </c>
      <c r="C18" s="290"/>
      <c r="D18" s="278">
        <v>2000</v>
      </c>
      <c r="E18" s="287"/>
      <c r="F18" s="278">
        <v>2000</v>
      </c>
      <c r="G18" s="287"/>
      <c r="H18" s="278">
        <v>2500</v>
      </c>
      <c r="I18" s="287"/>
      <c r="J18" s="278">
        <v>2500</v>
      </c>
      <c r="K18" s="287"/>
      <c r="L18" s="278">
        <v>3000</v>
      </c>
      <c r="M18" s="287"/>
      <c r="N18" s="278">
        <v>3000</v>
      </c>
      <c r="O18" s="287"/>
      <c r="Q18" s="289" t="s">
        <v>51</v>
      </c>
      <c r="R18" s="290"/>
      <c r="S18" s="275">
        <f>S13*D18/D13</f>
        <v>2400</v>
      </c>
      <c r="T18" s="276"/>
      <c r="U18" s="275">
        <f>U13*F18/F13</f>
        <v>2400</v>
      </c>
      <c r="V18" s="276"/>
      <c r="W18" s="275">
        <f>W13*H18/H13</f>
        <v>3000</v>
      </c>
      <c r="X18" s="276"/>
      <c r="Y18" s="275">
        <f>Y13*J18/J13</f>
        <v>3000</v>
      </c>
      <c r="Z18" s="276"/>
      <c r="AA18" s="275">
        <f>AA13*L18/L13</f>
        <v>3600</v>
      </c>
      <c r="AB18" s="276"/>
      <c r="AC18" s="275">
        <f>AC13*N18/N13</f>
        <v>3600</v>
      </c>
      <c r="AD18" s="276"/>
      <c r="AF18" s="289" t="s">
        <v>51</v>
      </c>
      <c r="AG18" s="290"/>
      <c r="AH18" s="275">
        <f>AH13*S18/S13</f>
        <v>2880</v>
      </c>
      <c r="AI18" s="276"/>
      <c r="AJ18" s="275">
        <f>AJ13*U18/U13</f>
        <v>2880</v>
      </c>
      <c r="AK18" s="276"/>
      <c r="AL18" s="275">
        <f>AL13*W18/W13</f>
        <v>3600</v>
      </c>
      <c r="AM18" s="276"/>
      <c r="AN18" s="275">
        <f>AN13*Y18/Y13</f>
        <v>3600</v>
      </c>
      <c r="AO18" s="276"/>
      <c r="AP18" s="275">
        <f>AP13*AA18/AA13</f>
        <v>4320</v>
      </c>
      <c r="AQ18" s="276"/>
      <c r="AR18" s="275">
        <f>AR13*AC18/AC13</f>
        <v>4320</v>
      </c>
      <c r="AS18" s="276"/>
      <c r="AU18" s="289" t="s">
        <v>51</v>
      </c>
      <c r="AV18" s="290"/>
      <c r="AW18" s="272">
        <f t="shared" si="0"/>
        <v>35500</v>
      </c>
      <c r="AX18" s="273"/>
      <c r="AY18" s="273"/>
      <c r="AZ18" s="274"/>
      <c r="BA18" s="272">
        <f t="shared" si="2"/>
        <v>42600</v>
      </c>
      <c r="BB18" s="273"/>
      <c r="BC18" s="273"/>
      <c r="BD18" s="274"/>
      <c r="BE18" s="272">
        <f t="shared" si="1"/>
        <v>51120</v>
      </c>
      <c r="BF18" s="273"/>
      <c r="BG18" s="273"/>
      <c r="BH18" s="274"/>
    </row>
    <row r="19" spans="2:60">
      <c r="B19" s="148" t="s">
        <v>181</v>
      </c>
      <c r="C19" s="149">
        <f>$N$10</f>
        <v>0.21</v>
      </c>
      <c r="D19" s="277">
        <f>D18*$N$10</f>
        <v>420</v>
      </c>
      <c r="E19" s="277"/>
      <c r="F19" s="277">
        <f>F18*$N$10</f>
        <v>420</v>
      </c>
      <c r="G19" s="277"/>
      <c r="H19" s="277">
        <f>H18*$N$10</f>
        <v>525</v>
      </c>
      <c r="I19" s="277"/>
      <c r="J19" s="277">
        <f>J18*$N$10</f>
        <v>525</v>
      </c>
      <c r="K19" s="277"/>
      <c r="L19" s="277">
        <f>L18*$N$10</f>
        <v>630</v>
      </c>
      <c r="M19" s="277"/>
      <c r="N19" s="277">
        <f>N18*$N$10</f>
        <v>630</v>
      </c>
      <c r="O19" s="277"/>
      <c r="Q19" s="148" t="s">
        <v>181</v>
      </c>
      <c r="R19" s="149">
        <f>$N$10</f>
        <v>0.21</v>
      </c>
      <c r="S19" s="277">
        <f>S18*$N$10</f>
        <v>504</v>
      </c>
      <c r="T19" s="277"/>
      <c r="U19" s="277">
        <f>U18*$N$10</f>
        <v>504</v>
      </c>
      <c r="V19" s="277"/>
      <c r="W19" s="277">
        <f>W18*$N$10</f>
        <v>630</v>
      </c>
      <c r="X19" s="277"/>
      <c r="Y19" s="277">
        <f>Y18*$N$10</f>
        <v>630</v>
      </c>
      <c r="Z19" s="277"/>
      <c r="AA19" s="277">
        <f>AA18*$N$10</f>
        <v>756</v>
      </c>
      <c r="AB19" s="277"/>
      <c r="AC19" s="277">
        <f>AC18*$N$10</f>
        <v>756</v>
      </c>
      <c r="AD19" s="277"/>
      <c r="AF19" s="148" t="s">
        <v>181</v>
      </c>
      <c r="AG19" s="149">
        <f>$N$10</f>
        <v>0.21</v>
      </c>
      <c r="AH19" s="277">
        <f>AH18*$N$10</f>
        <v>604.79999999999995</v>
      </c>
      <c r="AI19" s="277"/>
      <c r="AJ19" s="277">
        <f>AJ18*$N$10</f>
        <v>604.79999999999995</v>
      </c>
      <c r="AK19" s="277"/>
      <c r="AL19" s="277">
        <f>AL18*$N$10</f>
        <v>756</v>
      </c>
      <c r="AM19" s="277"/>
      <c r="AN19" s="277">
        <f>AN18*$N$10</f>
        <v>756</v>
      </c>
      <c r="AO19" s="277"/>
      <c r="AP19" s="277">
        <f>AP18*$N$10</f>
        <v>907.19999999999993</v>
      </c>
      <c r="AQ19" s="277"/>
      <c r="AR19" s="277">
        <f>AR18*$N$10</f>
        <v>907.19999999999993</v>
      </c>
      <c r="AS19" s="277"/>
      <c r="AU19" s="148" t="s">
        <v>181</v>
      </c>
      <c r="AV19" s="149">
        <f>$N$10</f>
        <v>0.21</v>
      </c>
      <c r="AW19" s="272">
        <f t="shared" si="0"/>
        <v>7455</v>
      </c>
      <c r="AX19" s="273"/>
      <c r="AY19" s="273"/>
      <c r="AZ19" s="274"/>
      <c r="BA19" s="272">
        <f t="shared" si="2"/>
        <v>8946</v>
      </c>
      <c r="BB19" s="273"/>
      <c r="BC19" s="273"/>
      <c r="BD19" s="274"/>
      <c r="BE19" s="272">
        <f>BE18*$N$10</f>
        <v>10735.199999999999</v>
      </c>
      <c r="BF19" s="273"/>
      <c r="BG19" s="273"/>
      <c r="BH19" s="274"/>
    </row>
    <row r="20" spans="2:60">
      <c r="B20" s="150" t="s">
        <v>50</v>
      </c>
      <c r="C20" s="37"/>
      <c r="D20" s="277" t="str">
        <f>IF(D14+D16+D18=D13,D15+D17+D19,"Comprobar")</f>
        <v>Comprobar</v>
      </c>
      <c r="E20" s="277"/>
      <c r="F20" s="277" t="str">
        <f>IF(F14+F16+F18=F13,F15+F17+F19,"Comprobar")</f>
        <v>Comprobar</v>
      </c>
      <c r="G20" s="277"/>
      <c r="H20" s="277" t="str">
        <f>IF(H14+H16+H18=H13,H15+H17+H19,"Comprobar")</f>
        <v>Comprobar</v>
      </c>
      <c r="I20" s="277"/>
      <c r="J20" s="277" t="str">
        <f>IF(J14+J16+J18=J13,J15+J17+J19,"Comprobar")</f>
        <v>Comprobar</v>
      </c>
      <c r="K20" s="277"/>
      <c r="L20" s="277" t="str">
        <f>IF(L14+L16+L18=L13,L15+L17+L19,"Comprobar")</f>
        <v>Comprobar</v>
      </c>
      <c r="M20" s="277"/>
      <c r="N20" s="277">
        <f>IF(N14+N16+N18=N13,N15+N17+N19,"Comprobar")</f>
        <v>630</v>
      </c>
      <c r="O20" s="277"/>
      <c r="Q20" s="150" t="s">
        <v>50</v>
      </c>
      <c r="R20" s="37"/>
      <c r="S20" s="277" t="str">
        <f>IF(S14+S16+S18=S13,S15+S17+S19,"Comprobar")</f>
        <v>Comprobar</v>
      </c>
      <c r="T20" s="277"/>
      <c r="U20" s="277" t="str">
        <f>IF(U14+U16+U18=U13,U15+U17+U19,"Comprobar")</f>
        <v>Comprobar</v>
      </c>
      <c r="V20" s="277"/>
      <c r="W20" s="277" t="str">
        <f>IF(W14+W16+W18=W13,W15+W17+W19,"Comprobar")</f>
        <v>Comprobar</v>
      </c>
      <c r="X20" s="277"/>
      <c r="Y20" s="277" t="str">
        <f>IF(Y14+Y16+Y18=Y13,Y15+Y17+Y19,"Comprobar")</f>
        <v>Comprobar</v>
      </c>
      <c r="Z20" s="277"/>
      <c r="AA20" s="277" t="str">
        <f>IF(AA14+AA16+AA18=AA13,AA15+AA17+AA19,"Comprobar")</f>
        <v>Comprobar</v>
      </c>
      <c r="AB20" s="277"/>
      <c r="AC20" s="277">
        <f>IF(AC14+AC16+AC18=AC13,AC15+AC17+AC19,"Comprobar")</f>
        <v>756</v>
      </c>
      <c r="AD20" s="277"/>
      <c r="AF20" s="150" t="s">
        <v>50</v>
      </c>
      <c r="AG20" s="37"/>
      <c r="AH20" s="277" t="str">
        <f>IF(AH14+AH16+AH18=AH13,AH15+AH17+AH19,"Comprobar")</f>
        <v>Comprobar</v>
      </c>
      <c r="AI20" s="277"/>
      <c r="AJ20" s="277" t="str">
        <f>IF(AJ14+AJ16+AJ18=AJ13,AJ15+AJ17+AJ19,"Comprobar")</f>
        <v>Comprobar</v>
      </c>
      <c r="AK20" s="277"/>
      <c r="AL20" s="277" t="str">
        <f>IF(AL14+AL16+AL18=AL13,AL15+AL17+AL19,"Comprobar")</f>
        <v>Comprobar</v>
      </c>
      <c r="AM20" s="277"/>
      <c r="AN20" s="277" t="str">
        <f>IF(AN14+AN16+AN18=AN13,AN15+AN17+AN19,"Comprobar")</f>
        <v>Comprobar</v>
      </c>
      <c r="AO20" s="277"/>
      <c r="AP20" s="277" t="str">
        <f>IF(AP14+AP16+AP18=AP13,AP15+AP17+AP19,"Comprobar")</f>
        <v>Comprobar</v>
      </c>
      <c r="AQ20" s="277"/>
      <c r="AR20" s="277">
        <f>IF(AR14+AR16+AR18=AR13,AR15+AR17+AR19,"Comprobar")</f>
        <v>907.19999999999993</v>
      </c>
      <c r="AS20" s="277"/>
      <c r="AU20" s="284" t="s">
        <v>50</v>
      </c>
      <c r="AV20" s="285"/>
      <c r="AW20" s="295">
        <f t="shared" si="0"/>
        <v>2625</v>
      </c>
      <c r="AX20" s="296"/>
      <c r="AY20" s="296"/>
      <c r="AZ20" s="297"/>
      <c r="BA20" s="295">
        <f>BA15+BA17+BA19</f>
        <v>8946</v>
      </c>
      <c r="BB20" s="296"/>
      <c r="BC20" s="296"/>
      <c r="BD20" s="297"/>
      <c r="BE20" s="295">
        <f>BE15+BE17+BE19</f>
        <v>10735.199999999999</v>
      </c>
      <c r="BF20" s="296"/>
      <c r="BG20" s="296"/>
      <c r="BH20" s="297"/>
    </row>
    <row r="22" spans="2:60">
      <c r="B22" s="284" t="s">
        <v>49</v>
      </c>
      <c r="C22" s="284"/>
      <c r="D22" s="245">
        <v>7</v>
      </c>
      <c r="E22" s="245"/>
      <c r="F22" s="245">
        <v>8</v>
      </c>
      <c r="G22" s="245"/>
      <c r="H22" s="245">
        <v>9</v>
      </c>
      <c r="I22" s="245"/>
      <c r="J22" s="245">
        <v>10</v>
      </c>
      <c r="K22" s="245"/>
      <c r="L22" s="245">
        <v>11</v>
      </c>
      <c r="M22" s="245"/>
      <c r="N22" s="245">
        <v>12</v>
      </c>
      <c r="O22" s="245"/>
      <c r="Q22" s="284" t="s">
        <v>49</v>
      </c>
      <c r="R22" s="284"/>
      <c r="S22" s="245">
        <v>7</v>
      </c>
      <c r="T22" s="245"/>
      <c r="U22" s="245">
        <v>8</v>
      </c>
      <c r="V22" s="245"/>
      <c r="W22" s="245">
        <v>9</v>
      </c>
      <c r="X22" s="245"/>
      <c r="Y22" s="245">
        <v>10</v>
      </c>
      <c r="Z22" s="245"/>
      <c r="AA22" s="245">
        <v>11</v>
      </c>
      <c r="AB22" s="245"/>
      <c r="AC22" s="245">
        <v>12</v>
      </c>
      <c r="AD22" s="245"/>
      <c r="AF22" s="284" t="s">
        <v>49</v>
      </c>
      <c r="AG22" s="284"/>
      <c r="AH22" s="245">
        <v>7</v>
      </c>
      <c r="AI22" s="245"/>
      <c r="AJ22" s="245">
        <v>8</v>
      </c>
      <c r="AK22" s="245"/>
      <c r="AL22" s="245">
        <v>9</v>
      </c>
      <c r="AM22" s="245"/>
      <c r="AN22" s="245">
        <v>10</v>
      </c>
      <c r="AO22" s="245"/>
      <c r="AP22" s="245">
        <v>11</v>
      </c>
      <c r="AQ22" s="245"/>
      <c r="AR22" s="245">
        <v>12</v>
      </c>
      <c r="AS22" s="245"/>
      <c r="AU22" s="284" t="s">
        <v>117</v>
      </c>
      <c r="AV22" s="285"/>
      <c r="AW22" s="291">
        <f>SUM(D35:O35)+SUM(D46:O46)</f>
        <v>29500</v>
      </c>
      <c r="AX22" s="292"/>
      <c r="AY22" s="292"/>
      <c r="AZ22" s="293"/>
      <c r="BA22" s="272">
        <f>SUM(S35:AD35)+SUM(S46:AD46)</f>
        <v>35400</v>
      </c>
      <c r="BB22" s="273"/>
      <c r="BC22" s="273"/>
      <c r="BD22" s="274"/>
      <c r="BE22" s="272">
        <f t="shared" ref="BE22:BE30" si="3">SUM(AH35:AS35)+SUM(AH46:AS46)</f>
        <v>42480</v>
      </c>
      <c r="BF22" s="273"/>
      <c r="BG22" s="273"/>
      <c r="BH22" s="274"/>
    </row>
    <row r="23" spans="2:60">
      <c r="B23" s="284" t="s">
        <v>211</v>
      </c>
      <c r="C23" s="284"/>
      <c r="D23" s="275">
        <f>'2. P. MARKETING'!BO29</f>
        <v>3000</v>
      </c>
      <c r="E23" s="276"/>
      <c r="F23" s="275">
        <f>'2. P. MARKETING'!BQ29</f>
        <v>2000</v>
      </c>
      <c r="G23" s="276"/>
      <c r="H23" s="275">
        <f>'2. P. MARKETING'!BS29</f>
        <v>8000</v>
      </c>
      <c r="I23" s="276"/>
      <c r="J23" s="275">
        <f>'2. P. MARKETING'!BU29</f>
        <v>5000</v>
      </c>
      <c r="K23" s="276"/>
      <c r="L23" s="275">
        <f>'2. P. MARKETING'!BW29</f>
        <v>12000</v>
      </c>
      <c r="M23" s="276"/>
      <c r="N23" s="275">
        <f>'2. P. MARKETING'!BY29</f>
        <v>4500</v>
      </c>
      <c r="O23" s="276"/>
      <c r="Q23" s="284" t="s">
        <v>211</v>
      </c>
      <c r="R23" s="284"/>
      <c r="S23" s="275">
        <f>D23*(1+ '6. PEF1. PLAN COMERCIAL'!$F$28)</f>
        <v>3600</v>
      </c>
      <c r="T23" s="276"/>
      <c r="U23" s="275">
        <f>F23*(1+ '6. PEF1. PLAN COMERCIAL'!$F$28)</f>
        <v>2400</v>
      </c>
      <c r="V23" s="276"/>
      <c r="W23" s="275">
        <f>H23*(1+ '6. PEF1. PLAN COMERCIAL'!$F$28)</f>
        <v>9600</v>
      </c>
      <c r="X23" s="276"/>
      <c r="Y23" s="275">
        <f>J23*(1+ '6. PEF1. PLAN COMERCIAL'!$F$28)</f>
        <v>6000</v>
      </c>
      <c r="Z23" s="276"/>
      <c r="AA23" s="275">
        <f>L23*(1+ '6. PEF1. PLAN COMERCIAL'!$F$28)</f>
        <v>14400</v>
      </c>
      <c r="AB23" s="276"/>
      <c r="AC23" s="275">
        <f>N23*(1+ '6. PEF1. PLAN COMERCIAL'!$F$28)</f>
        <v>5400</v>
      </c>
      <c r="AD23" s="276"/>
      <c r="AF23" s="284" t="s">
        <v>211</v>
      </c>
      <c r="AG23" s="284"/>
      <c r="AH23" s="275">
        <f>S23*(1+ '6. PEF1. PLAN COMERCIAL'!$F$28)</f>
        <v>4320</v>
      </c>
      <c r="AI23" s="276"/>
      <c r="AJ23" s="275">
        <f>U23*(1+ '6. PEF1. PLAN COMERCIAL'!$F$28)</f>
        <v>2880</v>
      </c>
      <c r="AK23" s="276"/>
      <c r="AL23" s="275">
        <f>W23*(1+ '6. PEF1. PLAN COMERCIAL'!$F$28)</f>
        <v>11520</v>
      </c>
      <c r="AM23" s="276"/>
      <c r="AN23" s="275">
        <f>Y23*(1+ '6. PEF1. PLAN COMERCIAL'!$F$28)</f>
        <v>7200</v>
      </c>
      <c r="AO23" s="276"/>
      <c r="AP23" s="275">
        <f>AA23*(1+ '6. PEF1. PLAN COMERCIAL'!$F$28)</f>
        <v>17280</v>
      </c>
      <c r="AQ23" s="276"/>
      <c r="AR23" s="275">
        <f>AC23*(1+ '6. PEF1. PLAN COMERCIAL'!$F$28)</f>
        <v>6480</v>
      </c>
      <c r="AS23" s="276"/>
      <c r="AU23" s="142" t="s">
        <v>196</v>
      </c>
      <c r="AV23" s="143"/>
      <c r="AW23" s="291">
        <f>'6. PEF5. VENTAS Y COSTES'!F16+'6. PEF5. VENTAS Y COSTES'!F21+'6. PEF5. VENTAS Y COSTES'!F22+'6. PEF5. VENTAS Y COSTES'!F23+'6. PEF5. VENTAS Y COSTES'!F24+'6. PEF5. VENTAS Y COSTES'!F25+'6. PEF5. VENTAS Y COSTES'!F26+'6. PEF5. VENTAS Y COSTES'!F27+'6. PEF5. VENTAS Y COSTES'!F31</f>
        <v>13950</v>
      </c>
      <c r="AX23" s="292"/>
      <c r="AY23" s="292"/>
      <c r="AZ23" s="293"/>
      <c r="BA23" s="272">
        <f>SUM(S36:AD36)+SUM(S47:AD47)</f>
        <v>16740</v>
      </c>
      <c r="BB23" s="273"/>
      <c r="BC23" s="273"/>
      <c r="BD23" s="274"/>
      <c r="BE23" s="272">
        <f t="shared" si="3"/>
        <v>20088</v>
      </c>
      <c r="BF23" s="273"/>
      <c r="BG23" s="273"/>
      <c r="BH23" s="274"/>
    </row>
    <row r="24" spans="2:60">
      <c r="B24" s="282" t="s">
        <v>51</v>
      </c>
      <c r="C24" s="283"/>
      <c r="D24" s="278"/>
      <c r="E24" s="279"/>
      <c r="F24" s="278"/>
      <c r="G24" s="279"/>
      <c r="H24" s="278"/>
      <c r="I24" s="279"/>
      <c r="J24" s="278"/>
      <c r="K24" s="279"/>
      <c r="L24" s="278"/>
      <c r="M24" s="279"/>
      <c r="N24" s="278"/>
      <c r="O24" s="279"/>
      <c r="Q24" s="282" t="s">
        <v>51</v>
      </c>
      <c r="R24" s="283"/>
      <c r="S24" s="275">
        <f>S23*D24/D23</f>
        <v>0</v>
      </c>
      <c r="T24" s="276"/>
      <c r="U24" s="275">
        <f>U23*F24/F23</f>
        <v>0</v>
      </c>
      <c r="V24" s="276"/>
      <c r="W24" s="275">
        <f>W23*H24/H23</f>
        <v>0</v>
      </c>
      <c r="X24" s="276"/>
      <c r="Y24" s="275">
        <f>Y23*J24/J23</f>
        <v>0</v>
      </c>
      <c r="Z24" s="276"/>
      <c r="AA24" s="275">
        <f>AA23*L24/L23</f>
        <v>0</v>
      </c>
      <c r="AB24" s="276"/>
      <c r="AC24" s="275">
        <f>AC23*N24/N23</f>
        <v>0</v>
      </c>
      <c r="AD24" s="276"/>
      <c r="AF24" s="282" t="s">
        <v>51</v>
      </c>
      <c r="AG24" s="283"/>
      <c r="AH24" s="275">
        <f>AH23*S24/S23</f>
        <v>0</v>
      </c>
      <c r="AI24" s="276"/>
      <c r="AJ24" s="275">
        <f>AJ23*U24/U23</f>
        <v>0</v>
      </c>
      <c r="AK24" s="276"/>
      <c r="AL24" s="275">
        <f>AL23*W24/W23</f>
        <v>0</v>
      </c>
      <c r="AM24" s="276"/>
      <c r="AN24" s="275">
        <f>AN23*Y24/Y23</f>
        <v>0</v>
      </c>
      <c r="AO24" s="276"/>
      <c r="AP24" s="275">
        <f>AP23*AA24/AA23</f>
        <v>0</v>
      </c>
      <c r="AQ24" s="276"/>
      <c r="AR24" s="275">
        <f>AR23*AC24/AC23</f>
        <v>0</v>
      </c>
      <c r="AS24" s="276"/>
      <c r="AU24" s="282" t="s">
        <v>212</v>
      </c>
      <c r="AV24" s="283"/>
      <c r="AW24" s="272">
        <f t="shared" ref="AW24:AW30" si="4">SUM(D37:O37)+SUM(D48:O48)</f>
        <v>0</v>
      </c>
      <c r="AX24" s="273"/>
      <c r="AY24" s="273"/>
      <c r="AZ24" s="274"/>
      <c r="BA24" s="272">
        <f t="shared" ref="BA24:BA29" si="5">SUM(S37:AD37)+SUM(S48:AD48)</f>
        <v>0</v>
      </c>
      <c r="BB24" s="273"/>
      <c r="BC24" s="273"/>
      <c r="BD24" s="274"/>
      <c r="BE24" s="272">
        <f t="shared" si="3"/>
        <v>0</v>
      </c>
      <c r="BF24" s="273"/>
      <c r="BG24" s="273"/>
      <c r="BH24" s="274"/>
    </row>
    <row r="25" spans="2:60">
      <c r="B25" s="144" t="s">
        <v>181</v>
      </c>
      <c r="C25" s="145">
        <f>$J$10</f>
        <v>0.04</v>
      </c>
      <c r="D25" s="277">
        <f>D24*$J$10</f>
        <v>0</v>
      </c>
      <c r="E25" s="277"/>
      <c r="F25" s="277">
        <f>F24*$J$10</f>
        <v>0</v>
      </c>
      <c r="G25" s="277"/>
      <c r="H25" s="277">
        <f>H24*$J$10</f>
        <v>0</v>
      </c>
      <c r="I25" s="277"/>
      <c r="J25" s="277">
        <f>J24*$J$10</f>
        <v>0</v>
      </c>
      <c r="K25" s="277"/>
      <c r="L25" s="277">
        <f>L24*$J$10</f>
        <v>0</v>
      </c>
      <c r="M25" s="277"/>
      <c r="N25" s="277">
        <f>N24*$J$10</f>
        <v>0</v>
      </c>
      <c r="O25" s="277"/>
      <c r="Q25" s="144" t="s">
        <v>181</v>
      </c>
      <c r="R25" s="145">
        <f>$J$10</f>
        <v>0.04</v>
      </c>
      <c r="S25" s="277">
        <f>S24*$J$10</f>
        <v>0</v>
      </c>
      <c r="T25" s="277"/>
      <c r="U25" s="277">
        <f>U24*$J$10</f>
        <v>0</v>
      </c>
      <c r="V25" s="277"/>
      <c r="W25" s="277">
        <f>W24*$J$10</f>
        <v>0</v>
      </c>
      <c r="X25" s="277"/>
      <c r="Y25" s="277">
        <f>Y24*$J$10</f>
        <v>0</v>
      </c>
      <c r="Z25" s="277"/>
      <c r="AA25" s="277">
        <f>AA24*$J$10</f>
        <v>0</v>
      </c>
      <c r="AB25" s="277"/>
      <c r="AC25" s="277">
        <f>AC24*$J$10</f>
        <v>0</v>
      </c>
      <c r="AD25" s="277"/>
      <c r="AF25" s="144" t="s">
        <v>181</v>
      </c>
      <c r="AG25" s="145">
        <f>$J$10</f>
        <v>0.04</v>
      </c>
      <c r="AH25" s="277">
        <f>AH24*$J$10</f>
        <v>0</v>
      </c>
      <c r="AI25" s="277"/>
      <c r="AJ25" s="277">
        <f>AJ24*$J$10</f>
        <v>0</v>
      </c>
      <c r="AK25" s="277"/>
      <c r="AL25" s="277">
        <f>AL24*$J$10</f>
        <v>0</v>
      </c>
      <c r="AM25" s="277"/>
      <c r="AN25" s="277">
        <f>AN24*$J$10</f>
        <v>0</v>
      </c>
      <c r="AO25" s="277"/>
      <c r="AP25" s="277">
        <f>AP24*$J$10</f>
        <v>0</v>
      </c>
      <c r="AQ25" s="277"/>
      <c r="AR25" s="277">
        <f>AR24*$J$10</f>
        <v>0</v>
      </c>
      <c r="AS25" s="277"/>
      <c r="AU25" s="144" t="s">
        <v>181</v>
      </c>
      <c r="AV25" s="145">
        <f>$J$10</f>
        <v>0.04</v>
      </c>
      <c r="AW25" s="272">
        <f t="shared" si="4"/>
        <v>0</v>
      </c>
      <c r="AX25" s="273"/>
      <c r="AY25" s="273"/>
      <c r="AZ25" s="274"/>
      <c r="BA25" s="272">
        <f t="shared" si="5"/>
        <v>0</v>
      </c>
      <c r="BB25" s="273"/>
      <c r="BC25" s="273"/>
      <c r="BD25" s="274"/>
      <c r="BE25" s="272">
        <f t="shared" si="3"/>
        <v>0</v>
      </c>
      <c r="BF25" s="273"/>
      <c r="BG25" s="273"/>
      <c r="BH25" s="274"/>
    </row>
    <row r="26" spans="2:60">
      <c r="B26" s="280" t="s">
        <v>209</v>
      </c>
      <c r="C26" s="281"/>
      <c r="D26" s="278">
        <v>0</v>
      </c>
      <c r="E26" s="279"/>
      <c r="F26" s="278">
        <v>0</v>
      </c>
      <c r="G26" s="279"/>
      <c r="H26" s="278">
        <v>0</v>
      </c>
      <c r="I26" s="279"/>
      <c r="J26" s="278">
        <v>0</v>
      </c>
      <c r="K26" s="279"/>
      <c r="L26" s="278">
        <v>0</v>
      </c>
      <c r="M26" s="279"/>
      <c r="N26" s="278">
        <v>0</v>
      </c>
      <c r="O26" s="279"/>
      <c r="Q26" s="280" t="s">
        <v>209</v>
      </c>
      <c r="R26" s="281"/>
      <c r="S26" s="275">
        <f>S23*D26/D23</f>
        <v>0</v>
      </c>
      <c r="T26" s="276"/>
      <c r="U26" s="275">
        <f>U23*F26/F23</f>
        <v>0</v>
      </c>
      <c r="V26" s="276"/>
      <c r="W26" s="275">
        <f>W23*H26/H23</f>
        <v>0</v>
      </c>
      <c r="X26" s="276"/>
      <c r="Y26" s="275">
        <f>Y23*J26/J23</f>
        <v>0</v>
      </c>
      <c r="Z26" s="276"/>
      <c r="AA26" s="275">
        <f>AA23*L26/L23</f>
        <v>0</v>
      </c>
      <c r="AB26" s="276"/>
      <c r="AC26" s="275">
        <f>AC23*N26/N23</f>
        <v>0</v>
      </c>
      <c r="AD26" s="276"/>
      <c r="AF26" s="280" t="s">
        <v>209</v>
      </c>
      <c r="AG26" s="281"/>
      <c r="AH26" s="275">
        <f>AH23*S26/S23</f>
        <v>0</v>
      </c>
      <c r="AI26" s="276"/>
      <c r="AJ26" s="275">
        <f>AJ23*U26/U23</f>
        <v>0</v>
      </c>
      <c r="AK26" s="276"/>
      <c r="AL26" s="275">
        <f>AL23*W26/W23</f>
        <v>0</v>
      </c>
      <c r="AM26" s="276"/>
      <c r="AN26" s="275">
        <f>AN23*Y26/Y23</f>
        <v>0</v>
      </c>
      <c r="AO26" s="276"/>
      <c r="AP26" s="275">
        <f>AP23*AA26/AA23</f>
        <v>0</v>
      </c>
      <c r="AQ26" s="276"/>
      <c r="AR26" s="275">
        <f>AR23*AC26/AC23</f>
        <v>0</v>
      </c>
      <c r="AS26" s="276"/>
      <c r="AU26" s="280" t="s">
        <v>212</v>
      </c>
      <c r="AV26" s="281"/>
      <c r="AW26" s="272">
        <f t="shared" si="4"/>
        <v>0</v>
      </c>
      <c r="AX26" s="273"/>
      <c r="AY26" s="273"/>
      <c r="AZ26" s="274"/>
      <c r="BA26" s="272">
        <f t="shared" si="5"/>
        <v>0</v>
      </c>
      <c r="BB26" s="273"/>
      <c r="BC26" s="273"/>
      <c r="BD26" s="274"/>
      <c r="BE26" s="272">
        <f t="shared" si="3"/>
        <v>0</v>
      </c>
      <c r="BF26" s="273"/>
      <c r="BG26" s="273"/>
      <c r="BH26" s="274"/>
    </row>
    <row r="27" spans="2:60">
      <c r="B27" s="146" t="s">
        <v>181</v>
      </c>
      <c r="C27" s="147">
        <f>$L$10</f>
        <v>0.1</v>
      </c>
      <c r="D27" s="277">
        <f>D26*$L$10</f>
        <v>0</v>
      </c>
      <c r="E27" s="277"/>
      <c r="F27" s="277">
        <f>F26*$L$10</f>
        <v>0</v>
      </c>
      <c r="G27" s="277"/>
      <c r="H27" s="277">
        <f>H26*$L$10</f>
        <v>0</v>
      </c>
      <c r="I27" s="277"/>
      <c r="J27" s="277">
        <f>J26*$L$10</f>
        <v>0</v>
      </c>
      <c r="K27" s="277"/>
      <c r="L27" s="277">
        <f>L26*$L$10</f>
        <v>0</v>
      </c>
      <c r="M27" s="277"/>
      <c r="N27" s="277">
        <f>N26*$L$10</f>
        <v>0</v>
      </c>
      <c r="O27" s="277"/>
      <c r="Q27" s="146" t="s">
        <v>181</v>
      </c>
      <c r="R27" s="147">
        <f>$L$10</f>
        <v>0.1</v>
      </c>
      <c r="S27" s="277">
        <f>S26*$L$10</f>
        <v>0</v>
      </c>
      <c r="T27" s="277"/>
      <c r="U27" s="277">
        <f>U26*$L$10</f>
        <v>0</v>
      </c>
      <c r="V27" s="277"/>
      <c r="W27" s="277">
        <f>W26*$L$10</f>
        <v>0</v>
      </c>
      <c r="X27" s="277"/>
      <c r="Y27" s="277">
        <f>Y26*$L$10</f>
        <v>0</v>
      </c>
      <c r="Z27" s="277"/>
      <c r="AA27" s="277">
        <f>AA26*$L$10</f>
        <v>0</v>
      </c>
      <c r="AB27" s="277"/>
      <c r="AC27" s="277">
        <f>AC26*$L$10</f>
        <v>0</v>
      </c>
      <c r="AD27" s="277"/>
      <c r="AF27" s="146" t="s">
        <v>181</v>
      </c>
      <c r="AG27" s="147">
        <f>$L$10</f>
        <v>0.1</v>
      </c>
      <c r="AH27" s="277">
        <f>AH26*$L$10</f>
        <v>0</v>
      </c>
      <c r="AI27" s="277"/>
      <c r="AJ27" s="277">
        <f>AJ26*$L$10</f>
        <v>0</v>
      </c>
      <c r="AK27" s="277"/>
      <c r="AL27" s="277">
        <f>AL26*$L$10</f>
        <v>0</v>
      </c>
      <c r="AM27" s="277"/>
      <c r="AN27" s="277">
        <f>AN26*$L$10</f>
        <v>0</v>
      </c>
      <c r="AO27" s="277"/>
      <c r="AP27" s="277">
        <f>AP26*$L$10</f>
        <v>0</v>
      </c>
      <c r="AQ27" s="277"/>
      <c r="AR27" s="277">
        <f>AR26*$L$10</f>
        <v>0</v>
      </c>
      <c r="AS27" s="277"/>
      <c r="AU27" s="146" t="s">
        <v>181</v>
      </c>
      <c r="AV27" s="147">
        <f>$L$10</f>
        <v>0.1</v>
      </c>
      <c r="AW27" s="272">
        <f t="shared" si="4"/>
        <v>0</v>
      </c>
      <c r="AX27" s="273"/>
      <c r="AY27" s="273"/>
      <c r="AZ27" s="274"/>
      <c r="BA27" s="272">
        <f t="shared" si="5"/>
        <v>0</v>
      </c>
      <c r="BB27" s="273"/>
      <c r="BC27" s="273"/>
      <c r="BD27" s="274"/>
      <c r="BE27" s="272">
        <f t="shared" si="3"/>
        <v>0</v>
      </c>
      <c r="BF27" s="273"/>
      <c r="BG27" s="273"/>
      <c r="BH27" s="274"/>
    </row>
    <row r="28" spans="2:60">
      <c r="B28" s="289" t="s">
        <v>210</v>
      </c>
      <c r="C28" s="290"/>
      <c r="D28" s="278">
        <v>3000</v>
      </c>
      <c r="E28" s="287"/>
      <c r="F28" s="278">
        <v>2000</v>
      </c>
      <c r="G28" s="287"/>
      <c r="H28" s="278">
        <v>3000</v>
      </c>
      <c r="I28" s="287"/>
      <c r="J28" s="278">
        <v>4000</v>
      </c>
      <c r="K28" s="287"/>
      <c r="L28" s="278">
        <v>4000</v>
      </c>
      <c r="M28" s="287"/>
      <c r="N28" s="278">
        <v>4500</v>
      </c>
      <c r="O28" s="287"/>
      <c r="Q28" s="289" t="s">
        <v>210</v>
      </c>
      <c r="R28" s="290"/>
      <c r="S28" s="275">
        <f>S23*D28/D23</f>
        <v>3600</v>
      </c>
      <c r="T28" s="276"/>
      <c r="U28" s="275">
        <f>U23*F28/F23</f>
        <v>2400</v>
      </c>
      <c r="V28" s="276"/>
      <c r="W28" s="275">
        <f>W23*H28/H23</f>
        <v>3600</v>
      </c>
      <c r="X28" s="276"/>
      <c r="Y28" s="275">
        <f>Y23*J28/J23</f>
        <v>4800</v>
      </c>
      <c r="Z28" s="276"/>
      <c r="AA28" s="275">
        <f>AA23*L28/L23</f>
        <v>4800</v>
      </c>
      <c r="AB28" s="276"/>
      <c r="AC28" s="275">
        <f>AC23*N28/N23</f>
        <v>5400</v>
      </c>
      <c r="AD28" s="276"/>
      <c r="AF28" s="289" t="s">
        <v>210</v>
      </c>
      <c r="AG28" s="290"/>
      <c r="AH28" s="275">
        <f>AH23*S28/S23</f>
        <v>4320</v>
      </c>
      <c r="AI28" s="276"/>
      <c r="AJ28" s="275">
        <f>AJ23*U28/U23</f>
        <v>2880</v>
      </c>
      <c r="AK28" s="276"/>
      <c r="AL28" s="275">
        <f>AL23*W28/W23</f>
        <v>4320</v>
      </c>
      <c r="AM28" s="276"/>
      <c r="AN28" s="275">
        <f>AN23*Y28/Y23</f>
        <v>5760</v>
      </c>
      <c r="AO28" s="276"/>
      <c r="AP28" s="275">
        <f>AP23*AA28/AA23</f>
        <v>5760</v>
      </c>
      <c r="AQ28" s="276"/>
      <c r="AR28" s="275">
        <f>AR23*AC28/AC23</f>
        <v>6480</v>
      </c>
      <c r="AS28" s="276"/>
      <c r="AU28" s="289" t="s">
        <v>212</v>
      </c>
      <c r="AV28" s="290"/>
      <c r="AW28" s="272">
        <f t="shared" si="4"/>
        <v>59800</v>
      </c>
      <c r="AX28" s="273"/>
      <c r="AY28" s="273"/>
      <c r="AZ28" s="274"/>
      <c r="BA28" s="272">
        <f t="shared" si="5"/>
        <v>71760</v>
      </c>
      <c r="BB28" s="273"/>
      <c r="BC28" s="273"/>
      <c r="BD28" s="274"/>
      <c r="BE28" s="272">
        <f t="shared" si="3"/>
        <v>86112</v>
      </c>
      <c r="BF28" s="273"/>
      <c r="BG28" s="273"/>
      <c r="BH28" s="274"/>
    </row>
    <row r="29" spans="2:60">
      <c r="B29" s="148" t="s">
        <v>181</v>
      </c>
      <c r="C29" s="149">
        <f>$N$10</f>
        <v>0.21</v>
      </c>
      <c r="D29" s="277">
        <f>D28*$N$10</f>
        <v>630</v>
      </c>
      <c r="E29" s="277"/>
      <c r="F29" s="277">
        <f>F28*$N$10</f>
        <v>420</v>
      </c>
      <c r="G29" s="277"/>
      <c r="H29" s="277">
        <f>H28*$N$10</f>
        <v>630</v>
      </c>
      <c r="I29" s="277"/>
      <c r="J29" s="277">
        <f>J28*$N$10</f>
        <v>840</v>
      </c>
      <c r="K29" s="277"/>
      <c r="L29" s="277">
        <f>L28*$N$10</f>
        <v>840</v>
      </c>
      <c r="M29" s="277"/>
      <c r="N29" s="277">
        <f>N28*$N$10</f>
        <v>945</v>
      </c>
      <c r="O29" s="277"/>
      <c r="Q29" s="148" t="s">
        <v>181</v>
      </c>
      <c r="R29" s="149">
        <f>$N$10</f>
        <v>0.21</v>
      </c>
      <c r="S29" s="277">
        <f>S28*$N$10</f>
        <v>756</v>
      </c>
      <c r="T29" s="277"/>
      <c r="U29" s="277">
        <f>U28*$N$10</f>
        <v>504</v>
      </c>
      <c r="V29" s="277"/>
      <c r="W29" s="277">
        <f>W28*$N$10</f>
        <v>756</v>
      </c>
      <c r="X29" s="277"/>
      <c r="Y29" s="277">
        <f>Y28*$N$10</f>
        <v>1008</v>
      </c>
      <c r="Z29" s="277"/>
      <c r="AA29" s="277">
        <f>AA28*$N$10</f>
        <v>1008</v>
      </c>
      <c r="AB29" s="277"/>
      <c r="AC29" s="277">
        <f>AC28*$N$10</f>
        <v>1134</v>
      </c>
      <c r="AD29" s="277"/>
      <c r="AF29" s="148" t="s">
        <v>181</v>
      </c>
      <c r="AG29" s="149">
        <f>$N$10</f>
        <v>0.21</v>
      </c>
      <c r="AH29" s="277">
        <f>AH28*$N$10</f>
        <v>907.19999999999993</v>
      </c>
      <c r="AI29" s="277"/>
      <c r="AJ29" s="277">
        <f>AJ28*$N$10</f>
        <v>604.79999999999995</v>
      </c>
      <c r="AK29" s="277"/>
      <c r="AL29" s="277">
        <f>AL28*$N$10</f>
        <v>907.19999999999993</v>
      </c>
      <c r="AM29" s="277"/>
      <c r="AN29" s="277">
        <f>AN28*$N$10</f>
        <v>1209.5999999999999</v>
      </c>
      <c r="AO29" s="277"/>
      <c r="AP29" s="277">
        <f>AP28*$N$10</f>
        <v>1209.5999999999999</v>
      </c>
      <c r="AQ29" s="277"/>
      <c r="AR29" s="277">
        <f>AR28*$N$10</f>
        <v>1360.8</v>
      </c>
      <c r="AS29" s="277"/>
      <c r="AU29" s="148" t="s">
        <v>181</v>
      </c>
      <c r="AV29" s="149">
        <f>$N$10</f>
        <v>0.21</v>
      </c>
      <c r="AW29" s="272">
        <f t="shared" si="4"/>
        <v>12558</v>
      </c>
      <c r="AX29" s="273"/>
      <c r="AY29" s="273"/>
      <c r="AZ29" s="274"/>
      <c r="BA29" s="272">
        <f t="shared" si="5"/>
        <v>15069.599999999999</v>
      </c>
      <c r="BB29" s="273"/>
      <c r="BC29" s="273"/>
      <c r="BD29" s="274"/>
      <c r="BE29" s="272">
        <f t="shared" si="3"/>
        <v>18083.52</v>
      </c>
      <c r="BF29" s="273"/>
      <c r="BG29" s="273"/>
      <c r="BH29" s="274"/>
    </row>
    <row r="30" spans="2:60">
      <c r="B30" s="150" t="s">
        <v>50</v>
      </c>
      <c r="C30" s="37"/>
      <c r="D30" s="277">
        <f>IF(D24+D26+D28=D23,D25+D27+D29,"Comprobar")</f>
        <v>630</v>
      </c>
      <c r="E30" s="277"/>
      <c r="F30" s="277">
        <f>IF(F24+F26+F28=F23,F25+F27+F29,"Comprobar")</f>
        <v>420</v>
      </c>
      <c r="G30" s="277"/>
      <c r="H30" s="277" t="str">
        <f>IF(H24+H26+H28=H23,H25+H27+H29,"Comprobar")</f>
        <v>Comprobar</v>
      </c>
      <c r="I30" s="277"/>
      <c r="J30" s="277" t="str">
        <f>IF(J24+J26+J28=J23,J25+J27+J29,"Comprobar")</f>
        <v>Comprobar</v>
      </c>
      <c r="K30" s="277"/>
      <c r="L30" s="277" t="str">
        <f>IF(L24+L26+L28=L23,L25+L27+L29,"Comprobar")</f>
        <v>Comprobar</v>
      </c>
      <c r="M30" s="277"/>
      <c r="N30" s="277">
        <f>IF(N24+N26+N28=N23,N25+N27+N29,"Comprobar")</f>
        <v>945</v>
      </c>
      <c r="O30" s="277"/>
      <c r="Q30" s="150" t="s">
        <v>50</v>
      </c>
      <c r="R30" s="37"/>
      <c r="S30" s="277">
        <f>IF(S24+S26+S28=S23,S25+S27+S29,"Comprobar")</f>
        <v>756</v>
      </c>
      <c r="T30" s="277"/>
      <c r="U30" s="277">
        <f>IF(U24+U26+U28=U23,U25+U27+U29,"Comprobar")</f>
        <v>504</v>
      </c>
      <c r="V30" s="277"/>
      <c r="W30" s="277" t="str">
        <f>IF(W24+W26+W28=W23,W25+W27+W29,"Comprobar")</f>
        <v>Comprobar</v>
      </c>
      <c r="X30" s="277"/>
      <c r="Y30" s="277" t="str">
        <f>IF(Y24+Y26+Y28=Y23,Y25+Y27+Y29,"Comprobar")</f>
        <v>Comprobar</v>
      </c>
      <c r="Z30" s="277"/>
      <c r="AA30" s="277" t="str">
        <f>IF(AA24+AA26+AA28=AA23,AA25+AA27+AA29,"Comprobar")</f>
        <v>Comprobar</v>
      </c>
      <c r="AB30" s="277"/>
      <c r="AC30" s="277">
        <f>IF(AC24+AC26+AC28=AC23,AC25+AC27+AC29,"Comprobar")</f>
        <v>1134</v>
      </c>
      <c r="AD30" s="277"/>
      <c r="AF30" s="150" t="s">
        <v>50</v>
      </c>
      <c r="AG30" s="37"/>
      <c r="AH30" s="277">
        <f>IF(AH24+AH26+AH28=AH23,AH25+AH27+AH29,"Comprobar")</f>
        <v>907.19999999999993</v>
      </c>
      <c r="AI30" s="277"/>
      <c r="AJ30" s="277">
        <f>IF(AJ24+AJ26+AJ28=AJ23,AJ25+AJ27+AJ29,"Comprobar")</f>
        <v>604.79999999999995</v>
      </c>
      <c r="AK30" s="277"/>
      <c r="AL30" s="277" t="str">
        <f>IF(AL24+AL26+AL28=AL23,AL25+AL27+AL29,"Comprobar")</f>
        <v>Comprobar</v>
      </c>
      <c r="AM30" s="277"/>
      <c r="AN30" s="277" t="str">
        <f>IF(AN24+AN26+AN28=AN23,AN25+AN27+AN29,"Comprobar")</f>
        <v>Comprobar</v>
      </c>
      <c r="AO30" s="277"/>
      <c r="AP30" s="277" t="str">
        <f>IF(AP24+AP26+AP28=AP23,AP25+AP27+AP29,"Comprobar")</f>
        <v>Comprobar</v>
      </c>
      <c r="AQ30" s="277"/>
      <c r="AR30" s="277">
        <f>IF(AR24+AR26+AR28=AR23,AR25+AR27+AR29,"Comprobar")</f>
        <v>1360.8</v>
      </c>
      <c r="AS30" s="277"/>
      <c r="AU30" s="284" t="s">
        <v>392</v>
      </c>
      <c r="AV30" s="285"/>
      <c r="AW30" s="291">
        <f t="shared" si="4"/>
        <v>1643.25</v>
      </c>
      <c r="AX30" s="292"/>
      <c r="AY30" s="292"/>
      <c r="AZ30" s="293"/>
      <c r="BA30" s="272">
        <f>SUM(S43:AD43)+SUM(S54:AD54)</f>
        <v>1971.9</v>
      </c>
      <c r="BB30" s="273"/>
      <c r="BC30" s="273"/>
      <c r="BD30" s="274"/>
      <c r="BE30" s="272">
        <f t="shared" si="3"/>
        <v>2366.2799999999997</v>
      </c>
      <c r="BF30" s="273"/>
      <c r="BG30" s="273"/>
      <c r="BH30" s="274"/>
    </row>
    <row r="31" spans="2:60">
      <c r="AU31" s="284" t="s">
        <v>391</v>
      </c>
      <c r="AV31" s="285"/>
      <c r="AW31" s="291">
        <f>'6. PEF2-3. INVERS. Y FINANC.'!F38</f>
        <v>5586</v>
      </c>
      <c r="AX31" s="292"/>
      <c r="AY31" s="292"/>
      <c r="AZ31" s="293"/>
      <c r="BA31" s="298">
        <v>0</v>
      </c>
      <c r="BB31" s="299"/>
      <c r="BC31" s="299"/>
      <c r="BD31" s="300"/>
      <c r="BE31" s="298">
        <v>0</v>
      </c>
      <c r="BF31" s="299"/>
      <c r="BG31" s="299"/>
      <c r="BH31" s="300"/>
    </row>
    <row r="32" spans="2:60">
      <c r="B32" s="286" t="s">
        <v>193</v>
      </c>
      <c r="C32" s="286"/>
      <c r="D32" s="286"/>
      <c r="E32" s="286"/>
      <c r="F32" s="286"/>
      <c r="Q32" s="286" t="s">
        <v>193</v>
      </c>
      <c r="R32" s="286"/>
      <c r="S32" s="286"/>
      <c r="T32" s="286"/>
      <c r="U32" s="286"/>
      <c r="AF32" s="286" t="s">
        <v>193</v>
      </c>
      <c r="AG32" s="286"/>
      <c r="AH32" s="286"/>
      <c r="AI32" s="286"/>
      <c r="AJ32" s="286"/>
      <c r="AU32" s="284" t="s">
        <v>393</v>
      </c>
      <c r="AV32" s="285"/>
      <c r="AW32" s="295">
        <f>SUM(AW30:AZ31)</f>
        <v>7229.25</v>
      </c>
      <c r="AX32" s="296"/>
      <c r="AY32" s="296"/>
      <c r="AZ32" s="297"/>
      <c r="BA32" s="295">
        <f>SUM(BA30:BD31)</f>
        <v>1971.9</v>
      </c>
      <c r="BB32" s="296"/>
      <c r="BC32" s="296"/>
      <c r="BD32" s="297"/>
      <c r="BE32" s="295">
        <f>SUM(BE30:BH31)</f>
        <v>2366.2799999999997</v>
      </c>
      <c r="BF32" s="296"/>
      <c r="BG32" s="296"/>
      <c r="BH32" s="297"/>
    </row>
    <row r="34" spans="2:60">
      <c r="B34" s="284" t="s">
        <v>49</v>
      </c>
      <c r="C34" s="284"/>
      <c r="D34" s="245">
        <v>1</v>
      </c>
      <c r="E34" s="245"/>
      <c r="F34" s="245">
        <v>2</v>
      </c>
      <c r="G34" s="245"/>
      <c r="H34" s="245">
        <v>3</v>
      </c>
      <c r="I34" s="245"/>
      <c r="J34" s="245">
        <v>4</v>
      </c>
      <c r="K34" s="245"/>
      <c r="L34" s="245">
        <v>5</v>
      </c>
      <c r="M34" s="245"/>
      <c r="N34" s="245">
        <v>6</v>
      </c>
      <c r="O34" s="245"/>
      <c r="Q34" s="284" t="s">
        <v>49</v>
      </c>
      <c r="R34" s="284"/>
      <c r="S34" s="245">
        <v>1</v>
      </c>
      <c r="T34" s="245"/>
      <c r="U34" s="245">
        <v>2</v>
      </c>
      <c r="V34" s="245"/>
      <c r="W34" s="245">
        <v>3</v>
      </c>
      <c r="X34" s="245"/>
      <c r="Y34" s="245">
        <v>4</v>
      </c>
      <c r="Z34" s="245"/>
      <c r="AA34" s="245">
        <v>5</v>
      </c>
      <c r="AB34" s="245"/>
      <c r="AC34" s="245">
        <v>6</v>
      </c>
      <c r="AD34" s="245"/>
      <c r="AF34" s="284" t="s">
        <v>49</v>
      </c>
      <c r="AG34" s="284"/>
      <c r="AH34" s="245">
        <v>1</v>
      </c>
      <c r="AI34" s="245"/>
      <c r="AJ34" s="245">
        <v>2</v>
      </c>
      <c r="AK34" s="245"/>
      <c r="AL34" s="245">
        <v>3</v>
      </c>
      <c r="AM34" s="245"/>
      <c r="AN34" s="245">
        <v>4</v>
      </c>
      <c r="AO34" s="245"/>
      <c r="AP34" s="245">
        <v>5</v>
      </c>
      <c r="AQ34" s="245"/>
      <c r="AR34" s="245">
        <v>6</v>
      </c>
      <c r="AS34" s="245"/>
      <c r="BG34" s="172"/>
    </row>
    <row r="35" spans="2:60">
      <c r="B35" s="284" t="s">
        <v>117</v>
      </c>
      <c r="C35" s="284"/>
      <c r="D35" s="275">
        <f>'2. P. MARKETING'!BO35</f>
        <v>1000</v>
      </c>
      <c r="E35" s="276"/>
      <c r="F35" s="275">
        <f>'2. P. MARKETING'!BQ35</f>
        <v>2000</v>
      </c>
      <c r="G35" s="276"/>
      <c r="H35" s="275">
        <f>'2. P. MARKETING'!BS35</f>
        <v>4000</v>
      </c>
      <c r="I35" s="276"/>
      <c r="J35" s="275">
        <f>'2. P. MARKETING'!BU35</f>
        <v>5000</v>
      </c>
      <c r="K35" s="276"/>
      <c r="L35" s="275">
        <f>'2. P. MARKETING'!BW35</f>
        <v>4000</v>
      </c>
      <c r="M35" s="276"/>
      <c r="N35" s="275">
        <f>'2. P. MARKETING'!BY35</f>
        <v>2000</v>
      </c>
      <c r="O35" s="276"/>
      <c r="Q35" s="284" t="s">
        <v>117</v>
      </c>
      <c r="R35" s="284"/>
      <c r="S35" s="275">
        <f>D35*(1+ '6. PEF1. PLAN COMERCIAL'!$F$29)</f>
        <v>1200</v>
      </c>
      <c r="T35" s="276"/>
      <c r="U35" s="275">
        <f>F35*(1+ '6. PEF1. PLAN COMERCIAL'!$F$29)</f>
        <v>2400</v>
      </c>
      <c r="V35" s="276"/>
      <c r="W35" s="275">
        <f>H35*(1+ '6. PEF1. PLAN COMERCIAL'!$F$29)</f>
        <v>4800</v>
      </c>
      <c r="X35" s="276"/>
      <c r="Y35" s="275">
        <f>J35*(1+ '6. PEF1. PLAN COMERCIAL'!$F$29)</f>
        <v>6000</v>
      </c>
      <c r="Z35" s="276"/>
      <c r="AA35" s="275">
        <f>L35*(1+ '6. PEF1. PLAN COMERCIAL'!$F$29)</f>
        <v>4800</v>
      </c>
      <c r="AB35" s="276"/>
      <c r="AC35" s="275">
        <f>N35*(1+ '6. PEF1. PLAN COMERCIAL'!$F$29)</f>
        <v>2400</v>
      </c>
      <c r="AD35" s="276"/>
      <c r="AF35" s="284" t="s">
        <v>117</v>
      </c>
      <c r="AG35" s="284"/>
      <c r="AH35" s="275">
        <f>S35*(1+ '6. PEF1. PLAN COMERCIAL'!$F$29)</f>
        <v>1440</v>
      </c>
      <c r="AI35" s="276"/>
      <c r="AJ35" s="275">
        <f>U35*(1+ '6. PEF1. PLAN COMERCIAL'!$F$29)</f>
        <v>2880</v>
      </c>
      <c r="AK35" s="276"/>
      <c r="AL35" s="275">
        <f>W35*(1+ '6. PEF1. PLAN COMERCIAL'!$F$29)</f>
        <v>5760</v>
      </c>
      <c r="AM35" s="276"/>
      <c r="AN35" s="275">
        <f>Y35*(1+ '6. PEF1. PLAN COMERCIAL'!$F$29)</f>
        <v>7200</v>
      </c>
      <c r="AO35" s="276"/>
      <c r="AP35" s="275">
        <f>AA35*(1+ '6. PEF1. PLAN COMERCIAL'!$F$29)</f>
        <v>5760</v>
      </c>
      <c r="AQ35" s="276"/>
      <c r="AR35" s="275">
        <f>AC35*(1+ '6. PEF1. PLAN COMERCIAL'!$F$29)</f>
        <v>2880</v>
      </c>
      <c r="AS35" s="276"/>
      <c r="BC35" s="2"/>
      <c r="BG35" s="171"/>
    </row>
    <row r="36" spans="2:60">
      <c r="B36" s="284" t="s">
        <v>196</v>
      </c>
      <c r="C36" s="285"/>
      <c r="D36" s="275">
        <f>ROUND($AW$23/12,2)</f>
        <v>1162.5</v>
      </c>
      <c r="E36" s="276"/>
      <c r="F36" s="275">
        <f>ROUND($AW$23/12,2)</f>
        <v>1162.5</v>
      </c>
      <c r="G36" s="276"/>
      <c r="H36" s="275">
        <f>ROUND($AW$23/12,2)</f>
        <v>1162.5</v>
      </c>
      <c r="I36" s="276"/>
      <c r="J36" s="275">
        <f>ROUND($AW$23/12,2)</f>
        <v>1162.5</v>
      </c>
      <c r="K36" s="276"/>
      <c r="L36" s="275">
        <f>ROUND($AW$23/12,2)</f>
        <v>1162.5</v>
      </c>
      <c r="M36" s="276"/>
      <c r="N36" s="275">
        <f>ROUND($AW$23/12,2)</f>
        <v>1162.5</v>
      </c>
      <c r="O36" s="276"/>
      <c r="Q36" s="284" t="s">
        <v>196</v>
      </c>
      <c r="R36" s="285"/>
      <c r="S36" s="275">
        <f>D36*(1+'6. PEF5. VENTAS Y COSTES'!$F$43)</f>
        <v>1395</v>
      </c>
      <c r="T36" s="276"/>
      <c r="U36" s="275">
        <f>F36*(1+'6. PEF5. VENTAS Y COSTES'!$F$43)</f>
        <v>1395</v>
      </c>
      <c r="V36" s="276"/>
      <c r="W36" s="275">
        <f>H36*(1+'6. PEF5. VENTAS Y COSTES'!$F$43)</f>
        <v>1395</v>
      </c>
      <c r="X36" s="276"/>
      <c r="Y36" s="275">
        <f>J36*(1+'6. PEF5. VENTAS Y COSTES'!$F$43)</f>
        <v>1395</v>
      </c>
      <c r="Z36" s="276"/>
      <c r="AA36" s="275">
        <f>L36*(1+'6. PEF5. VENTAS Y COSTES'!$F$43)</f>
        <v>1395</v>
      </c>
      <c r="AB36" s="276"/>
      <c r="AC36" s="275">
        <f>N36*(1+'6. PEF5. VENTAS Y COSTES'!$F$43)</f>
        <v>1395</v>
      </c>
      <c r="AD36" s="276"/>
      <c r="AF36" s="284" t="s">
        <v>196</v>
      </c>
      <c r="AG36" s="285"/>
      <c r="AH36" s="275">
        <f>S36*(1+'6. PEF5. VENTAS Y COSTES'!$F$43)</f>
        <v>1674</v>
      </c>
      <c r="AI36" s="276"/>
      <c r="AJ36" s="275">
        <f>U36*(1+'6. PEF5. VENTAS Y COSTES'!$F$43)</f>
        <v>1674</v>
      </c>
      <c r="AK36" s="276"/>
      <c r="AL36" s="275">
        <f>W36*(1+'6. PEF5. VENTAS Y COSTES'!$F$43)</f>
        <v>1674</v>
      </c>
      <c r="AM36" s="276"/>
      <c r="AN36" s="275">
        <f>Y36*(1+'6. PEF5. VENTAS Y COSTES'!$F$43)</f>
        <v>1674</v>
      </c>
      <c r="AO36" s="276"/>
      <c r="AP36" s="275">
        <f>AA36*(1+'6. PEF5. VENTAS Y COSTES'!$F$43)</f>
        <v>1674</v>
      </c>
      <c r="AQ36" s="276"/>
      <c r="AR36" s="275">
        <f>AC36*(1+'6. PEF5. VENTAS Y COSTES'!$F$43)</f>
        <v>1674</v>
      </c>
      <c r="AS36" s="276"/>
      <c r="AU36" s="284" t="s">
        <v>216</v>
      </c>
      <c r="AV36" s="285"/>
      <c r="AW36" s="291">
        <f>AW20-AW32</f>
        <v>-4604.25</v>
      </c>
      <c r="AX36" s="292"/>
      <c r="AY36" s="292"/>
      <c r="AZ36" s="293"/>
      <c r="BA36" s="291">
        <f>BA20-BA32</f>
        <v>6974.1</v>
      </c>
      <c r="BB36" s="292"/>
      <c r="BC36" s="292"/>
      <c r="BD36" s="293"/>
      <c r="BE36" s="291">
        <f>BE20-BE32</f>
        <v>8368.9199999999983</v>
      </c>
      <c r="BF36" s="292"/>
      <c r="BG36" s="292"/>
      <c r="BH36" s="293"/>
    </row>
    <row r="37" spans="2:60">
      <c r="B37" s="282" t="s">
        <v>212</v>
      </c>
      <c r="C37" s="283"/>
      <c r="D37" s="278"/>
      <c r="E37" s="279"/>
      <c r="F37" s="278"/>
      <c r="G37" s="279"/>
      <c r="H37" s="278"/>
      <c r="I37" s="279"/>
      <c r="J37" s="278"/>
      <c r="K37" s="279"/>
      <c r="L37" s="278"/>
      <c r="M37" s="279"/>
      <c r="N37" s="278"/>
      <c r="O37" s="279"/>
      <c r="Q37" s="282" t="s">
        <v>212</v>
      </c>
      <c r="R37" s="283"/>
      <c r="S37" s="275">
        <f>(S35+S36)*D37/(D35+D36)</f>
        <v>0</v>
      </c>
      <c r="T37" s="276"/>
      <c r="U37" s="275">
        <f>(U35+U36)*F37/(F35+F36)</f>
        <v>0</v>
      </c>
      <c r="V37" s="276"/>
      <c r="W37" s="275">
        <f>(W35+W36)*H37/(H35+H36)</f>
        <v>0</v>
      </c>
      <c r="X37" s="276"/>
      <c r="Y37" s="275">
        <f>(Y35+Y36)*J37/(J35+J36)</f>
        <v>0</v>
      </c>
      <c r="Z37" s="276"/>
      <c r="AA37" s="275">
        <f>(AA35+AA36)*L37/(L35+L36)</f>
        <v>0</v>
      </c>
      <c r="AB37" s="276"/>
      <c r="AC37" s="275">
        <f>(AC35+AC36)*N37/(N35+N36)</f>
        <v>0</v>
      </c>
      <c r="AD37" s="276"/>
      <c r="AF37" s="282" t="s">
        <v>212</v>
      </c>
      <c r="AG37" s="283"/>
      <c r="AH37" s="275">
        <f>(AH35+AH36)*S37/(S35+S36)</f>
        <v>0</v>
      </c>
      <c r="AI37" s="276"/>
      <c r="AJ37" s="275">
        <f>(AJ35+AJ36)*U37/(U35+U36)</f>
        <v>0</v>
      </c>
      <c r="AK37" s="276"/>
      <c r="AL37" s="275">
        <f>(AL35+AL36)*W37/(W35+W36)</f>
        <v>0</v>
      </c>
      <c r="AM37" s="276"/>
      <c r="AN37" s="275">
        <f>(AN35+AN36)*Y37/(Y35+Y36)</f>
        <v>0</v>
      </c>
      <c r="AO37" s="276"/>
      <c r="AP37" s="275">
        <f>(AP35+AP36)*AA37/(AA35+AA36)</f>
        <v>0</v>
      </c>
      <c r="AQ37" s="276"/>
      <c r="AR37" s="275">
        <f>(AR35+AR36)*AC37/(AC35+AC36)</f>
        <v>0</v>
      </c>
      <c r="AS37" s="276"/>
    </row>
    <row r="38" spans="2:60" ht="12.75" customHeight="1">
      <c r="B38" s="144" t="s">
        <v>181</v>
      </c>
      <c r="C38" s="145">
        <f>$J$10</f>
        <v>0.04</v>
      </c>
      <c r="D38" s="277">
        <f>D37*$J$10</f>
        <v>0</v>
      </c>
      <c r="E38" s="277"/>
      <c r="F38" s="277">
        <f>F37*$J$10</f>
        <v>0</v>
      </c>
      <c r="G38" s="277"/>
      <c r="H38" s="277">
        <f>H37*$J$10</f>
        <v>0</v>
      </c>
      <c r="I38" s="277"/>
      <c r="J38" s="277">
        <f>J37*$J$10</f>
        <v>0</v>
      </c>
      <c r="K38" s="277"/>
      <c r="L38" s="277">
        <f>L37*$J$10</f>
        <v>0</v>
      </c>
      <c r="M38" s="277"/>
      <c r="N38" s="277">
        <f>N37*$J$10</f>
        <v>0</v>
      </c>
      <c r="O38" s="277"/>
      <c r="Q38" s="144" t="s">
        <v>181</v>
      </c>
      <c r="R38" s="145">
        <f>$J$10</f>
        <v>0.04</v>
      </c>
      <c r="S38" s="277">
        <f>S37*$J$10</f>
        <v>0</v>
      </c>
      <c r="T38" s="277"/>
      <c r="U38" s="277">
        <f>U37*$J$10</f>
        <v>0</v>
      </c>
      <c r="V38" s="277"/>
      <c r="W38" s="277">
        <f>W37*$J$10</f>
        <v>0</v>
      </c>
      <c r="X38" s="277"/>
      <c r="Y38" s="277">
        <f>Y37*$J$10</f>
        <v>0</v>
      </c>
      <c r="Z38" s="277"/>
      <c r="AA38" s="277">
        <f>AA37*$J$10</f>
        <v>0</v>
      </c>
      <c r="AB38" s="277"/>
      <c r="AC38" s="277">
        <f>AC37*$J$10</f>
        <v>0</v>
      </c>
      <c r="AD38" s="277"/>
      <c r="AF38" s="144" t="s">
        <v>181</v>
      </c>
      <c r="AG38" s="145">
        <f>$J$10</f>
        <v>0.04</v>
      </c>
      <c r="AH38" s="277">
        <f>AH37*$J$10</f>
        <v>0</v>
      </c>
      <c r="AI38" s="277"/>
      <c r="AJ38" s="277">
        <f>AJ37*$J$10</f>
        <v>0</v>
      </c>
      <c r="AK38" s="277"/>
      <c r="AL38" s="277">
        <f>AL37*$J$10</f>
        <v>0</v>
      </c>
      <c r="AM38" s="277"/>
      <c r="AN38" s="277">
        <f>AN37*$J$10</f>
        <v>0</v>
      </c>
      <c r="AO38" s="277"/>
      <c r="AP38" s="277">
        <f>AP37*$J$10</f>
        <v>0</v>
      </c>
      <c r="AQ38" s="277"/>
      <c r="AR38" s="277">
        <f>AR37*$J$10</f>
        <v>0</v>
      </c>
      <c r="AS38" s="277"/>
      <c r="AU38" s="294" t="s">
        <v>348</v>
      </c>
      <c r="AV38" s="294"/>
      <c r="AW38" s="294"/>
      <c r="AX38" s="294"/>
      <c r="AY38" s="294"/>
      <c r="AZ38" s="294"/>
      <c r="BA38" s="294"/>
      <c r="BB38" s="294"/>
      <c r="BC38" s="294"/>
      <c r="BD38" s="294"/>
      <c r="BE38" s="294"/>
      <c r="BF38" s="294"/>
      <c r="BG38" s="294"/>
      <c r="BH38" s="294"/>
    </row>
    <row r="39" spans="2:60">
      <c r="B39" s="280" t="s">
        <v>212</v>
      </c>
      <c r="C39" s="281"/>
      <c r="D39" s="278">
        <v>0</v>
      </c>
      <c r="E39" s="279"/>
      <c r="F39" s="278">
        <v>0</v>
      </c>
      <c r="G39" s="279"/>
      <c r="H39" s="278">
        <v>0</v>
      </c>
      <c r="I39" s="279"/>
      <c r="J39" s="278">
        <v>0</v>
      </c>
      <c r="K39" s="279"/>
      <c r="L39" s="278">
        <v>0</v>
      </c>
      <c r="M39" s="279"/>
      <c r="N39" s="278">
        <v>0</v>
      </c>
      <c r="O39" s="279"/>
      <c r="Q39" s="280" t="s">
        <v>212</v>
      </c>
      <c r="R39" s="281"/>
      <c r="S39" s="275">
        <f>(S35+S36)*D39/(D35+D36)</f>
        <v>0</v>
      </c>
      <c r="T39" s="276"/>
      <c r="U39" s="275">
        <f>(U35+U36)*F39/(F35+F36)</f>
        <v>0</v>
      </c>
      <c r="V39" s="276"/>
      <c r="W39" s="275">
        <f>(W35+W36)*H39/(H35+H36)</f>
        <v>0</v>
      </c>
      <c r="X39" s="276"/>
      <c r="Y39" s="275">
        <f>(Y35+Y36)*J39/(J35+J36)</f>
        <v>0</v>
      </c>
      <c r="Z39" s="276"/>
      <c r="AA39" s="275">
        <f>(AA35+AA36)*L39/(L35+L36)</f>
        <v>0</v>
      </c>
      <c r="AB39" s="276"/>
      <c r="AC39" s="275">
        <f>(AC35+AC36)*N39/(N35+N36)</f>
        <v>0</v>
      </c>
      <c r="AD39" s="276"/>
      <c r="AF39" s="280" t="s">
        <v>212</v>
      </c>
      <c r="AG39" s="281"/>
      <c r="AH39" s="275">
        <f>(AH35+AH36)*S39/(S35+S36)</f>
        <v>0</v>
      </c>
      <c r="AI39" s="276"/>
      <c r="AJ39" s="275">
        <f>(AJ35+AJ36)*U39/(U35+U36)</f>
        <v>0</v>
      </c>
      <c r="AK39" s="276"/>
      <c r="AL39" s="275">
        <f>(AL35+AL36)*W39/(W35+W36)</f>
        <v>0</v>
      </c>
      <c r="AM39" s="276"/>
      <c r="AN39" s="275">
        <f>(AN35+AN36)*Y39/(Y35+Y36)</f>
        <v>0</v>
      </c>
      <c r="AO39" s="276"/>
      <c r="AP39" s="275">
        <f>(AP35+AP36)*AA39/(AA35+AA36)</f>
        <v>0</v>
      </c>
      <c r="AQ39" s="276"/>
      <c r="AR39" s="275">
        <f>(AR35+AR36)*AC39/(AC35+AC36)</f>
        <v>0</v>
      </c>
      <c r="AS39" s="276"/>
      <c r="AU39" s="294"/>
      <c r="AV39" s="294"/>
      <c r="AW39" s="294"/>
      <c r="AX39" s="294"/>
      <c r="AY39" s="294"/>
      <c r="AZ39" s="294"/>
      <c r="BA39" s="294"/>
      <c r="BB39" s="294"/>
      <c r="BC39" s="294"/>
      <c r="BD39" s="294"/>
      <c r="BE39" s="294"/>
      <c r="BF39" s="294"/>
      <c r="BG39" s="294"/>
      <c r="BH39" s="294"/>
    </row>
    <row r="40" spans="2:60">
      <c r="B40" s="146" t="s">
        <v>181</v>
      </c>
      <c r="C40" s="147">
        <f>$L$10</f>
        <v>0.1</v>
      </c>
      <c r="D40" s="277">
        <f>D39*$L$10</f>
        <v>0</v>
      </c>
      <c r="E40" s="277"/>
      <c r="F40" s="277">
        <f>F39*$L$10</f>
        <v>0</v>
      </c>
      <c r="G40" s="277"/>
      <c r="H40" s="277">
        <f>H39*$L$10</f>
        <v>0</v>
      </c>
      <c r="I40" s="277"/>
      <c r="J40" s="277">
        <f>J39*$L$10</f>
        <v>0</v>
      </c>
      <c r="K40" s="277"/>
      <c r="L40" s="277">
        <f>L39*$L$10</f>
        <v>0</v>
      </c>
      <c r="M40" s="277"/>
      <c r="N40" s="277">
        <f>N39*$L$10</f>
        <v>0</v>
      </c>
      <c r="O40" s="277"/>
      <c r="Q40" s="146" t="s">
        <v>181</v>
      </c>
      <c r="R40" s="147">
        <f>$L$10</f>
        <v>0.1</v>
      </c>
      <c r="S40" s="277">
        <f>S39*$L$10</f>
        <v>0</v>
      </c>
      <c r="T40" s="277"/>
      <c r="U40" s="277">
        <f>U39*$L$10</f>
        <v>0</v>
      </c>
      <c r="V40" s="277"/>
      <c r="W40" s="277">
        <f>W39*$L$10</f>
        <v>0</v>
      </c>
      <c r="X40" s="277"/>
      <c r="Y40" s="277">
        <f>Y39*$L$10</f>
        <v>0</v>
      </c>
      <c r="Z40" s="277"/>
      <c r="AA40" s="277">
        <f>AA39*$L$10</f>
        <v>0</v>
      </c>
      <c r="AB40" s="277"/>
      <c r="AC40" s="277">
        <f>AC39*$L$10</f>
        <v>0</v>
      </c>
      <c r="AD40" s="277"/>
      <c r="AF40" s="146" t="s">
        <v>181</v>
      </c>
      <c r="AG40" s="147">
        <f>$L$10</f>
        <v>0.1</v>
      </c>
      <c r="AH40" s="277">
        <f>AH39*$L$10</f>
        <v>0</v>
      </c>
      <c r="AI40" s="277"/>
      <c r="AJ40" s="277">
        <f>AJ39*$L$10</f>
        <v>0</v>
      </c>
      <c r="AK40" s="277"/>
      <c r="AL40" s="277">
        <f>AL39*$L$10</f>
        <v>0</v>
      </c>
      <c r="AM40" s="277"/>
      <c r="AN40" s="277">
        <f>AN39*$L$10</f>
        <v>0</v>
      </c>
      <c r="AO40" s="277"/>
      <c r="AP40" s="277">
        <f>AP39*$L$10</f>
        <v>0</v>
      </c>
      <c r="AQ40" s="277"/>
      <c r="AR40" s="277">
        <f>AR39*$L$10</f>
        <v>0</v>
      </c>
      <c r="AS40" s="277"/>
    </row>
    <row r="41" spans="2:60">
      <c r="B41" s="289" t="s">
        <v>212</v>
      </c>
      <c r="C41" s="290"/>
      <c r="D41" s="278">
        <v>5112.5</v>
      </c>
      <c r="E41" s="287"/>
      <c r="F41" s="278">
        <v>5112.5</v>
      </c>
      <c r="G41" s="287"/>
      <c r="H41" s="278">
        <v>5162.5</v>
      </c>
      <c r="I41" s="287"/>
      <c r="J41" s="278">
        <v>5162.5</v>
      </c>
      <c r="K41" s="287"/>
      <c r="L41" s="278">
        <v>5212.5</v>
      </c>
      <c r="M41" s="287"/>
      <c r="N41" s="278">
        <v>5212.5</v>
      </c>
      <c r="O41" s="287"/>
      <c r="Q41" s="289" t="s">
        <v>212</v>
      </c>
      <c r="R41" s="290"/>
      <c r="S41" s="275">
        <f>(S35+S36)*D41/(D35+D36)</f>
        <v>6135</v>
      </c>
      <c r="T41" s="276"/>
      <c r="U41" s="275">
        <f>(U35+U36)*F41/(F35+F36)</f>
        <v>6135</v>
      </c>
      <c r="V41" s="276"/>
      <c r="W41" s="275">
        <f>(W35+W36)*H41/(H35+H36)</f>
        <v>6195</v>
      </c>
      <c r="X41" s="276"/>
      <c r="Y41" s="275">
        <f>(Y35+Y36)*J41/(J35+J36)</f>
        <v>6195</v>
      </c>
      <c r="Z41" s="276"/>
      <c r="AA41" s="275">
        <f>(AA35+AA36)*L41/(L35+L36)</f>
        <v>6255</v>
      </c>
      <c r="AB41" s="276"/>
      <c r="AC41" s="275">
        <f>(AC35+AC36)*N41/(N35+N36)</f>
        <v>6255</v>
      </c>
      <c r="AD41" s="276"/>
      <c r="AF41" s="289" t="s">
        <v>212</v>
      </c>
      <c r="AG41" s="290"/>
      <c r="AH41" s="275">
        <f>(AH35+AH36)*S41/(S35+S36)</f>
        <v>7362</v>
      </c>
      <c r="AI41" s="276"/>
      <c r="AJ41" s="275">
        <f>(AJ35+AJ36)*U41/(U35+U36)</f>
        <v>7362</v>
      </c>
      <c r="AK41" s="276"/>
      <c r="AL41" s="275">
        <f>(AL35+AL36)*W41/(W35+W36)</f>
        <v>7434</v>
      </c>
      <c r="AM41" s="276"/>
      <c r="AN41" s="275">
        <f>(AN35+AN36)*Y41/(Y35+Y36)</f>
        <v>7434</v>
      </c>
      <c r="AO41" s="276"/>
      <c r="AP41" s="275">
        <f>(AP35+AP36)*AA41/(AA35+AA36)</f>
        <v>7506</v>
      </c>
      <c r="AQ41" s="276"/>
      <c r="AR41" s="275">
        <f>(AR35+AR36)*AC41/(AC35+AC36)</f>
        <v>7506</v>
      </c>
      <c r="AS41" s="276"/>
    </row>
    <row r="42" spans="2:60">
      <c r="B42" s="148" t="s">
        <v>181</v>
      </c>
      <c r="C42" s="149">
        <f>$N$10</f>
        <v>0.21</v>
      </c>
      <c r="D42" s="277">
        <f>D41*$N$10</f>
        <v>1073.625</v>
      </c>
      <c r="E42" s="277"/>
      <c r="F42" s="277">
        <f>F41*$N$10</f>
        <v>1073.625</v>
      </c>
      <c r="G42" s="277"/>
      <c r="H42" s="277">
        <f>H41*$N$10</f>
        <v>1084.125</v>
      </c>
      <c r="I42" s="277"/>
      <c r="J42" s="277">
        <f>J41*$N$10</f>
        <v>1084.125</v>
      </c>
      <c r="K42" s="277"/>
      <c r="L42" s="277">
        <f>L41*$N$10</f>
        <v>1094.625</v>
      </c>
      <c r="M42" s="277"/>
      <c r="N42" s="277">
        <f>N41*$N$10</f>
        <v>1094.625</v>
      </c>
      <c r="O42" s="277"/>
      <c r="Q42" s="148" t="s">
        <v>181</v>
      </c>
      <c r="R42" s="149">
        <f>$N$10</f>
        <v>0.21</v>
      </c>
      <c r="S42" s="277">
        <f>S41*$N$10</f>
        <v>1288.3499999999999</v>
      </c>
      <c r="T42" s="277"/>
      <c r="U42" s="277">
        <f>U41*$N$10</f>
        <v>1288.3499999999999</v>
      </c>
      <c r="V42" s="277"/>
      <c r="W42" s="277">
        <f>W41*$N$10</f>
        <v>1300.95</v>
      </c>
      <c r="X42" s="277"/>
      <c r="Y42" s="277">
        <f>Y41*$N$10</f>
        <v>1300.95</v>
      </c>
      <c r="Z42" s="277"/>
      <c r="AA42" s="277">
        <f>AA41*$N$10</f>
        <v>1313.55</v>
      </c>
      <c r="AB42" s="277"/>
      <c r="AC42" s="277">
        <f>AC41*$N$10</f>
        <v>1313.55</v>
      </c>
      <c r="AD42" s="277"/>
      <c r="AF42" s="148" t="s">
        <v>181</v>
      </c>
      <c r="AG42" s="149">
        <f>$N$10</f>
        <v>0.21</v>
      </c>
      <c r="AH42" s="277">
        <f>AH41*$N$10</f>
        <v>1546.02</v>
      </c>
      <c r="AI42" s="277"/>
      <c r="AJ42" s="277">
        <f>AJ41*$N$10</f>
        <v>1546.02</v>
      </c>
      <c r="AK42" s="277"/>
      <c r="AL42" s="277">
        <f>AL41*$N$10</f>
        <v>1561.1399999999999</v>
      </c>
      <c r="AM42" s="277"/>
      <c r="AN42" s="277">
        <f>AN41*$N$10</f>
        <v>1561.1399999999999</v>
      </c>
      <c r="AO42" s="277"/>
      <c r="AP42" s="277">
        <f>AP41*$N$10</f>
        <v>1576.26</v>
      </c>
      <c r="AQ42" s="277"/>
      <c r="AR42" s="277">
        <f>AR41*$N$10</f>
        <v>1576.26</v>
      </c>
      <c r="AS42" s="277"/>
    </row>
    <row r="43" spans="2:60">
      <c r="B43" s="284" t="s">
        <v>54</v>
      </c>
      <c r="C43" s="284"/>
      <c r="D43" s="277" t="str">
        <f>IF(D37+D39+D41=(D35+D36),D38+D40+D42,"Comprobar")</f>
        <v>Comprobar</v>
      </c>
      <c r="E43" s="277"/>
      <c r="F43" s="277" t="str">
        <f>IF(F37+F39+F41=F35+F36,F38+F40+F42,"Comprobar")</f>
        <v>Comprobar</v>
      </c>
      <c r="G43" s="277"/>
      <c r="H43" s="277">
        <f>IF(H37+H39+H41=H35+H36,H38+H40+H42,"Comprobar")</f>
        <v>1084.125</v>
      </c>
      <c r="I43" s="277"/>
      <c r="J43" s="277" t="str">
        <f>IF(J37+J39+J41=J35+J36,J38+J40+J42,"Comprobar")</f>
        <v>Comprobar</v>
      </c>
      <c r="K43" s="277"/>
      <c r="L43" s="277" t="str">
        <f>IF(L37+L39+L41=L35+L36,L38+L40+L42,"Comprobar")</f>
        <v>Comprobar</v>
      </c>
      <c r="M43" s="277"/>
      <c r="N43" s="277" t="str">
        <f>IF(N37+N39+N41=N35+N36,N38+N40+N42,"Comprobar")</f>
        <v>Comprobar</v>
      </c>
      <c r="O43" s="277"/>
      <c r="Q43" s="284" t="s">
        <v>54</v>
      </c>
      <c r="R43" s="284"/>
      <c r="S43" s="277" t="str">
        <f>IF(S37+S39+S41=S35+S36,S38+S40+S42,"Comprobar")</f>
        <v>Comprobar</v>
      </c>
      <c r="T43" s="277"/>
      <c r="U43" s="277" t="str">
        <f>IF(U37+U39+U41=U35+U36,U38+U40+U42,"Comprobar")</f>
        <v>Comprobar</v>
      </c>
      <c r="V43" s="277"/>
      <c r="W43" s="277">
        <f>IF(W37+W39+W41=W35+W36,W38+W40+W42,"Comprobar")</f>
        <v>1300.95</v>
      </c>
      <c r="X43" s="277"/>
      <c r="Y43" s="277" t="str">
        <f>IF(Y37+Y39+Y41=Y35+Y36,Y38+Y40+Y42,"Comprobar")</f>
        <v>Comprobar</v>
      </c>
      <c r="Z43" s="277"/>
      <c r="AA43" s="277" t="str">
        <f>IF(AA37+AA39+AA41=AA35+AA36,AA38+AA40+AA42,"Comprobar")</f>
        <v>Comprobar</v>
      </c>
      <c r="AB43" s="277"/>
      <c r="AC43" s="277" t="str">
        <f>IF(AC37+AC39+AC41=AC35+AC36,AC38+AC40+AC42,"Comprobar")</f>
        <v>Comprobar</v>
      </c>
      <c r="AD43" s="277"/>
      <c r="AF43" s="284" t="s">
        <v>54</v>
      </c>
      <c r="AG43" s="284"/>
      <c r="AH43" s="277" t="str">
        <f>IF(AH37+AH39+AH41=AH35+AH36,AH38+AH40+AH42,"Comprobar")</f>
        <v>Comprobar</v>
      </c>
      <c r="AI43" s="277"/>
      <c r="AJ43" s="277" t="str">
        <f>IF(AJ37+AJ39+AJ41=AJ35+AJ36,AJ38+AJ40+AJ42,"Comprobar")</f>
        <v>Comprobar</v>
      </c>
      <c r="AK43" s="277"/>
      <c r="AL43" s="277">
        <f>IF(AL37+AL39+AL41=AL35+AL36,AL38+AL40+AL42,"Comprobar")</f>
        <v>1561.1399999999999</v>
      </c>
      <c r="AM43" s="277"/>
      <c r="AN43" s="277" t="str">
        <f>IF(AN37+AN39+AN41=AN35+AN36,AN38+AN40+AN42,"Comprobar")</f>
        <v>Comprobar</v>
      </c>
      <c r="AO43" s="277"/>
      <c r="AP43" s="277" t="str">
        <f>IF(AP37+AP39+AP41=AP35+AP36,AP38+AP40+AP42,"Comprobar")</f>
        <v>Comprobar</v>
      </c>
      <c r="AQ43" s="277"/>
      <c r="AR43" s="277" t="str">
        <f>IF(AR37+AR39+AR41=AR35+AR36,AR38+AR40+AR42,"Comprobar")</f>
        <v>Comprobar</v>
      </c>
      <c r="AS43" s="277"/>
    </row>
    <row r="45" spans="2:60">
      <c r="B45" s="284" t="s">
        <v>49</v>
      </c>
      <c r="C45" s="284"/>
      <c r="D45" s="245">
        <v>7</v>
      </c>
      <c r="E45" s="245"/>
      <c r="F45" s="245">
        <v>8</v>
      </c>
      <c r="G45" s="245"/>
      <c r="H45" s="245">
        <v>9</v>
      </c>
      <c r="I45" s="245"/>
      <c r="J45" s="245">
        <v>10</v>
      </c>
      <c r="K45" s="245"/>
      <c r="L45" s="245">
        <v>11</v>
      </c>
      <c r="M45" s="245"/>
      <c r="N45" s="245">
        <v>12</v>
      </c>
      <c r="O45" s="245"/>
      <c r="Q45" s="284" t="s">
        <v>49</v>
      </c>
      <c r="R45" s="284"/>
      <c r="S45" s="245">
        <v>7</v>
      </c>
      <c r="T45" s="245"/>
      <c r="U45" s="245">
        <v>8</v>
      </c>
      <c r="V45" s="245"/>
      <c r="W45" s="245">
        <v>9</v>
      </c>
      <c r="X45" s="245"/>
      <c r="Y45" s="245">
        <v>10</v>
      </c>
      <c r="Z45" s="245"/>
      <c r="AA45" s="245">
        <v>11</v>
      </c>
      <c r="AB45" s="245"/>
      <c r="AC45" s="245">
        <v>12</v>
      </c>
      <c r="AD45" s="245"/>
      <c r="AF45" s="284" t="s">
        <v>49</v>
      </c>
      <c r="AG45" s="284"/>
      <c r="AH45" s="245">
        <v>7</v>
      </c>
      <c r="AI45" s="245"/>
      <c r="AJ45" s="245">
        <v>8</v>
      </c>
      <c r="AK45" s="245"/>
      <c r="AL45" s="245">
        <v>9</v>
      </c>
      <c r="AM45" s="245"/>
      <c r="AN45" s="245">
        <v>10</v>
      </c>
      <c r="AO45" s="245"/>
      <c r="AP45" s="245">
        <v>11</v>
      </c>
      <c r="AQ45" s="245"/>
      <c r="AR45" s="245">
        <v>12</v>
      </c>
      <c r="AS45" s="245"/>
    </row>
    <row r="46" spans="2:60">
      <c r="B46" s="284" t="s">
        <v>117</v>
      </c>
      <c r="C46" s="284"/>
      <c r="D46" s="275">
        <f>'2. P. MARKETING'!BO39</f>
        <v>2000</v>
      </c>
      <c r="E46" s="276"/>
      <c r="F46" s="275">
        <f>'2. P. MARKETING'!BQ39</f>
        <v>500</v>
      </c>
      <c r="G46" s="276"/>
      <c r="H46" s="275">
        <f>'2. P. MARKETING'!BS39</f>
        <v>2000</v>
      </c>
      <c r="I46" s="276"/>
      <c r="J46" s="275">
        <f>'2. P. MARKETING'!BU39</f>
        <v>1500</v>
      </c>
      <c r="K46" s="276"/>
      <c r="L46" s="275">
        <f>'2. P. MARKETING'!BW39</f>
        <v>4000</v>
      </c>
      <c r="M46" s="276"/>
      <c r="N46" s="275">
        <f>'2. P. MARKETING'!BY39</f>
        <v>1500</v>
      </c>
      <c r="O46" s="276"/>
      <c r="Q46" s="284" t="s">
        <v>117</v>
      </c>
      <c r="R46" s="284"/>
      <c r="S46" s="275">
        <f>D46*(1+ '6. PEF1. PLAN COMERCIAL'!$F$29)</f>
        <v>2400</v>
      </c>
      <c r="T46" s="276"/>
      <c r="U46" s="275">
        <f>F46*(1+ '6. PEF1. PLAN COMERCIAL'!$F$29)</f>
        <v>600</v>
      </c>
      <c r="V46" s="276"/>
      <c r="W46" s="275">
        <f>H46*(1+ '6. PEF1. PLAN COMERCIAL'!$F$29)</f>
        <v>2400</v>
      </c>
      <c r="X46" s="276"/>
      <c r="Y46" s="275">
        <f>J46*(1+ '6. PEF1. PLAN COMERCIAL'!$F$29)</f>
        <v>1800</v>
      </c>
      <c r="Z46" s="276"/>
      <c r="AA46" s="275">
        <f>L46*(1+ '6. PEF1. PLAN COMERCIAL'!$F$29)</f>
        <v>4800</v>
      </c>
      <c r="AB46" s="276"/>
      <c r="AC46" s="275">
        <f>N46*(1+ '6. PEF1. PLAN COMERCIAL'!$F$29)</f>
        <v>1800</v>
      </c>
      <c r="AD46" s="276"/>
      <c r="AF46" s="284" t="s">
        <v>117</v>
      </c>
      <c r="AG46" s="284"/>
      <c r="AH46" s="275">
        <f>S46*(1+ '6. PEF1. PLAN COMERCIAL'!$F$29)</f>
        <v>2880</v>
      </c>
      <c r="AI46" s="276"/>
      <c r="AJ46" s="275">
        <f>U46*(1+ '6. PEF1. PLAN COMERCIAL'!$F$29)</f>
        <v>720</v>
      </c>
      <c r="AK46" s="276"/>
      <c r="AL46" s="275">
        <f>W46*(1+ '6. PEF1. PLAN COMERCIAL'!$F$29)</f>
        <v>2880</v>
      </c>
      <c r="AM46" s="276"/>
      <c r="AN46" s="275">
        <f>Y46*(1+ '6. PEF1. PLAN COMERCIAL'!$F$29)</f>
        <v>2160</v>
      </c>
      <c r="AO46" s="276"/>
      <c r="AP46" s="275">
        <f>AA46*(1+ '6. PEF1. PLAN COMERCIAL'!$F$29)</f>
        <v>5760</v>
      </c>
      <c r="AQ46" s="276"/>
      <c r="AR46" s="275">
        <f>AC46*(1+ '6. PEF1. PLAN COMERCIAL'!$F$29)</f>
        <v>2160</v>
      </c>
      <c r="AS46" s="276"/>
    </row>
    <row r="47" spans="2:60">
      <c r="B47" s="284" t="s">
        <v>196</v>
      </c>
      <c r="C47" s="285"/>
      <c r="D47" s="275">
        <f>ROUND($AW$23/12,2)</f>
        <v>1162.5</v>
      </c>
      <c r="E47" s="276"/>
      <c r="F47" s="275">
        <f>ROUND($AW$23/12,2)</f>
        <v>1162.5</v>
      </c>
      <c r="G47" s="276"/>
      <c r="H47" s="275">
        <f>ROUND($AW$23/12,2)</f>
        <v>1162.5</v>
      </c>
      <c r="I47" s="276"/>
      <c r="J47" s="275">
        <f>ROUND($AW$23/12,2)</f>
        <v>1162.5</v>
      </c>
      <c r="K47" s="276"/>
      <c r="L47" s="275">
        <f>ROUND($AW$23/12,2)</f>
        <v>1162.5</v>
      </c>
      <c r="M47" s="276"/>
      <c r="N47" s="275">
        <f>ROUND($AW$23/12,2)</f>
        <v>1162.5</v>
      </c>
      <c r="O47" s="276"/>
      <c r="Q47" s="284" t="s">
        <v>196</v>
      </c>
      <c r="R47" s="285"/>
      <c r="S47" s="275">
        <f>D47*(1+'6. PEF5. VENTAS Y COSTES'!$F$43)</f>
        <v>1395</v>
      </c>
      <c r="T47" s="276"/>
      <c r="U47" s="275">
        <f>F47*(1+'6. PEF5. VENTAS Y COSTES'!$F$43)</f>
        <v>1395</v>
      </c>
      <c r="V47" s="276"/>
      <c r="W47" s="275">
        <f>H47*(1+'6. PEF5. VENTAS Y COSTES'!$F$43)</f>
        <v>1395</v>
      </c>
      <c r="X47" s="276"/>
      <c r="Y47" s="275">
        <f>J47*(1+'6. PEF5. VENTAS Y COSTES'!$F$43)</f>
        <v>1395</v>
      </c>
      <c r="Z47" s="276"/>
      <c r="AA47" s="275">
        <f>L47*(1+'6. PEF5. VENTAS Y COSTES'!$F$43)</f>
        <v>1395</v>
      </c>
      <c r="AB47" s="276"/>
      <c r="AC47" s="275">
        <f>N47*(1+'6. PEF5. VENTAS Y COSTES'!$F$43)</f>
        <v>1395</v>
      </c>
      <c r="AD47" s="276"/>
      <c r="AF47" s="284" t="s">
        <v>196</v>
      </c>
      <c r="AG47" s="285"/>
      <c r="AH47" s="275">
        <f>S47*(1+'6. PEF5. VENTAS Y COSTES'!$F$43)</f>
        <v>1674</v>
      </c>
      <c r="AI47" s="276"/>
      <c r="AJ47" s="275">
        <f>U47*(1+'6. PEF5. VENTAS Y COSTES'!$F$43)</f>
        <v>1674</v>
      </c>
      <c r="AK47" s="276"/>
      <c r="AL47" s="275">
        <f>W47*(1+'6. PEF5. VENTAS Y COSTES'!$F$43)</f>
        <v>1674</v>
      </c>
      <c r="AM47" s="276"/>
      <c r="AN47" s="275">
        <f>Y47*(1+'6. PEF5. VENTAS Y COSTES'!$F$43)</f>
        <v>1674</v>
      </c>
      <c r="AO47" s="276"/>
      <c r="AP47" s="275">
        <f>AA47*(1+'6. PEF5. VENTAS Y COSTES'!$F$43)</f>
        <v>1674</v>
      </c>
      <c r="AQ47" s="276"/>
      <c r="AR47" s="275">
        <f>AC47*(1+'6. PEF5. VENTAS Y COSTES'!$F$43)</f>
        <v>1674</v>
      </c>
      <c r="AS47" s="276"/>
    </row>
    <row r="48" spans="2:60">
      <c r="B48" s="282" t="s">
        <v>212</v>
      </c>
      <c r="C48" s="283"/>
      <c r="D48" s="278"/>
      <c r="E48" s="279"/>
      <c r="F48" s="278"/>
      <c r="G48" s="279"/>
      <c r="H48" s="278"/>
      <c r="I48" s="279"/>
      <c r="J48" s="278"/>
      <c r="K48" s="279"/>
      <c r="L48" s="278"/>
      <c r="M48" s="279"/>
      <c r="N48" s="278"/>
      <c r="O48" s="279"/>
      <c r="Q48" s="282" t="s">
        <v>212</v>
      </c>
      <c r="R48" s="283"/>
      <c r="S48" s="275">
        <f>(S46+S47)*D48/(D46+D47)</f>
        <v>0</v>
      </c>
      <c r="T48" s="276"/>
      <c r="U48" s="275">
        <f>(U46+U47)*F48/(F46+F47)</f>
        <v>0</v>
      </c>
      <c r="V48" s="276"/>
      <c r="W48" s="275">
        <f>(W46+W47)*H48/(H46+H47)</f>
        <v>0</v>
      </c>
      <c r="X48" s="276"/>
      <c r="Y48" s="275">
        <f>(Y46+Y47)*J48/(J46+J47)</f>
        <v>0</v>
      </c>
      <c r="Z48" s="276"/>
      <c r="AA48" s="275">
        <f>(AA46+AA47)*L48/(L46+L47)</f>
        <v>0</v>
      </c>
      <c r="AB48" s="276"/>
      <c r="AC48" s="275">
        <f>(AC46+AC47)*N48/(N46+N47)</f>
        <v>0</v>
      </c>
      <c r="AD48" s="276"/>
      <c r="AF48" s="282" t="s">
        <v>212</v>
      </c>
      <c r="AG48" s="283"/>
      <c r="AH48" s="275">
        <f>(AH46+AH47)*S48/(S46+S47)</f>
        <v>0</v>
      </c>
      <c r="AI48" s="276"/>
      <c r="AJ48" s="275">
        <f>(AJ46+AJ47)*U48/(U46+U47)</f>
        <v>0</v>
      </c>
      <c r="AK48" s="276"/>
      <c r="AL48" s="275">
        <f>(AL46+AL47)*W48/(W46+W47)</f>
        <v>0</v>
      </c>
      <c r="AM48" s="276"/>
      <c r="AN48" s="275">
        <f>(AN46+AN47)*Y48/(Y46+Y47)</f>
        <v>0</v>
      </c>
      <c r="AO48" s="276"/>
      <c r="AP48" s="275">
        <f>(AP46+AP47)*AA48/(AA46+AA47)</f>
        <v>0</v>
      </c>
      <c r="AQ48" s="276"/>
      <c r="AR48" s="275">
        <f>(AR46+AR47)*AC48/(AC46+AC47)</f>
        <v>0</v>
      </c>
      <c r="AS48" s="276"/>
    </row>
    <row r="49" spans="1:60">
      <c r="B49" s="144" t="s">
        <v>181</v>
      </c>
      <c r="C49" s="145">
        <f>$J$10</f>
        <v>0.04</v>
      </c>
      <c r="D49" s="277">
        <f>D48*$J$10</f>
        <v>0</v>
      </c>
      <c r="E49" s="277"/>
      <c r="F49" s="277">
        <f>F48*$J$10</f>
        <v>0</v>
      </c>
      <c r="G49" s="277"/>
      <c r="H49" s="277">
        <f>H48*$J$10</f>
        <v>0</v>
      </c>
      <c r="I49" s="277"/>
      <c r="J49" s="277">
        <f>J48*$J$10</f>
        <v>0</v>
      </c>
      <c r="K49" s="277"/>
      <c r="L49" s="277">
        <f>L48*$J$10</f>
        <v>0</v>
      </c>
      <c r="M49" s="277"/>
      <c r="N49" s="277">
        <f>N48*$J$10</f>
        <v>0</v>
      </c>
      <c r="O49" s="277"/>
      <c r="Q49" s="144" t="s">
        <v>181</v>
      </c>
      <c r="R49" s="145">
        <f>$J$10</f>
        <v>0.04</v>
      </c>
      <c r="S49" s="277">
        <f>S48*$J$10</f>
        <v>0</v>
      </c>
      <c r="T49" s="277"/>
      <c r="U49" s="277">
        <f>U48*$J$10</f>
        <v>0</v>
      </c>
      <c r="V49" s="277"/>
      <c r="W49" s="277">
        <f>W48*$J$10</f>
        <v>0</v>
      </c>
      <c r="X49" s="277"/>
      <c r="Y49" s="277">
        <f>Y48*$J$10</f>
        <v>0</v>
      </c>
      <c r="Z49" s="277"/>
      <c r="AA49" s="277">
        <f>AA48*$J$10</f>
        <v>0</v>
      </c>
      <c r="AB49" s="277"/>
      <c r="AC49" s="277">
        <f>AC48*$J$10</f>
        <v>0</v>
      </c>
      <c r="AD49" s="277"/>
      <c r="AF49" s="144" t="s">
        <v>181</v>
      </c>
      <c r="AG49" s="145">
        <f>$J$10</f>
        <v>0.04</v>
      </c>
      <c r="AH49" s="277">
        <f>AH48*$J$10</f>
        <v>0</v>
      </c>
      <c r="AI49" s="277"/>
      <c r="AJ49" s="277">
        <f>AJ48*$J$10</f>
        <v>0</v>
      </c>
      <c r="AK49" s="277"/>
      <c r="AL49" s="277">
        <f>AL48*$J$10</f>
        <v>0</v>
      </c>
      <c r="AM49" s="277"/>
      <c r="AN49" s="277">
        <f>AN48*$J$10</f>
        <v>0</v>
      </c>
      <c r="AO49" s="277"/>
      <c r="AP49" s="277">
        <f>AP48*$J$10</f>
        <v>0</v>
      </c>
      <c r="AQ49" s="277"/>
      <c r="AR49" s="277">
        <f>AR48*$J$10</f>
        <v>0</v>
      </c>
      <c r="AS49" s="277"/>
    </row>
    <row r="50" spans="1:60">
      <c r="B50" s="280" t="s">
        <v>212</v>
      </c>
      <c r="C50" s="281"/>
      <c r="D50" s="278">
        <v>0</v>
      </c>
      <c r="E50" s="279"/>
      <c r="F50" s="278">
        <v>0</v>
      </c>
      <c r="G50" s="279"/>
      <c r="H50" s="278">
        <v>0</v>
      </c>
      <c r="I50" s="279"/>
      <c r="J50" s="278">
        <v>0</v>
      </c>
      <c r="K50" s="279"/>
      <c r="L50" s="278">
        <v>0</v>
      </c>
      <c r="M50" s="279"/>
      <c r="N50" s="278">
        <v>0</v>
      </c>
      <c r="O50" s="279"/>
      <c r="Q50" s="280" t="s">
        <v>212</v>
      </c>
      <c r="R50" s="281"/>
      <c r="S50" s="275">
        <f>(S46+S47)*D50/(D46+D47)</f>
        <v>0</v>
      </c>
      <c r="T50" s="276"/>
      <c r="U50" s="275">
        <f>(U46+U47)*F50/(F46+F47)</f>
        <v>0</v>
      </c>
      <c r="V50" s="276"/>
      <c r="W50" s="275">
        <f>(W46+W47)*H50/(H46+H47)</f>
        <v>0</v>
      </c>
      <c r="X50" s="276"/>
      <c r="Y50" s="275">
        <f>(Y46+Y47)*J50/(J46+J47)</f>
        <v>0</v>
      </c>
      <c r="Z50" s="276"/>
      <c r="AA50" s="275">
        <f>(AA46+AA47)*L50/(L46+L47)</f>
        <v>0</v>
      </c>
      <c r="AB50" s="276"/>
      <c r="AC50" s="275">
        <f>(AC46+AC47)*N50/(N46+N47)</f>
        <v>0</v>
      </c>
      <c r="AD50" s="276"/>
      <c r="AF50" s="280" t="s">
        <v>212</v>
      </c>
      <c r="AG50" s="281"/>
      <c r="AH50" s="275">
        <f>(AH46+AH47)*S50/(S46+S47)</f>
        <v>0</v>
      </c>
      <c r="AI50" s="276"/>
      <c r="AJ50" s="275">
        <f>(AJ46+AJ47)*U50/(U46+U47)</f>
        <v>0</v>
      </c>
      <c r="AK50" s="276"/>
      <c r="AL50" s="275">
        <f>(AL46+AL47)*W50/(W46+W47)</f>
        <v>0</v>
      </c>
      <c r="AM50" s="276"/>
      <c r="AN50" s="275">
        <f>(AN46+AN47)*Y50/(Y46+Y47)</f>
        <v>0</v>
      </c>
      <c r="AO50" s="276"/>
      <c r="AP50" s="275">
        <f>(AP46+AP47)*AA50/(AA46+AA47)</f>
        <v>0</v>
      </c>
      <c r="AQ50" s="276"/>
      <c r="AR50" s="275">
        <f>(AR46+AR47)*AC50/(AC46+AC47)</f>
        <v>0</v>
      </c>
      <c r="AS50" s="276"/>
    </row>
    <row r="51" spans="1:60">
      <c r="B51" s="146" t="s">
        <v>181</v>
      </c>
      <c r="C51" s="147">
        <f>$L$10</f>
        <v>0.1</v>
      </c>
      <c r="D51" s="277">
        <f>D50*$L$10</f>
        <v>0</v>
      </c>
      <c r="E51" s="277"/>
      <c r="F51" s="277">
        <f>F50*$L$10</f>
        <v>0</v>
      </c>
      <c r="G51" s="277"/>
      <c r="H51" s="277">
        <f>H50*$L$10</f>
        <v>0</v>
      </c>
      <c r="I51" s="277"/>
      <c r="J51" s="277">
        <f>J50*$L$10</f>
        <v>0</v>
      </c>
      <c r="K51" s="277"/>
      <c r="L51" s="277">
        <f>L50*$L$10</f>
        <v>0</v>
      </c>
      <c r="M51" s="277"/>
      <c r="N51" s="277">
        <f>N50*$L$10</f>
        <v>0</v>
      </c>
      <c r="O51" s="277"/>
      <c r="Q51" s="146" t="s">
        <v>181</v>
      </c>
      <c r="R51" s="147">
        <f>$L$10</f>
        <v>0.1</v>
      </c>
      <c r="S51" s="277">
        <f>S50*$L$10</f>
        <v>0</v>
      </c>
      <c r="T51" s="277"/>
      <c r="U51" s="277">
        <f>U50*$L$10</f>
        <v>0</v>
      </c>
      <c r="V51" s="277"/>
      <c r="W51" s="277">
        <f>W50*$L$10</f>
        <v>0</v>
      </c>
      <c r="X51" s="277"/>
      <c r="Y51" s="277">
        <f>Y50*$L$10</f>
        <v>0</v>
      </c>
      <c r="Z51" s="277"/>
      <c r="AA51" s="277">
        <f>AA50*$L$10</f>
        <v>0</v>
      </c>
      <c r="AB51" s="277"/>
      <c r="AC51" s="277">
        <f>AC50*$L$10</f>
        <v>0</v>
      </c>
      <c r="AD51" s="277"/>
      <c r="AF51" s="146" t="s">
        <v>181</v>
      </c>
      <c r="AG51" s="147">
        <f>$L$10</f>
        <v>0.1</v>
      </c>
      <c r="AH51" s="277">
        <f>AH50*$L$10</f>
        <v>0</v>
      </c>
      <c r="AI51" s="277"/>
      <c r="AJ51" s="277">
        <f>AJ50*$L$10</f>
        <v>0</v>
      </c>
      <c r="AK51" s="277"/>
      <c r="AL51" s="277">
        <f>AL50*$L$10</f>
        <v>0</v>
      </c>
      <c r="AM51" s="277"/>
      <c r="AN51" s="277">
        <f>AN50*$L$10</f>
        <v>0</v>
      </c>
      <c r="AO51" s="277"/>
      <c r="AP51" s="277">
        <f>AP50*$L$10</f>
        <v>0</v>
      </c>
      <c r="AQ51" s="277"/>
      <c r="AR51" s="277">
        <f>AR50*$L$10</f>
        <v>0</v>
      </c>
      <c r="AS51" s="277"/>
    </row>
    <row r="52" spans="1:60">
      <c r="B52" s="289" t="s">
        <v>212</v>
      </c>
      <c r="C52" s="290"/>
      <c r="D52" s="278">
        <v>5212.5</v>
      </c>
      <c r="E52" s="287"/>
      <c r="F52" s="278">
        <v>5112.5</v>
      </c>
      <c r="G52" s="287"/>
      <c r="H52" s="278">
        <v>5212.5</v>
      </c>
      <c r="I52" s="287"/>
      <c r="J52" s="278">
        <v>5312.5</v>
      </c>
      <c r="K52" s="287"/>
      <c r="L52" s="278">
        <v>5312.5</v>
      </c>
      <c r="M52" s="287"/>
      <c r="N52" s="278">
        <f>N46+N47</f>
        <v>2662.5</v>
      </c>
      <c r="O52" s="287"/>
      <c r="Q52" s="289" t="s">
        <v>212</v>
      </c>
      <c r="R52" s="290"/>
      <c r="S52" s="275">
        <f>(S46+S47)*D52/(D46+D47)</f>
        <v>6255</v>
      </c>
      <c r="T52" s="276"/>
      <c r="U52" s="275">
        <f>(U46+U47)*F52/(F46+F47)</f>
        <v>6135</v>
      </c>
      <c r="V52" s="276"/>
      <c r="W52" s="275">
        <f>(W46+W47)*H52/(H46+H47)</f>
        <v>6255</v>
      </c>
      <c r="X52" s="276"/>
      <c r="Y52" s="275">
        <f>(Y46+Y47)*J52/(J46+J47)</f>
        <v>6375</v>
      </c>
      <c r="Z52" s="276"/>
      <c r="AA52" s="275">
        <f>(AA46+AA47)*L52/(L46+L47)</f>
        <v>6375</v>
      </c>
      <c r="AB52" s="276"/>
      <c r="AC52" s="275">
        <f>(AC46+AC47)*N52/(N46+N47)</f>
        <v>3195</v>
      </c>
      <c r="AD52" s="276"/>
      <c r="AF52" s="289" t="s">
        <v>212</v>
      </c>
      <c r="AG52" s="290"/>
      <c r="AH52" s="275">
        <f>(AH46+AH47)*S52/(S46+S47)</f>
        <v>7506</v>
      </c>
      <c r="AI52" s="276"/>
      <c r="AJ52" s="275">
        <f>(AJ46+AJ47)*U52/(U46+U47)</f>
        <v>7362</v>
      </c>
      <c r="AK52" s="276"/>
      <c r="AL52" s="275">
        <f>(AL46+AL47)*W52/(W46+W47)</f>
        <v>7506</v>
      </c>
      <c r="AM52" s="276"/>
      <c r="AN52" s="275">
        <f>(AN46+AN47)*Y52/(Y46+Y47)</f>
        <v>7650</v>
      </c>
      <c r="AO52" s="276"/>
      <c r="AP52" s="275">
        <f>(AP46+AP47)*AA52/(AA46+AA47)</f>
        <v>7650</v>
      </c>
      <c r="AQ52" s="276"/>
      <c r="AR52" s="275">
        <f>(AR46+AR47)*AC52/(AC46+AC47)</f>
        <v>3834</v>
      </c>
      <c r="AS52" s="276"/>
    </row>
    <row r="53" spans="1:60">
      <c r="B53" s="148" t="s">
        <v>181</v>
      </c>
      <c r="C53" s="149">
        <f>$N$10</f>
        <v>0.21</v>
      </c>
      <c r="D53" s="277">
        <f>D52*$N$10</f>
        <v>1094.625</v>
      </c>
      <c r="E53" s="277"/>
      <c r="F53" s="277">
        <f>F52*$N$10</f>
        <v>1073.625</v>
      </c>
      <c r="G53" s="277"/>
      <c r="H53" s="277">
        <f>H52*$N$10</f>
        <v>1094.625</v>
      </c>
      <c r="I53" s="277"/>
      <c r="J53" s="277">
        <f>J52*$N$10</f>
        <v>1115.625</v>
      </c>
      <c r="K53" s="277"/>
      <c r="L53" s="277">
        <f>L52*$N$10</f>
        <v>1115.625</v>
      </c>
      <c r="M53" s="277"/>
      <c r="N53" s="277">
        <f>N52*$N$10</f>
        <v>559.125</v>
      </c>
      <c r="O53" s="277"/>
      <c r="Q53" s="148" t="s">
        <v>181</v>
      </c>
      <c r="R53" s="149">
        <f>$N$10</f>
        <v>0.21</v>
      </c>
      <c r="S53" s="277">
        <f>S52*$N$10</f>
        <v>1313.55</v>
      </c>
      <c r="T53" s="277"/>
      <c r="U53" s="277">
        <f>U52*$N$10</f>
        <v>1288.3499999999999</v>
      </c>
      <c r="V53" s="277"/>
      <c r="W53" s="277">
        <f>W52*$N$10</f>
        <v>1313.55</v>
      </c>
      <c r="X53" s="277"/>
      <c r="Y53" s="277">
        <f>Y52*$N$10</f>
        <v>1338.75</v>
      </c>
      <c r="Z53" s="277"/>
      <c r="AA53" s="277">
        <f>AA52*$N$10</f>
        <v>1338.75</v>
      </c>
      <c r="AB53" s="277"/>
      <c r="AC53" s="277">
        <f>AC52*$N$10</f>
        <v>670.94999999999993</v>
      </c>
      <c r="AD53" s="277"/>
      <c r="AF53" s="148" t="s">
        <v>181</v>
      </c>
      <c r="AG53" s="149">
        <f>$N$10</f>
        <v>0.21</v>
      </c>
      <c r="AH53" s="277">
        <f>AH52*$N$10</f>
        <v>1576.26</v>
      </c>
      <c r="AI53" s="277"/>
      <c r="AJ53" s="277">
        <f>AJ52*$N$10</f>
        <v>1546.02</v>
      </c>
      <c r="AK53" s="277"/>
      <c r="AL53" s="277">
        <f>AL52*$N$10</f>
        <v>1576.26</v>
      </c>
      <c r="AM53" s="277"/>
      <c r="AN53" s="277">
        <f>AN52*$N$10</f>
        <v>1606.5</v>
      </c>
      <c r="AO53" s="277"/>
      <c r="AP53" s="277">
        <f>AP52*$N$10</f>
        <v>1606.5</v>
      </c>
      <c r="AQ53" s="277"/>
      <c r="AR53" s="277">
        <f>AR52*$N$10</f>
        <v>805.14</v>
      </c>
      <c r="AS53" s="277"/>
    </row>
    <row r="54" spans="1:60">
      <c r="B54" s="284" t="s">
        <v>54</v>
      </c>
      <c r="C54" s="284"/>
      <c r="D54" s="277" t="str">
        <f>IF(D48+D50+D52=D46+D47,D49+D51+D53,"Comprobar")</f>
        <v>Comprobar</v>
      </c>
      <c r="E54" s="277"/>
      <c r="F54" s="277" t="str">
        <f>IF(F48+F50+F52=F46+F47,F49+F51+F53,"Comprobar")</f>
        <v>Comprobar</v>
      </c>
      <c r="G54" s="277"/>
      <c r="H54" s="277" t="str">
        <f>IF(H48+H50+H52=H46+H47,H49+H51+H53,"Comprobar")</f>
        <v>Comprobar</v>
      </c>
      <c r="I54" s="277"/>
      <c r="J54" s="277" t="str">
        <f>IF(J48+J50+J52=J46+J47,J49+J51+J53,"Comprobar")</f>
        <v>Comprobar</v>
      </c>
      <c r="K54" s="277"/>
      <c r="L54" s="277" t="str">
        <f>IF(L48+L50+L52=L46+L47,L49+L51+L53,"Comprobar")</f>
        <v>Comprobar</v>
      </c>
      <c r="M54" s="277"/>
      <c r="N54" s="277">
        <f>IF(N48+N50+N52=N46+N47,N49+N51+N53,"Comprobar")</f>
        <v>559.125</v>
      </c>
      <c r="O54" s="277"/>
      <c r="Q54" s="284" t="s">
        <v>54</v>
      </c>
      <c r="R54" s="284"/>
      <c r="S54" s="277" t="str">
        <f>IF(S48+S50+S52=S46+S47,S49+S51+S53,"Comprobar")</f>
        <v>Comprobar</v>
      </c>
      <c r="T54" s="277"/>
      <c r="U54" s="277" t="str">
        <f>IF(U48+U50+U52=U46+U47,U49+U51+U53,"Comprobar")</f>
        <v>Comprobar</v>
      </c>
      <c r="V54" s="277"/>
      <c r="W54" s="277" t="str">
        <f>IF(W48+W50+W52=W46+W47,W49+W51+W53,"Comprobar")</f>
        <v>Comprobar</v>
      </c>
      <c r="X54" s="277"/>
      <c r="Y54" s="277" t="str">
        <f>IF(Y48+Y50+Y52=Y46+Y47,Y49+Y51+Y53,"Comprobar")</f>
        <v>Comprobar</v>
      </c>
      <c r="Z54" s="277"/>
      <c r="AA54" s="277" t="str">
        <f>IF(AA48+AA50+AA52=AA46+AA47,AA49+AA51+AA53,"Comprobar")</f>
        <v>Comprobar</v>
      </c>
      <c r="AB54" s="277"/>
      <c r="AC54" s="277">
        <f>IF(AC48+AC50+AC52=AC46+AC47,AC49+AC51+AC53,"Comprobar")</f>
        <v>670.94999999999993</v>
      </c>
      <c r="AD54" s="277"/>
      <c r="AF54" s="284" t="s">
        <v>54</v>
      </c>
      <c r="AG54" s="284"/>
      <c r="AH54" s="277" t="str">
        <f>IF(AH48+AH50+AH52=AH46+AH47,AH49+AH51+AH53,"Comprobar")</f>
        <v>Comprobar</v>
      </c>
      <c r="AI54" s="277"/>
      <c r="AJ54" s="277" t="str">
        <f>IF(AJ48+AJ50+AJ52=AJ46+AJ47,AJ49+AJ51+AJ53,"Comprobar")</f>
        <v>Comprobar</v>
      </c>
      <c r="AK54" s="277"/>
      <c r="AL54" s="277" t="str">
        <f>IF(AL48+AL50+AL52=AL46+AL47,AL49+AL51+AL53,"Comprobar")</f>
        <v>Comprobar</v>
      </c>
      <c r="AM54" s="277"/>
      <c r="AN54" s="277" t="str">
        <f>IF(AN48+AN50+AN52=AN46+AN47,AN49+AN51+AN53,"Comprobar")</f>
        <v>Comprobar</v>
      </c>
      <c r="AO54" s="277"/>
      <c r="AP54" s="277" t="str">
        <f>IF(AP48+AP50+AP52=AP46+AP47,AP49+AP51+AP53,"Comprobar")</f>
        <v>Comprobar</v>
      </c>
      <c r="AQ54" s="277"/>
      <c r="AR54" s="277">
        <f>IF(AR48+AR50+AR52=AR46+AR47,AR49+AR51+AR53,"Comprobar")</f>
        <v>805.14</v>
      </c>
      <c r="AS54" s="277"/>
    </row>
    <row r="55" spans="1:60">
      <c r="B55" s="73"/>
      <c r="C55" s="73"/>
      <c r="D55" s="73"/>
      <c r="E55" s="73"/>
      <c r="F55" s="73"/>
      <c r="G55" s="73"/>
      <c r="H55" s="73"/>
      <c r="I55" s="73"/>
      <c r="J55" s="73"/>
      <c r="K55" s="73"/>
      <c r="L55" s="73"/>
      <c r="M55" s="73"/>
      <c r="N55" s="73"/>
      <c r="O55" s="73"/>
      <c r="Q55" s="73"/>
      <c r="R55" s="73"/>
      <c r="S55" s="73"/>
      <c r="T55" s="73"/>
      <c r="U55" s="73"/>
      <c r="V55" s="73"/>
      <c r="W55" s="73"/>
      <c r="X55" s="73"/>
      <c r="Y55" s="73"/>
      <c r="Z55" s="73"/>
      <c r="AA55" s="73"/>
      <c r="AB55" s="73"/>
      <c r="AC55" s="73"/>
      <c r="AD55" s="73"/>
      <c r="AF55" s="73"/>
      <c r="AG55" s="73"/>
      <c r="AH55" s="73"/>
      <c r="AI55" s="73"/>
      <c r="AJ55" s="73"/>
      <c r="AK55" s="73"/>
      <c r="AL55" s="73"/>
      <c r="AM55" s="73"/>
      <c r="AN55" s="73"/>
      <c r="AO55" s="73"/>
      <c r="AP55" s="73"/>
      <c r="AQ55" s="73"/>
      <c r="AR55" s="73"/>
      <c r="AS55" s="73"/>
      <c r="AU55" s="73"/>
      <c r="AV55" s="73"/>
      <c r="AW55" s="73"/>
      <c r="AX55" s="73"/>
      <c r="AY55" s="73"/>
      <c r="AZ55" s="73"/>
      <c r="BA55" s="73"/>
      <c r="BB55" s="73"/>
      <c r="BC55" s="73"/>
      <c r="BD55" s="73"/>
      <c r="BE55" s="73"/>
      <c r="BF55" s="73"/>
      <c r="BG55" s="73"/>
      <c r="BH55" s="73"/>
    </row>
    <row r="56" spans="1:60">
      <c r="A56" s="80"/>
      <c r="B56" s="175"/>
      <c r="C56" s="175"/>
      <c r="D56" s="175"/>
      <c r="E56" s="175"/>
      <c r="F56" s="175"/>
      <c r="G56" s="175"/>
      <c r="H56" s="175"/>
      <c r="I56" s="175"/>
      <c r="J56" s="80"/>
      <c r="K56" s="80"/>
      <c r="L56" s="80"/>
      <c r="M56" s="80"/>
      <c r="N56" s="80"/>
      <c r="O56" s="80"/>
      <c r="P56" s="80"/>
      <c r="Q56" s="175"/>
      <c r="R56" s="175"/>
      <c r="S56" s="175"/>
      <c r="T56" s="175"/>
      <c r="U56" s="175"/>
      <c r="V56" s="175"/>
      <c r="W56" s="175"/>
      <c r="X56" s="175"/>
      <c r="Y56" s="80"/>
      <c r="Z56" s="80"/>
      <c r="AA56" s="80"/>
      <c r="AB56" s="80"/>
      <c r="AC56" s="80"/>
      <c r="AD56" s="80"/>
      <c r="AE56" s="80"/>
      <c r="AF56" s="175"/>
      <c r="AG56" s="175"/>
      <c r="AH56" s="175"/>
      <c r="AI56" s="175"/>
      <c r="AJ56" s="175"/>
      <c r="AK56" s="175"/>
      <c r="AL56" s="175"/>
      <c r="AM56" s="175"/>
      <c r="AN56" s="80"/>
      <c r="AO56" s="80"/>
      <c r="AP56" s="80"/>
      <c r="AQ56" s="80"/>
      <c r="AR56" s="80"/>
      <c r="AS56" s="80"/>
      <c r="AT56" s="80"/>
      <c r="AU56" s="175"/>
      <c r="AV56" s="175"/>
      <c r="AW56" s="175"/>
      <c r="AX56" s="175"/>
      <c r="AY56" s="175"/>
      <c r="AZ56" s="175"/>
      <c r="BA56" s="175"/>
      <c r="BB56" s="175"/>
      <c r="BC56" s="80"/>
      <c r="BD56" s="80"/>
      <c r="BE56" s="80"/>
      <c r="BF56" s="80"/>
      <c r="BG56" s="80"/>
      <c r="BH56" s="80"/>
    </row>
    <row r="58" spans="1:60" ht="17.399999999999999">
      <c r="B58" s="72"/>
      <c r="Q58" s="72"/>
      <c r="AF58" s="72"/>
      <c r="AU58" s="72"/>
    </row>
  </sheetData>
  <sheetProtection password="CC9B" sheet="1" objects="1" scenarios="1"/>
  <mergeCells count="886">
    <mergeCell ref="B56:I56"/>
    <mergeCell ref="Q56:X56"/>
    <mergeCell ref="AF56:AM56"/>
    <mergeCell ref="AU56:BB56"/>
    <mergeCell ref="AF14:AG14"/>
    <mergeCell ref="AH17:AI17"/>
    <mergeCell ref="AL22:AM22"/>
    <mergeCell ref="AF24:AG24"/>
    <mergeCell ref="AA22:AB22"/>
    <mergeCell ref="AA25:AB25"/>
    <mergeCell ref="AH24:AI24"/>
    <mergeCell ref="AJ24:AK24"/>
    <mergeCell ref="AC28:AD28"/>
    <mergeCell ref="AL26:AM26"/>
    <mergeCell ref="AF26:AG26"/>
    <mergeCell ref="AH26:AI26"/>
    <mergeCell ref="AC27:AD27"/>
    <mergeCell ref="AC26:AD26"/>
    <mergeCell ref="AA17:AB17"/>
    <mergeCell ref="AC17:AD17"/>
    <mergeCell ref="AA19:AB19"/>
    <mergeCell ref="AC18:AD18"/>
    <mergeCell ref="AA24:AB24"/>
    <mergeCell ref="Q26:R26"/>
    <mergeCell ref="AL24:AM24"/>
    <mergeCell ref="AF23:AG23"/>
    <mergeCell ref="AH23:AI23"/>
    <mergeCell ref="AJ23:AK23"/>
    <mergeCell ref="AL23:AM23"/>
    <mergeCell ref="AC22:AD22"/>
    <mergeCell ref="AA20:AB20"/>
    <mergeCell ref="AC4:AD5"/>
    <mergeCell ref="AL10:AM10"/>
    <mergeCell ref="AJ19:AK19"/>
    <mergeCell ref="AH20:AI20"/>
    <mergeCell ref="AH19:AI19"/>
    <mergeCell ref="AL19:AM19"/>
    <mergeCell ref="B1:H1"/>
    <mergeCell ref="B3:H3"/>
    <mergeCell ref="Q3:W3"/>
    <mergeCell ref="AF3:AL3"/>
    <mergeCell ref="Q1:W1"/>
    <mergeCell ref="AF1:AL1"/>
    <mergeCell ref="N1:O3"/>
    <mergeCell ref="AC1:AD3"/>
    <mergeCell ref="Y9:Z9"/>
    <mergeCell ref="N4:O5"/>
    <mergeCell ref="L9:M9"/>
    <mergeCell ref="AF28:AG28"/>
    <mergeCell ref="AA23:AB23"/>
    <mergeCell ref="S29:T29"/>
    <mergeCell ref="U29:V29"/>
    <mergeCell ref="W26:X26"/>
    <mergeCell ref="W10:X10"/>
    <mergeCell ref="W14:X14"/>
    <mergeCell ref="W12:X12"/>
    <mergeCell ref="Y10:Z10"/>
    <mergeCell ref="AC25:AD25"/>
    <mergeCell ref="AC15:AD15"/>
    <mergeCell ref="AC20:AD20"/>
    <mergeCell ref="S17:T17"/>
    <mergeCell ref="AA26:AB26"/>
    <mergeCell ref="Y25:Z25"/>
    <mergeCell ref="Y23:Z23"/>
    <mergeCell ref="W22:X22"/>
    <mergeCell ref="AA27:AB27"/>
    <mergeCell ref="AA29:AB29"/>
    <mergeCell ref="AA28:AB28"/>
    <mergeCell ref="AC19:AD19"/>
    <mergeCell ref="AC23:AD23"/>
    <mergeCell ref="AR1:AS3"/>
    <mergeCell ref="AR4:AS5"/>
    <mergeCell ref="AN9:AO9"/>
    <mergeCell ref="AP9:AQ9"/>
    <mergeCell ref="AR9:AS9"/>
    <mergeCell ref="AA9:AB9"/>
    <mergeCell ref="AC9:AD9"/>
    <mergeCell ref="AF16:AG16"/>
    <mergeCell ref="AF18:AG18"/>
    <mergeCell ref="AJ13:AK13"/>
    <mergeCell ref="AH18:AI18"/>
    <mergeCell ref="AJ18:AK18"/>
    <mergeCell ref="AL18:AM18"/>
    <mergeCell ref="Q18:R18"/>
    <mergeCell ref="Q22:R22"/>
    <mergeCell ref="Q24:R24"/>
    <mergeCell ref="Q23:R23"/>
    <mergeCell ref="S20:T20"/>
    <mergeCell ref="S19:T19"/>
    <mergeCell ref="Q14:R14"/>
    <mergeCell ref="Q10:S10"/>
    <mergeCell ref="S12:T12"/>
    <mergeCell ref="T10:U10"/>
    <mergeCell ref="U12:V12"/>
    <mergeCell ref="Q12:R12"/>
    <mergeCell ref="Q13:R13"/>
    <mergeCell ref="S15:T15"/>
    <mergeCell ref="U15:V15"/>
    <mergeCell ref="U24:V24"/>
    <mergeCell ref="S16:T16"/>
    <mergeCell ref="U22:V22"/>
    <mergeCell ref="S22:T22"/>
    <mergeCell ref="B10:D10"/>
    <mergeCell ref="E10:F10"/>
    <mergeCell ref="AH14:AI14"/>
    <mergeCell ref="AJ14:AK14"/>
    <mergeCell ref="AC14:AD14"/>
    <mergeCell ref="AC12:AD12"/>
    <mergeCell ref="S13:T13"/>
    <mergeCell ref="U13:V13"/>
    <mergeCell ref="Y13:Z13"/>
    <mergeCell ref="AA13:AB13"/>
    <mergeCell ref="AA10:AB10"/>
    <mergeCell ref="AC10:AD10"/>
    <mergeCell ref="N10:O10"/>
    <mergeCell ref="AF10:AH10"/>
    <mergeCell ref="AI10:AJ10"/>
    <mergeCell ref="AH13:AI13"/>
    <mergeCell ref="AF13:AG13"/>
    <mergeCell ref="H10:I10"/>
    <mergeCell ref="AF52:AG52"/>
    <mergeCell ref="AN50:AO50"/>
    <mergeCell ref="AP50:AQ50"/>
    <mergeCell ref="AF50:AG50"/>
    <mergeCell ref="AJ22:AK22"/>
    <mergeCell ref="AF48:AG48"/>
    <mergeCell ref="AL48:AM48"/>
    <mergeCell ref="AJ43:AK43"/>
    <mergeCell ref="AL43:AM43"/>
    <mergeCell ref="AN46:AO46"/>
    <mergeCell ref="AF46:AG46"/>
    <mergeCell ref="AF41:AG41"/>
    <mergeCell ref="AF39:AG39"/>
    <mergeCell ref="AF37:AG37"/>
    <mergeCell ref="AH27:AI27"/>
    <mergeCell ref="AJ27:AK27"/>
    <mergeCell ref="AL27:AM27"/>
    <mergeCell ref="AN27:AO27"/>
    <mergeCell ref="AP27:AQ27"/>
    <mergeCell ref="AJ26:AK26"/>
    <mergeCell ref="AH28:AI28"/>
    <mergeCell ref="AJ28:AK28"/>
    <mergeCell ref="AL28:AM28"/>
    <mergeCell ref="AF22:AG22"/>
    <mergeCell ref="AN54:AO54"/>
    <mergeCell ref="AP54:AQ54"/>
    <mergeCell ref="AN52:AO52"/>
    <mergeCell ref="AP52:AQ52"/>
    <mergeCell ref="AL53:AM53"/>
    <mergeCell ref="AH22:AI22"/>
    <mergeCell ref="AJ50:AK50"/>
    <mergeCell ref="AL50:AM50"/>
    <mergeCell ref="AH48:AI48"/>
    <mergeCell ref="AJ48:AK48"/>
    <mergeCell ref="AH46:AI46"/>
    <mergeCell ref="AP46:AQ46"/>
    <mergeCell ref="AJ46:AK46"/>
    <mergeCell ref="AL46:AM46"/>
    <mergeCell ref="AN43:AO43"/>
    <mergeCell ref="AP43:AQ43"/>
    <mergeCell ref="AH39:AI39"/>
    <mergeCell ref="AJ39:AK39"/>
    <mergeCell ref="AL39:AM39"/>
    <mergeCell ref="AL35:AM35"/>
    <mergeCell ref="AN35:AO35"/>
    <mergeCell ref="AP35:AQ35"/>
    <mergeCell ref="AP34:AQ34"/>
    <mergeCell ref="AP30:AQ30"/>
    <mergeCell ref="AR54:AS54"/>
    <mergeCell ref="AF54:AG54"/>
    <mergeCell ref="AH54:AI54"/>
    <mergeCell ref="AJ54:AK54"/>
    <mergeCell ref="AL54:AM54"/>
    <mergeCell ref="AF36:AG36"/>
    <mergeCell ref="AR52:AS52"/>
    <mergeCell ref="AH53:AI53"/>
    <mergeCell ref="AJ53:AK53"/>
    <mergeCell ref="AH50:AI50"/>
    <mergeCell ref="AR53:AS53"/>
    <mergeCell ref="AH52:AI52"/>
    <mergeCell ref="AJ52:AK52"/>
    <mergeCell ref="AL52:AM52"/>
    <mergeCell ref="AN53:AO53"/>
    <mergeCell ref="AP53:AQ53"/>
    <mergeCell ref="AP48:AQ48"/>
    <mergeCell ref="AR50:AS50"/>
    <mergeCell ref="AH51:AI51"/>
    <mergeCell ref="AJ51:AK51"/>
    <mergeCell ref="AL51:AM51"/>
    <mergeCell ref="AN51:AO51"/>
    <mergeCell ref="AP51:AQ51"/>
    <mergeCell ref="AR51:AS51"/>
    <mergeCell ref="AR48:AS48"/>
    <mergeCell ref="AH49:AI49"/>
    <mergeCell ref="AJ49:AK49"/>
    <mergeCell ref="AL49:AM49"/>
    <mergeCell ref="AN49:AO49"/>
    <mergeCell ref="AP49:AQ49"/>
    <mergeCell ref="AR49:AS49"/>
    <mergeCell ref="AN48:AO48"/>
    <mergeCell ref="AF43:AG43"/>
    <mergeCell ref="AH43:AI43"/>
    <mergeCell ref="AR46:AS46"/>
    <mergeCell ref="AF47:AG47"/>
    <mergeCell ref="AH47:AI47"/>
    <mergeCell ref="AJ47:AK47"/>
    <mergeCell ref="AL47:AM47"/>
    <mergeCell ref="AN47:AO47"/>
    <mergeCell ref="AP47:AQ47"/>
    <mergeCell ref="AR47:AS47"/>
    <mergeCell ref="AF45:AG45"/>
    <mergeCell ref="AH45:AI45"/>
    <mergeCell ref="AJ45:AK45"/>
    <mergeCell ref="AL45:AM45"/>
    <mergeCell ref="AN45:AO45"/>
    <mergeCell ref="AP45:AQ45"/>
    <mergeCell ref="AR41:AS41"/>
    <mergeCell ref="AN41:AO41"/>
    <mergeCell ref="AP41:AQ41"/>
    <mergeCell ref="AR43:AS43"/>
    <mergeCell ref="AR45:AS45"/>
    <mergeCell ref="AH42:AI42"/>
    <mergeCell ref="AJ42:AK42"/>
    <mergeCell ref="AL42:AM42"/>
    <mergeCell ref="AN42:AO42"/>
    <mergeCell ref="AP42:AQ42"/>
    <mergeCell ref="AR42:AS42"/>
    <mergeCell ref="AH41:AI41"/>
    <mergeCell ref="AJ41:AK41"/>
    <mergeCell ref="AL41:AM41"/>
    <mergeCell ref="AR39:AS39"/>
    <mergeCell ref="AH40:AI40"/>
    <mergeCell ref="AJ40:AK40"/>
    <mergeCell ref="AL40:AM40"/>
    <mergeCell ref="AN40:AO40"/>
    <mergeCell ref="AP40:AQ40"/>
    <mergeCell ref="AR40:AS40"/>
    <mergeCell ref="AN39:AO39"/>
    <mergeCell ref="AP39:AQ39"/>
    <mergeCell ref="AR36:AS36"/>
    <mergeCell ref="AH38:AI38"/>
    <mergeCell ref="AJ38:AK38"/>
    <mergeCell ref="AL38:AM38"/>
    <mergeCell ref="AN38:AO38"/>
    <mergeCell ref="AH36:AI36"/>
    <mergeCell ref="AJ36:AK36"/>
    <mergeCell ref="AL36:AM36"/>
    <mergeCell ref="AN36:AO36"/>
    <mergeCell ref="AP36:AQ36"/>
    <mergeCell ref="AH37:AI37"/>
    <mergeCell ref="AJ37:AK37"/>
    <mergeCell ref="AL37:AM37"/>
    <mergeCell ref="AP38:AQ38"/>
    <mergeCell ref="AR38:AS38"/>
    <mergeCell ref="AN37:AO37"/>
    <mergeCell ref="AP37:AQ37"/>
    <mergeCell ref="AR37:AS37"/>
    <mergeCell ref="AR34:AS34"/>
    <mergeCell ref="AR35:AS35"/>
    <mergeCell ref="AL34:AM34"/>
    <mergeCell ref="AN34:AO34"/>
    <mergeCell ref="AF32:AJ32"/>
    <mergeCell ref="AF34:AG34"/>
    <mergeCell ref="AH34:AI34"/>
    <mergeCell ref="AJ34:AK34"/>
    <mergeCell ref="AF35:AG35"/>
    <mergeCell ref="AH35:AI35"/>
    <mergeCell ref="AJ35:AK35"/>
    <mergeCell ref="AR30:AS30"/>
    <mergeCell ref="AH29:AI29"/>
    <mergeCell ref="AJ29:AK29"/>
    <mergeCell ref="AL29:AM29"/>
    <mergeCell ref="AN29:AO29"/>
    <mergeCell ref="AH30:AI30"/>
    <mergeCell ref="AJ30:AK30"/>
    <mergeCell ref="AL30:AM30"/>
    <mergeCell ref="AN30:AO30"/>
    <mergeCell ref="AR29:AS29"/>
    <mergeCell ref="AN28:AO28"/>
    <mergeCell ref="AP28:AQ28"/>
    <mergeCell ref="AR28:AS28"/>
    <mergeCell ref="AN26:AO26"/>
    <mergeCell ref="AP26:AQ26"/>
    <mergeCell ref="AU28:AV28"/>
    <mergeCell ref="AU13:AV13"/>
    <mergeCell ref="AR15:AS15"/>
    <mergeCell ref="AR27:AS27"/>
    <mergeCell ref="AR25:AS25"/>
    <mergeCell ref="AN23:AO23"/>
    <mergeCell ref="AP23:AQ23"/>
    <mergeCell ref="AR23:AS23"/>
    <mergeCell ref="AN19:AO19"/>
    <mergeCell ref="AP19:AQ19"/>
    <mergeCell ref="AR19:AS19"/>
    <mergeCell ref="AN18:AO18"/>
    <mergeCell ref="BG1:BH3"/>
    <mergeCell ref="BG4:BH5"/>
    <mergeCell ref="AF7:AS7"/>
    <mergeCell ref="AU3:BA3"/>
    <mergeCell ref="AU1:BA1"/>
    <mergeCell ref="AH15:AI15"/>
    <mergeCell ref="AJ15:AK15"/>
    <mergeCell ref="AP15:AQ15"/>
    <mergeCell ref="AL15:AM15"/>
    <mergeCell ref="AR12:AS12"/>
    <mergeCell ref="AR10:AS10"/>
    <mergeCell ref="AF12:AG12"/>
    <mergeCell ref="AH12:AI12"/>
    <mergeCell ref="AN10:AO10"/>
    <mergeCell ref="AU10:AY10"/>
    <mergeCell ref="AJ12:AK12"/>
    <mergeCell ref="AL12:AM12"/>
    <mergeCell ref="AN12:AO12"/>
    <mergeCell ref="AR13:AS13"/>
    <mergeCell ref="AP12:AQ12"/>
    <mergeCell ref="AR14:AS14"/>
    <mergeCell ref="AL13:AM13"/>
    <mergeCell ref="AN15:AO15"/>
    <mergeCell ref="AP10:AQ10"/>
    <mergeCell ref="AA45:AB45"/>
    <mergeCell ref="AC47:AD47"/>
    <mergeCell ref="AA47:AB47"/>
    <mergeCell ref="AC45:AD45"/>
    <mergeCell ref="AA46:AB46"/>
    <mergeCell ref="AC46:AD46"/>
    <mergeCell ref="AC40:AD40"/>
    <mergeCell ref="Y41:Z41"/>
    <mergeCell ref="AA41:AB41"/>
    <mergeCell ref="AC41:AD41"/>
    <mergeCell ref="AA43:AB43"/>
    <mergeCell ref="AC43:AD43"/>
    <mergeCell ref="Y42:Z42"/>
    <mergeCell ref="AC42:AD42"/>
    <mergeCell ref="AA42:AB42"/>
    <mergeCell ref="Y43:Z43"/>
    <mergeCell ref="Y40:Z40"/>
    <mergeCell ref="Q54:R54"/>
    <mergeCell ref="S54:T54"/>
    <mergeCell ref="U54:V54"/>
    <mergeCell ref="W54:X54"/>
    <mergeCell ref="S53:T53"/>
    <mergeCell ref="U53:V53"/>
    <mergeCell ref="W53:X53"/>
    <mergeCell ref="Y54:Z54"/>
    <mergeCell ref="AC52:AD52"/>
    <mergeCell ref="Q52:R52"/>
    <mergeCell ref="Y53:Z53"/>
    <mergeCell ref="AA54:AB54"/>
    <mergeCell ref="AC54:AD54"/>
    <mergeCell ref="AA53:AB53"/>
    <mergeCell ref="AC53:AD53"/>
    <mergeCell ref="S51:T51"/>
    <mergeCell ref="U51:V51"/>
    <mergeCell ref="W51:X51"/>
    <mergeCell ref="Y51:Z51"/>
    <mergeCell ref="AA51:AB51"/>
    <mergeCell ref="AC51:AD51"/>
    <mergeCell ref="S52:T52"/>
    <mergeCell ref="U52:V52"/>
    <mergeCell ref="Y52:Z52"/>
    <mergeCell ref="AA52:AB52"/>
    <mergeCell ref="W52:X52"/>
    <mergeCell ref="Q50:R50"/>
    <mergeCell ref="S50:T50"/>
    <mergeCell ref="U50:V50"/>
    <mergeCell ref="W50:X50"/>
    <mergeCell ref="AA48:AB48"/>
    <mergeCell ref="AC48:AD48"/>
    <mergeCell ref="AC50:AD50"/>
    <mergeCell ref="S49:T49"/>
    <mergeCell ref="U49:V49"/>
    <mergeCell ref="W49:X49"/>
    <mergeCell ref="Y49:Z49"/>
    <mergeCell ref="AA49:AB49"/>
    <mergeCell ref="AC49:AD49"/>
    <mergeCell ref="Y50:Z50"/>
    <mergeCell ref="AA50:AB50"/>
    <mergeCell ref="U45:V45"/>
    <mergeCell ref="W45:X45"/>
    <mergeCell ref="Q48:R48"/>
    <mergeCell ref="S48:T48"/>
    <mergeCell ref="U48:V48"/>
    <mergeCell ref="W48:X48"/>
    <mergeCell ref="Y48:Z48"/>
    <mergeCell ref="U47:V47"/>
    <mergeCell ref="W47:X47"/>
    <mergeCell ref="Y47:Z47"/>
    <mergeCell ref="Q47:R47"/>
    <mergeCell ref="S47:T47"/>
    <mergeCell ref="Q46:R46"/>
    <mergeCell ref="S46:T46"/>
    <mergeCell ref="U46:V46"/>
    <mergeCell ref="W46:X46"/>
    <mergeCell ref="Y46:Z46"/>
    <mergeCell ref="Q45:R45"/>
    <mergeCell ref="S45:T45"/>
    <mergeCell ref="Y45:Z45"/>
    <mergeCell ref="Q43:R43"/>
    <mergeCell ref="S43:T43"/>
    <mergeCell ref="U43:V43"/>
    <mergeCell ref="W43:X43"/>
    <mergeCell ref="AA40:AB40"/>
    <mergeCell ref="S42:T42"/>
    <mergeCell ref="U42:V42"/>
    <mergeCell ref="W42:X42"/>
    <mergeCell ref="Q41:R41"/>
    <mergeCell ref="S41:T41"/>
    <mergeCell ref="U41:V41"/>
    <mergeCell ref="W41:X41"/>
    <mergeCell ref="S40:T40"/>
    <mergeCell ref="U40:V40"/>
    <mergeCell ref="W40:X40"/>
    <mergeCell ref="Q39:R39"/>
    <mergeCell ref="S39:T39"/>
    <mergeCell ref="U39:V39"/>
    <mergeCell ref="W39:X39"/>
    <mergeCell ref="Y39:Z39"/>
    <mergeCell ref="AA39:AB39"/>
    <mergeCell ref="AC39:AD39"/>
    <mergeCell ref="S38:T38"/>
    <mergeCell ref="U38:V38"/>
    <mergeCell ref="Q35:R35"/>
    <mergeCell ref="S35:T35"/>
    <mergeCell ref="U35:V35"/>
    <mergeCell ref="W35:X35"/>
    <mergeCell ref="Y35:Z35"/>
    <mergeCell ref="AA35:AB35"/>
    <mergeCell ref="U34:V34"/>
    <mergeCell ref="W34:X34"/>
    <mergeCell ref="Y34:Z34"/>
    <mergeCell ref="AA34:AB34"/>
    <mergeCell ref="Q32:U32"/>
    <mergeCell ref="Q34:R34"/>
    <mergeCell ref="S34:T34"/>
    <mergeCell ref="S28:T28"/>
    <mergeCell ref="S23:T23"/>
    <mergeCell ref="U19:V19"/>
    <mergeCell ref="Y29:Z29"/>
    <mergeCell ref="U20:V20"/>
    <mergeCell ref="W20:X20"/>
    <mergeCell ref="U23:V23"/>
    <mergeCell ref="W23:X23"/>
    <mergeCell ref="U25:V25"/>
    <mergeCell ref="S26:T26"/>
    <mergeCell ref="S24:T24"/>
    <mergeCell ref="S25:T25"/>
    <mergeCell ref="Q28:R28"/>
    <mergeCell ref="U28:V28"/>
    <mergeCell ref="W28:X28"/>
    <mergeCell ref="S27:T27"/>
    <mergeCell ref="U27:V27"/>
    <mergeCell ref="W27:X27"/>
    <mergeCell ref="U26:V26"/>
    <mergeCell ref="W24:X24"/>
    <mergeCell ref="S30:T30"/>
    <mergeCell ref="AA30:AB30"/>
    <mergeCell ref="W29:X29"/>
    <mergeCell ref="U30:V30"/>
    <mergeCell ref="W30:X30"/>
    <mergeCell ref="Y30:Z30"/>
    <mergeCell ref="Y28:Z28"/>
    <mergeCell ref="Y18:Z18"/>
    <mergeCell ref="W25:X25"/>
    <mergeCell ref="Y27:Z27"/>
    <mergeCell ref="W19:X19"/>
    <mergeCell ref="Y19:Z19"/>
    <mergeCell ref="Y20:Z20"/>
    <mergeCell ref="Y22:Z22"/>
    <mergeCell ref="Y24:Z24"/>
    <mergeCell ref="Y26:Z26"/>
    <mergeCell ref="U18:V18"/>
    <mergeCell ref="AA18:AB18"/>
    <mergeCell ref="AW15:AZ15"/>
    <mergeCell ref="AW16:AZ16"/>
    <mergeCell ref="W15:X15"/>
    <mergeCell ref="Y15:Z15"/>
    <mergeCell ref="W16:X16"/>
    <mergeCell ref="W17:X17"/>
    <mergeCell ref="Y17:Z17"/>
    <mergeCell ref="Y16:Z16"/>
    <mergeCell ref="AL16:AM16"/>
    <mergeCell ref="AR16:AS16"/>
    <mergeCell ref="AN16:AO16"/>
    <mergeCell ref="AP16:AQ16"/>
    <mergeCell ref="AR17:AS17"/>
    <mergeCell ref="AP17:AQ17"/>
    <mergeCell ref="BA24:BD24"/>
    <mergeCell ref="AW19:AZ19"/>
    <mergeCell ref="AW17:AZ17"/>
    <mergeCell ref="AW20:AZ20"/>
    <mergeCell ref="BA16:BD16"/>
    <mergeCell ref="AL17:AM17"/>
    <mergeCell ref="AW22:AZ22"/>
    <mergeCell ref="AW27:AZ27"/>
    <mergeCell ref="AW18:AZ18"/>
    <mergeCell ref="BA25:BD25"/>
    <mergeCell ref="AW26:AZ26"/>
    <mergeCell ref="BA26:BD26"/>
    <mergeCell ref="AP22:AQ22"/>
    <mergeCell ref="AW24:AZ24"/>
    <mergeCell ref="AR26:AS26"/>
    <mergeCell ref="AN17:AO17"/>
    <mergeCell ref="AL20:AM20"/>
    <mergeCell ref="AN20:AO20"/>
    <mergeCell ref="AP20:AQ20"/>
    <mergeCell ref="AR20:AS20"/>
    <mergeCell ref="AU22:AV22"/>
    <mergeCell ref="AN22:AO22"/>
    <mergeCell ref="AN24:AO24"/>
    <mergeCell ref="AP24:AQ24"/>
    <mergeCell ref="AC30:AD30"/>
    <mergeCell ref="AU31:AV31"/>
    <mergeCell ref="AW31:AZ31"/>
    <mergeCell ref="AC16:AD16"/>
    <mergeCell ref="AU20:AV20"/>
    <mergeCell ref="AU16:AV16"/>
    <mergeCell ref="AH16:AI16"/>
    <mergeCell ref="AJ16:AK16"/>
    <mergeCell ref="AJ17:AK17"/>
    <mergeCell ref="AW30:AZ30"/>
    <mergeCell ref="AW29:AZ29"/>
    <mergeCell ref="AP29:AQ29"/>
    <mergeCell ref="AC29:AD29"/>
    <mergeCell ref="AC24:AD24"/>
    <mergeCell ref="AJ20:AK20"/>
    <mergeCell ref="AR22:AS22"/>
    <mergeCell ref="AP18:AQ18"/>
    <mergeCell ref="AR18:AS18"/>
    <mergeCell ref="AU18:AV18"/>
    <mergeCell ref="AU24:AV24"/>
    <mergeCell ref="AR24:AS24"/>
    <mergeCell ref="AH25:AI25"/>
    <mergeCell ref="AJ25:AK25"/>
    <mergeCell ref="AU26:AV26"/>
    <mergeCell ref="BE17:BH17"/>
    <mergeCell ref="BE32:BH32"/>
    <mergeCell ref="AW23:AZ23"/>
    <mergeCell ref="BA23:BD23"/>
    <mergeCell ref="BE23:BH23"/>
    <mergeCell ref="BA22:BD22"/>
    <mergeCell ref="AW32:AZ32"/>
    <mergeCell ref="BA12:BD12"/>
    <mergeCell ref="BE12:BH12"/>
    <mergeCell ref="BE31:BH31"/>
    <mergeCell ref="BE24:BH24"/>
    <mergeCell ref="BE18:BH18"/>
    <mergeCell ref="BA15:BD15"/>
    <mergeCell ref="BE15:BH15"/>
    <mergeCell ref="BE22:BH22"/>
    <mergeCell ref="BE16:BH16"/>
    <mergeCell ref="BE19:BH19"/>
    <mergeCell ref="BE20:BH20"/>
    <mergeCell ref="BA20:BD20"/>
    <mergeCell ref="BA19:BD19"/>
    <mergeCell ref="BA17:BD17"/>
    <mergeCell ref="BA30:BD30"/>
    <mergeCell ref="BE30:BH30"/>
    <mergeCell ref="BE25:BH25"/>
    <mergeCell ref="AW14:AZ14"/>
    <mergeCell ref="BA14:BD14"/>
    <mergeCell ref="BE14:BH14"/>
    <mergeCell ref="N9:O9"/>
    <mergeCell ref="N13:O13"/>
    <mergeCell ref="AW12:AZ12"/>
    <mergeCell ref="N14:O14"/>
    <mergeCell ref="B7:O7"/>
    <mergeCell ref="W13:X13"/>
    <mergeCell ref="B14:C14"/>
    <mergeCell ref="N12:O12"/>
    <mergeCell ref="B12:C12"/>
    <mergeCell ref="D12:E12"/>
    <mergeCell ref="B13:C13"/>
    <mergeCell ref="D13:E13"/>
    <mergeCell ref="BE13:BH13"/>
    <mergeCell ref="AW13:AZ13"/>
    <mergeCell ref="AC13:AD13"/>
    <mergeCell ref="AP14:AQ14"/>
    <mergeCell ref="AP13:AQ13"/>
    <mergeCell ref="Y12:Z12"/>
    <mergeCell ref="BA13:BD13"/>
    <mergeCell ref="AU14:AV14"/>
    <mergeCell ref="J9:K9"/>
    <mergeCell ref="BE26:BH26"/>
    <mergeCell ref="AW25:AZ25"/>
    <mergeCell ref="AU38:BH39"/>
    <mergeCell ref="BE36:BH36"/>
    <mergeCell ref="AU32:AV32"/>
    <mergeCell ref="BA32:BD32"/>
    <mergeCell ref="AU36:AV36"/>
    <mergeCell ref="AU30:AV30"/>
    <mergeCell ref="AC36:AD36"/>
    <mergeCell ref="AC37:AD37"/>
    <mergeCell ref="BE27:BH27"/>
    <mergeCell ref="AW28:AZ28"/>
    <mergeCell ref="BA28:BD28"/>
    <mergeCell ref="BE28:BH28"/>
    <mergeCell ref="BA27:BD27"/>
    <mergeCell ref="BE29:BH29"/>
    <mergeCell ref="AC34:AD34"/>
    <mergeCell ref="AC35:AD35"/>
    <mergeCell ref="BA31:BD31"/>
    <mergeCell ref="BA29:BD29"/>
    <mergeCell ref="AC38:AD38"/>
    <mergeCell ref="AL25:AM25"/>
    <mergeCell ref="AN25:AO25"/>
    <mergeCell ref="AP25:AQ25"/>
    <mergeCell ref="J54:K54"/>
    <mergeCell ref="AW36:AZ36"/>
    <mergeCell ref="BA36:BD36"/>
    <mergeCell ref="N42:O42"/>
    <mergeCell ref="N40:O40"/>
    <mergeCell ref="N41:O41"/>
    <mergeCell ref="N37:O37"/>
    <mergeCell ref="J43:K43"/>
    <mergeCell ref="N38:O38"/>
    <mergeCell ref="AA36:AB36"/>
    <mergeCell ref="W36:X36"/>
    <mergeCell ref="Y36:Z36"/>
    <mergeCell ref="AA38:AB38"/>
    <mergeCell ref="Y37:Z37"/>
    <mergeCell ref="AA37:AB37"/>
    <mergeCell ref="W37:X37"/>
    <mergeCell ref="Q36:R36"/>
    <mergeCell ref="W38:X38"/>
    <mergeCell ref="Y38:Z38"/>
    <mergeCell ref="S36:T36"/>
    <mergeCell ref="U36:V36"/>
    <mergeCell ref="Q37:R37"/>
    <mergeCell ref="S37:T37"/>
    <mergeCell ref="U37:V37"/>
    <mergeCell ref="B54:C54"/>
    <mergeCell ref="D54:E54"/>
    <mergeCell ref="F54:G54"/>
    <mergeCell ref="H54:I54"/>
    <mergeCell ref="N54:O54"/>
    <mergeCell ref="J50:K50"/>
    <mergeCell ref="L50:M50"/>
    <mergeCell ref="N50:O50"/>
    <mergeCell ref="L51:M51"/>
    <mergeCell ref="N51:O51"/>
    <mergeCell ref="L54:M54"/>
    <mergeCell ref="D53:E53"/>
    <mergeCell ref="F53:G53"/>
    <mergeCell ref="H53:I53"/>
    <mergeCell ref="J53:K53"/>
    <mergeCell ref="L53:M53"/>
    <mergeCell ref="B50:C50"/>
    <mergeCell ref="D50:E50"/>
    <mergeCell ref="F50:G50"/>
    <mergeCell ref="H50:I50"/>
    <mergeCell ref="N53:O53"/>
    <mergeCell ref="B52:C52"/>
    <mergeCell ref="D52:E52"/>
    <mergeCell ref="F52:G52"/>
    <mergeCell ref="H52:I52"/>
    <mergeCell ref="N52:O52"/>
    <mergeCell ref="D51:E51"/>
    <mergeCell ref="F51:G51"/>
    <mergeCell ref="H51:I51"/>
    <mergeCell ref="D49:E49"/>
    <mergeCell ref="F49:G49"/>
    <mergeCell ref="H49:I49"/>
    <mergeCell ref="J49:K49"/>
    <mergeCell ref="L49:M49"/>
    <mergeCell ref="N49:O49"/>
    <mergeCell ref="J52:K52"/>
    <mergeCell ref="L52:M52"/>
    <mergeCell ref="J51:K51"/>
    <mergeCell ref="B24:C24"/>
    <mergeCell ref="B37:C37"/>
    <mergeCell ref="D42:E42"/>
    <mergeCell ref="B41:C41"/>
    <mergeCell ref="D41:E41"/>
    <mergeCell ref="D40:E40"/>
    <mergeCell ref="B16:C16"/>
    <mergeCell ref="B18:C18"/>
    <mergeCell ref="F42:G42"/>
    <mergeCell ref="D30:E30"/>
    <mergeCell ref="F30:G30"/>
    <mergeCell ref="D29:E29"/>
    <mergeCell ref="F29:G29"/>
    <mergeCell ref="B28:C28"/>
    <mergeCell ref="D28:E28"/>
    <mergeCell ref="F41:G41"/>
    <mergeCell ref="D26:E26"/>
    <mergeCell ref="D16:E16"/>
    <mergeCell ref="B26:C26"/>
    <mergeCell ref="B22:C22"/>
    <mergeCell ref="D22:E22"/>
    <mergeCell ref="D20:E20"/>
    <mergeCell ref="D24:E24"/>
    <mergeCell ref="B23:C23"/>
    <mergeCell ref="H41:I41"/>
    <mergeCell ref="J41:K41"/>
    <mergeCell ref="L41:M41"/>
    <mergeCell ref="H40:I40"/>
    <mergeCell ref="J40:K40"/>
    <mergeCell ref="L37:M37"/>
    <mergeCell ref="J39:K39"/>
    <mergeCell ref="L39:M39"/>
    <mergeCell ref="L38:M38"/>
    <mergeCell ref="F23:G23"/>
    <mergeCell ref="F22:G22"/>
    <mergeCell ref="H24:I24"/>
    <mergeCell ref="F24:G24"/>
    <mergeCell ref="N30:O30"/>
    <mergeCell ref="N34:O34"/>
    <mergeCell ref="L35:M35"/>
    <mergeCell ref="N27:O27"/>
    <mergeCell ref="J28:K28"/>
    <mergeCell ref="L28:M28"/>
    <mergeCell ref="N28:O28"/>
    <mergeCell ref="L27:M27"/>
    <mergeCell ref="J27:K27"/>
    <mergeCell ref="N29:O29"/>
    <mergeCell ref="L29:M29"/>
    <mergeCell ref="J29:K29"/>
    <mergeCell ref="J34:K34"/>
    <mergeCell ref="L34:M34"/>
    <mergeCell ref="J30:K30"/>
    <mergeCell ref="L30:M30"/>
    <mergeCell ref="J35:K35"/>
    <mergeCell ref="F15:G15"/>
    <mergeCell ref="J12:K12"/>
    <mergeCell ref="L13:M13"/>
    <mergeCell ref="H12:I12"/>
    <mergeCell ref="J13:K13"/>
    <mergeCell ref="L12:M12"/>
    <mergeCell ref="L10:M10"/>
    <mergeCell ref="J14:K14"/>
    <mergeCell ref="F12:G12"/>
    <mergeCell ref="F13:G13"/>
    <mergeCell ref="L14:M14"/>
    <mergeCell ref="F14:G14"/>
    <mergeCell ref="H14:I14"/>
    <mergeCell ref="J15:K15"/>
    <mergeCell ref="L15:M15"/>
    <mergeCell ref="H15:I15"/>
    <mergeCell ref="D19:E19"/>
    <mergeCell ref="H13:I13"/>
    <mergeCell ref="D23:E23"/>
    <mergeCell ref="H23:I23"/>
    <mergeCell ref="D18:E18"/>
    <mergeCell ref="L16:M16"/>
    <mergeCell ref="J20:K20"/>
    <mergeCell ref="L20:M20"/>
    <mergeCell ref="J16:K16"/>
    <mergeCell ref="H16:I16"/>
    <mergeCell ref="J18:K18"/>
    <mergeCell ref="L18:M18"/>
    <mergeCell ref="H22:I22"/>
    <mergeCell ref="H20:I20"/>
    <mergeCell ref="D14:E14"/>
    <mergeCell ref="H18:I18"/>
    <mergeCell ref="D15:E15"/>
    <mergeCell ref="F20:G20"/>
    <mergeCell ref="F18:G18"/>
    <mergeCell ref="F16:G16"/>
    <mergeCell ref="H19:I19"/>
    <mergeCell ref="D17:E17"/>
    <mergeCell ref="F17:G17"/>
    <mergeCell ref="F19:G19"/>
    <mergeCell ref="H17:I17"/>
    <mergeCell ref="J17:K17"/>
    <mergeCell ref="J24:K24"/>
    <mergeCell ref="N22:O22"/>
    <mergeCell ref="N18:O18"/>
    <mergeCell ref="N15:O15"/>
    <mergeCell ref="N16:O16"/>
    <mergeCell ref="N20:O20"/>
    <mergeCell ref="N25:O25"/>
    <mergeCell ref="L25:M25"/>
    <mergeCell ref="J25:K25"/>
    <mergeCell ref="N19:O19"/>
    <mergeCell ref="J22:K22"/>
    <mergeCell ref="L19:M19"/>
    <mergeCell ref="J19:K19"/>
    <mergeCell ref="L23:M23"/>
    <mergeCell ref="N36:O36"/>
    <mergeCell ref="J10:K10"/>
    <mergeCell ref="L22:M22"/>
    <mergeCell ref="N24:O24"/>
    <mergeCell ref="L24:M24"/>
    <mergeCell ref="N23:O23"/>
    <mergeCell ref="J23:K23"/>
    <mergeCell ref="J26:K26"/>
    <mergeCell ref="L26:M26"/>
    <mergeCell ref="N26:O26"/>
    <mergeCell ref="B43:C43"/>
    <mergeCell ref="D43:E43"/>
    <mergeCell ref="D37:E37"/>
    <mergeCell ref="B46:C46"/>
    <mergeCell ref="D46:E46"/>
    <mergeCell ref="F46:G46"/>
    <mergeCell ref="B34:C34"/>
    <mergeCell ref="B45:C45"/>
    <mergeCell ref="B39:C39"/>
    <mergeCell ref="D39:E39"/>
    <mergeCell ref="F39:G39"/>
    <mergeCell ref="B36:C36"/>
    <mergeCell ref="F37:G37"/>
    <mergeCell ref="D38:E38"/>
    <mergeCell ref="D45:E45"/>
    <mergeCell ref="F45:G45"/>
    <mergeCell ref="F40:G40"/>
    <mergeCell ref="F43:G43"/>
    <mergeCell ref="F34:G34"/>
    <mergeCell ref="D36:E36"/>
    <mergeCell ref="D25:E25"/>
    <mergeCell ref="F25:G25"/>
    <mergeCell ref="H25:I25"/>
    <mergeCell ref="B35:C35"/>
    <mergeCell ref="D35:E35"/>
    <mergeCell ref="F35:G35"/>
    <mergeCell ref="H35:I35"/>
    <mergeCell ref="H27:I27"/>
    <mergeCell ref="H30:I30"/>
    <mergeCell ref="D27:E27"/>
    <mergeCell ref="B32:F32"/>
    <mergeCell ref="H34:I34"/>
    <mergeCell ref="H29:I29"/>
    <mergeCell ref="F28:G28"/>
    <mergeCell ref="H28:I28"/>
    <mergeCell ref="F27:G27"/>
    <mergeCell ref="F26:G26"/>
    <mergeCell ref="H26:I26"/>
    <mergeCell ref="D34:E34"/>
    <mergeCell ref="H48:I48"/>
    <mergeCell ref="J48:K48"/>
    <mergeCell ref="B48:C48"/>
    <mergeCell ref="D48:E48"/>
    <mergeCell ref="F48:G48"/>
    <mergeCell ref="J47:K47"/>
    <mergeCell ref="D47:E47"/>
    <mergeCell ref="H46:I46"/>
    <mergeCell ref="L47:M47"/>
    <mergeCell ref="B47:C47"/>
    <mergeCell ref="F47:G47"/>
    <mergeCell ref="H45:I45"/>
    <mergeCell ref="H36:I36"/>
    <mergeCell ref="F38:G38"/>
    <mergeCell ref="H47:I47"/>
    <mergeCell ref="N43:O43"/>
    <mergeCell ref="J46:K46"/>
    <mergeCell ref="L46:M46"/>
    <mergeCell ref="N46:O46"/>
    <mergeCell ref="J45:K45"/>
    <mergeCell ref="L43:M43"/>
    <mergeCell ref="H43:I43"/>
    <mergeCell ref="N47:O47"/>
    <mergeCell ref="F36:G36"/>
    <mergeCell ref="H42:I42"/>
    <mergeCell ref="J42:K42"/>
    <mergeCell ref="L40:M40"/>
    <mergeCell ref="J37:K37"/>
    <mergeCell ref="J38:K38"/>
    <mergeCell ref="H38:I38"/>
    <mergeCell ref="H39:I39"/>
    <mergeCell ref="H37:I37"/>
    <mergeCell ref="L42:M42"/>
    <mergeCell ref="J36:K36"/>
    <mergeCell ref="L36:M36"/>
    <mergeCell ref="BA18:BD18"/>
    <mergeCell ref="AA12:AB12"/>
    <mergeCell ref="W18:X18"/>
    <mergeCell ref="AA16:AB16"/>
    <mergeCell ref="AN13:AO13"/>
    <mergeCell ref="AA15:AB15"/>
    <mergeCell ref="U17:V17"/>
    <mergeCell ref="L48:M48"/>
    <mergeCell ref="AN14:AO14"/>
    <mergeCell ref="U16:V16"/>
    <mergeCell ref="L17:M17"/>
    <mergeCell ref="N17:O17"/>
    <mergeCell ref="S18:T18"/>
    <mergeCell ref="Q16:R16"/>
    <mergeCell ref="N48:O48"/>
    <mergeCell ref="N35:O35"/>
    <mergeCell ref="L45:M45"/>
    <mergeCell ref="N45:O45"/>
    <mergeCell ref="N39:O39"/>
    <mergeCell ref="S14:T14"/>
    <mergeCell ref="U14:V14"/>
    <mergeCell ref="AL14:AM14"/>
    <mergeCell ref="Y14:Z14"/>
    <mergeCell ref="AA14:AB14"/>
  </mergeCells>
  <phoneticPr fontId="2" type="noConversion"/>
  <pageMargins left="0.59055118110236227" right="0.59055118110236227" top="0.39370078740157483" bottom="0.39370078740157483" header="0" footer="0"/>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indexed="22"/>
  </sheetPr>
  <dimension ref="A1:BK68"/>
  <sheetViews>
    <sheetView showGridLines="0" zoomScaleNormal="100" workbookViewId="0">
      <selection activeCell="BF17" sqref="BF17"/>
    </sheetView>
  </sheetViews>
  <sheetFormatPr baseColWidth="10" defaultRowHeight="13.2"/>
  <cols>
    <col min="1" max="2" width="4.6640625" customWidth="1"/>
    <col min="10" max="10" width="7.6640625" customWidth="1"/>
    <col min="11" max="11" width="4.6640625" customWidth="1"/>
    <col min="19" max="19" width="7.6640625" customWidth="1"/>
    <col min="20" max="20" width="4.6640625" customWidth="1"/>
    <col min="28" max="28" width="7.6640625" customWidth="1"/>
    <col min="29" max="29" width="4.6640625" customWidth="1"/>
    <col min="37" max="37" width="7.6640625" customWidth="1"/>
    <col min="38" max="38" width="4.6640625" customWidth="1"/>
    <col min="46" max="46" width="7.6640625" customWidth="1"/>
    <col min="47" max="47" width="4.6640625" customWidth="1"/>
    <col min="55" max="55" width="7.6640625" customWidth="1"/>
    <col min="56" max="56" width="4.6640625" customWidth="1"/>
  </cols>
  <sheetData>
    <row r="1" spans="2:63" ht="18" customHeight="1">
      <c r="B1" s="236"/>
      <c r="C1" s="236"/>
      <c r="D1" s="236"/>
      <c r="E1" s="236"/>
      <c r="F1" s="236"/>
      <c r="I1" s="182"/>
      <c r="K1" s="236"/>
      <c r="L1" s="236"/>
      <c r="M1" s="236"/>
      <c r="N1" s="236"/>
      <c r="O1" s="236"/>
      <c r="R1" s="182"/>
      <c r="T1" s="236"/>
      <c r="U1" s="236"/>
      <c r="V1" s="236"/>
      <c r="W1" s="236"/>
      <c r="X1" s="236"/>
      <c r="AA1" s="182"/>
      <c r="AC1" s="236"/>
      <c r="AD1" s="236"/>
      <c r="AE1" s="236"/>
      <c r="AF1" s="236"/>
      <c r="AG1" s="236"/>
      <c r="AJ1" s="182"/>
      <c r="AL1" s="236"/>
      <c r="AM1" s="236"/>
      <c r="AN1" s="236"/>
      <c r="AO1" s="236"/>
      <c r="AP1" s="236"/>
      <c r="AS1" s="182"/>
      <c r="AU1" s="236"/>
      <c r="AV1" s="236"/>
      <c r="AW1" s="236"/>
      <c r="AX1" s="236"/>
      <c r="AY1" s="236"/>
      <c r="BB1" s="182"/>
      <c r="BD1" s="236"/>
      <c r="BE1" s="236"/>
      <c r="BF1" s="236"/>
      <c r="BG1" s="236"/>
      <c r="BH1" s="236"/>
      <c r="BK1" s="182"/>
    </row>
    <row r="2" spans="2:63" ht="12.75" customHeight="1">
      <c r="I2" s="182"/>
      <c r="R2" s="182"/>
      <c r="AA2" s="182"/>
      <c r="AJ2" s="182"/>
      <c r="AS2" s="182"/>
      <c r="BB2" s="182"/>
      <c r="BK2" s="182"/>
    </row>
    <row r="3" spans="2:63" ht="18.75" customHeight="1">
      <c r="B3" s="236"/>
      <c r="C3" s="236"/>
      <c r="D3" s="236"/>
      <c r="E3" s="236"/>
      <c r="F3" s="236"/>
      <c r="I3" s="182"/>
      <c r="K3" s="236"/>
      <c r="L3" s="236"/>
      <c r="M3" s="236"/>
      <c r="N3" s="236"/>
      <c r="O3" s="236"/>
      <c r="R3" s="182"/>
      <c r="T3" s="236"/>
      <c r="U3" s="236"/>
      <c r="V3" s="236"/>
      <c r="W3" s="236"/>
      <c r="X3" s="236"/>
      <c r="AA3" s="182"/>
      <c r="AC3" s="236"/>
      <c r="AD3" s="236"/>
      <c r="AE3" s="236"/>
      <c r="AF3" s="236"/>
      <c r="AG3" s="236"/>
      <c r="AJ3" s="182"/>
      <c r="AL3" s="236"/>
      <c r="AM3" s="236"/>
      <c r="AN3" s="236"/>
      <c r="AO3" s="236"/>
      <c r="AP3" s="236"/>
      <c r="AS3" s="182"/>
      <c r="AU3" s="236"/>
      <c r="AV3" s="236"/>
      <c r="AW3" s="236"/>
      <c r="AX3" s="236"/>
      <c r="AY3" s="236"/>
      <c r="BB3" s="182"/>
      <c r="BD3" s="236"/>
      <c r="BE3" s="236"/>
      <c r="BF3" s="236"/>
      <c r="BG3" s="236"/>
      <c r="BH3" s="236"/>
      <c r="BK3" s="182"/>
    </row>
    <row r="4" spans="2:63" s="5" customFormat="1" ht="17.399999999999999">
      <c r="B4"/>
      <c r="C4" s="1"/>
      <c r="D4"/>
      <c r="E4"/>
      <c r="F4"/>
      <c r="G4"/>
      <c r="H4"/>
      <c r="I4" s="271" t="s">
        <v>213</v>
      </c>
      <c r="K4"/>
      <c r="L4" s="1"/>
      <c r="M4"/>
      <c r="N4"/>
      <c r="O4"/>
      <c r="P4"/>
      <c r="Q4"/>
      <c r="R4" s="271" t="s">
        <v>214</v>
      </c>
      <c r="T4"/>
      <c r="U4" s="1"/>
      <c r="V4"/>
      <c r="W4"/>
      <c r="X4"/>
      <c r="Y4"/>
      <c r="Z4"/>
      <c r="AA4" s="271" t="s">
        <v>402</v>
      </c>
      <c r="AC4"/>
      <c r="AD4" s="1"/>
      <c r="AE4"/>
      <c r="AF4"/>
      <c r="AG4"/>
      <c r="AH4"/>
      <c r="AI4"/>
      <c r="AJ4" s="271" t="s">
        <v>403</v>
      </c>
      <c r="AL4"/>
      <c r="AM4" s="1"/>
      <c r="AN4"/>
      <c r="AO4"/>
      <c r="AP4"/>
      <c r="AQ4"/>
      <c r="AR4"/>
      <c r="AS4" s="271" t="s">
        <v>404</v>
      </c>
      <c r="AU4"/>
      <c r="AV4" s="1"/>
      <c r="AW4"/>
      <c r="AX4"/>
      <c r="AY4"/>
      <c r="AZ4"/>
      <c r="BA4"/>
      <c r="BB4" s="271" t="s">
        <v>405</v>
      </c>
      <c r="BD4"/>
      <c r="BE4" s="1"/>
      <c r="BF4"/>
      <c r="BG4"/>
      <c r="BH4"/>
      <c r="BI4"/>
      <c r="BJ4"/>
      <c r="BK4" s="271" t="s">
        <v>213</v>
      </c>
    </row>
    <row r="5" spans="2:63" ht="12.75" customHeight="1">
      <c r="B5" s="179"/>
      <c r="C5" s="179"/>
      <c r="D5" s="179"/>
      <c r="E5" s="179"/>
      <c r="F5" s="179"/>
      <c r="I5" s="271"/>
      <c r="K5" s="179"/>
      <c r="L5" s="179"/>
      <c r="M5" s="179"/>
      <c r="N5" s="179"/>
      <c r="O5" s="179"/>
      <c r="R5" s="271"/>
      <c r="T5" s="179"/>
      <c r="U5" s="179"/>
      <c r="V5" s="179"/>
      <c r="W5" s="179"/>
      <c r="X5" s="179"/>
      <c r="AA5" s="271"/>
      <c r="AC5" s="179"/>
      <c r="AD5" s="179"/>
      <c r="AE5" s="179"/>
      <c r="AF5" s="179"/>
      <c r="AG5" s="179"/>
      <c r="AJ5" s="271"/>
      <c r="AL5" s="179"/>
      <c r="AM5" s="179"/>
      <c r="AN5" s="179"/>
      <c r="AO5" s="179"/>
      <c r="AP5" s="179"/>
      <c r="AS5" s="271"/>
      <c r="AU5" s="179"/>
      <c r="AV5" s="179"/>
      <c r="AW5" s="179"/>
      <c r="AX5" s="179"/>
      <c r="AY5" s="179"/>
      <c r="BB5" s="271"/>
      <c r="BD5" s="179"/>
      <c r="BE5" s="179"/>
      <c r="BF5" s="179"/>
      <c r="BG5" s="179"/>
      <c r="BH5" s="179"/>
      <c r="BK5" s="271"/>
    </row>
    <row r="7" spans="2:63" s="5" customFormat="1" ht="15" customHeight="1">
      <c r="B7"/>
      <c r="C7"/>
      <c r="D7"/>
      <c r="E7"/>
      <c r="F7"/>
      <c r="G7"/>
      <c r="H7"/>
      <c r="I7"/>
      <c r="K7"/>
      <c r="L7"/>
      <c r="M7"/>
      <c r="N7"/>
      <c r="O7"/>
      <c r="P7"/>
      <c r="Q7"/>
      <c r="R7"/>
      <c r="T7"/>
      <c r="U7"/>
      <c r="V7"/>
      <c r="W7"/>
      <c r="X7"/>
      <c r="Y7"/>
      <c r="Z7"/>
      <c r="AA7"/>
      <c r="AC7"/>
      <c r="AD7"/>
      <c r="AE7"/>
      <c r="AF7"/>
      <c r="AG7"/>
      <c r="AH7"/>
      <c r="AI7"/>
      <c r="AJ7"/>
      <c r="AL7"/>
      <c r="AM7"/>
      <c r="AN7"/>
      <c r="AO7"/>
      <c r="AP7"/>
      <c r="AQ7"/>
      <c r="AR7"/>
      <c r="AS7"/>
      <c r="AU7"/>
      <c r="AV7"/>
      <c r="AW7"/>
      <c r="AX7"/>
      <c r="AY7"/>
      <c r="AZ7"/>
      <c r="BA7"/>
      <c r="BB7"/>
      <c r="BD7"/>
      <c r="BE7"/>
      <c r="BF7"/>
      <c r="BG7"/>
      <c r="BH7"/>
      <c r="BI7"/>
      <c r="BJ7"/>
      <c r="BK7"/>
    </row>
    <row r="8" spans="2:63" ht="12.75" customHeight="1">
      <c r="B8" s="242" t="s">
        <v>172</v>
      </c>
      <c r="C8" s="242"/>
      <c r="D8" s="20" t="s">
        <v>101</v>
      </c>
      <c r="E8" s="20" t="s">
        <v>102</v>
      </c>
      <c r="F8" s="20" t="s">
        <v>103</v>
      </c>
      <c r="G8" s="20" t="s">
        <v>104</v>
      </c>
      <c r="H8" s="20" t="s">
        <v>105</v>
      </c>
      <c r="I8" s="20" t="s">
        <v>106</v>
      </c>
      <c r="K8" s="242" t="s">
        <v>172</v>
      </c>
      <c r="L8" s="242"/>
      <c r="M8" s="20" t="s">
        <v>107</v>
      </c>
      <c r="N8" s="20" t="s">
        <v>108</v>
      </c>
      <c r="O8" s="20" t="s">
        <v>109</v>
      </c>
      <c r="P8" s="20" t="s">
        <v>110</v>
      </c>
      <c r="Q8" s="20" t="s">
        <v>111</v>
      </c>
      <c r="R8" s="20" t="s">
        <v>112</v>
      </c>
      <c r="T8" s="242" t="s">
        <v>172</v>
      </c>
      <c r="U8" s="242"/>
      <c r="V8" s="20" t="s">
        <v>406</v>
      </c>
      <c r="W8" s="20" t="s">
        <v>407</v>
      </c>
      <c r="X8" s="20" t="s">
        <v>408</v>
      </c>
      <c r="Y8" s="20" t="s">
        <v>409</v>
      </c>
      <c r="Z8" s="20" t="s">
        <v>410</v>
      </c>
      <c r="AA8" s="20" t="s">
        <v>411</v>
      </c>
      <c r="AC8" s="242" t="s">
        <v>172</v>
      </c>
      <c r="AD8" s="242"/>
      <c r="AE8" s="20" t="s">
        <v>412</v>
      </c>
      <c r="AF8" s="20" t="s">
        <v>413</v>
      </c>
      <c r="AG8" s="20" t="s">
        <v>414</v>
      </c>
      <c r="AH8" s="20" t="s">
        <v>415</v>
      </c>
      <c r="AI8" s="20" t="s">
        <v>416</v>
      </c>
      <c r="AJ8" s="20" t="s">
        <v>417</v>
      </c>
      <c r="AL8" s="242" t="s">
        <v>172</v>
      </c>
      <c r="AM8" s="242"/>
      <c r="AN8" s="20" t="s">
        <v>418</v>
      </c>
      <c r="AO8" s="20" t="s">
        <v>419</v>
      </c>
      <c r="AP8" s="20" t="s">
        <v>420</v>
      </c>
      <c r="AQ8" s="20" t="s">
        <v>421</v>
      </c>
      <c r="AR8" s="20" t="s">
        <v>422</v>
      </c>
      <c r="AS8" s="20" t="s">
        <v>423</v>
      </c>
      <c r="AU8" s="242" t="s">
        <v>172</v>
      </c>
      <c r="AV8" s="242"/>
      <c r="AW8" s="20" t="s">
        <v>424</v>
      </c>
      <c r="AX8" s="20" t="s">
        <v>425</v>
      </c>
      <c r="AY8" s="20" t="s">
        <v>426</v>
      </c>
      <c r="AZ8" s="20" t="s">
        <v>427</v>
      </c>
      <c r="BA8" s="20" t="s">
        <v>428</v>
      </c>
      <c r="BB8" s="20" t="s">
        <v>429</v>
      </c>
      <c r="BD8" s="242" t="s">
        <v>172</v>
      </c>
      <c r="BE8" s="242"/>
      <c r="BF8" s="20" t="s">
        <v>398</v>
      </c>
      <c r="BG8" s="20" t="s">
        <v>400</v>
      </c>
      <c r="BH8" s="20" t="s">
        <v>401</v>
      </c>
      <c r="BI8" s="32"/>
      <c r="BJ8" s="32"/>
      <c r="BK8" s="32"/>
    </row>
    <row r="9" spans="2:63">
      <c r="C9" s="9"/>
      <c r="D9" s="32"/>
      <c r="E9" s="32"/>
      <c r="F9" s="32"/>
      <c r="G9" s="32"/>
      <c r="H9" s="32"/>
      <c r="I9" s="32"/>
      <c r="P9" s="9"/>
      <c r="Q9" s="9"/>
      <c r="R9" s="9"/>
      <c r="U9" s="9"/>
      <c r="V9" s="32"/>
      <c r="W9" s="32"/>
      <c r="X9" s="32"/>
      <c r="Y9" s="32"/>
      <c r="Z9" s="32"/>
      <c r="AA9" s="32"/>
      <c r="AH9" s="9"/>
      <c r="AI9" s="9"/>
      <c r="AJ9" s="9"/>
      <c r="AM9" s="9"/>
      <c r="AN9" s="32"/>
      <c r="AO9" s="32"/>
      <c r="AP9" s="32"/>
      <c r="AQ9" s="32"/>
      <c r="AR9" s="32"/>
      <c r="AS9" s="32"/>
      <c r="AZ9" s="9"/>
      <c r="BA9" s="9"/>
      <c r="BB9" s="9"/>
      <c r="BI9" s="9"/>
      <c r="BJ9" s="9"/>
      <c r="BK9" s="9"/>
    </row>
    <row r="10" spans="2:63" ht="12.75" customHeight="1">
      <c r="B10" s="241" t="s">
        <v>173</v>
      </c>
      <c r="C10" s="241"/>
      <c r="D10" s="17">
        <f>'6. PEF2-3. INVERS. Y FINANC.'!F39</f>
        <v>15314</v>
      </c>
      <c r="E10" s="17">
        <f>+D38</f>
        <v>14451.094158899727</v>
      </c>
      <c r="F10" s="17">
        <f t="shared" ref="F10:I10" si="0">+E38</f>
        <v>15588.188317799453</v>
      </c>
      <c r="G10" s="17">
        <f t="shared" si="0"/>
        <v>16819.78247669918</v>
      </c>
      <c r="H10" s="17">
        <f t="shared" si="0"/>
        <v>22051.376635598906</v>
      </c>
      <c r="I10" s="17">
        <f t="shared" si="0"/>
        <v>25377.470794498633</v>
      </c>
      <c r="K10" s="241" t="s">
        <v>173</v>
      </c>
      <c r="L10" s="241"/>
      <c r="M10" s="17">
        <f>+I38</f>
        <v>21703.56495339836</v>
      </c>
      <c r="N10" s="17">
        <f>+M38</f>
        <v>18029.659112298086</v>
      </c>
      <c r="O10" s="17">
        <f t="shared" ref="O10:R10" si="1">+N38</f>
        <v>14666.753271197813</v>
      </c>
      <c r="P10" s="17">
        <f t="shared" si="1"/>
        <v>15992.847430097539</v>
      </c>
      <c r="Q10" s="17">
        <f t="shared" si="1"/>
        <v>15007.941588997266</v>
      </c>
      <c r="R10" s="17">
        <f t="shared" si="1"/>
        <v>18523.035747896993</v>
      </c>
      <c r="T10" s="241" t="s">
        <v>173</v>
      </c>
      <c r="U10" s="241"/>
      <c r="V10" s="17">
        <f>+R38</f>
        <v>17699.629906796719</v>
      </c>
      <c r="W10" s="17">
        <f>+V38</f>
        <v>12735.162924528942</v>
      </c>
      <c r="X10" s="17">
        <f t="shared" ref="X10:AA10" si="2">+W38</f>
        <v>15224.03208342867</v>
      </c>
      <c r="Y10" s="17">
        <f t="shared" si="2"/>
        <v>17826.301242328394</v>
      </c>
      <c r="Z10" s="17">
        <f t="shared" si="2"/>
        <v>25228.57040122812</v>
      </c>
      <c r="AA10" s="17">
        <f t="shared" si="2"/>
        <v>30344.239560127848</v>
      </c>
      <c r="AC10" s="241" t="s">
        <v>173</v>
      </c>
      <c r="AD10" s="241"/>
      <c r="AE10" s="17">
        <f>+AA38</f>
        <v>27059.908719027575</v>
      </c>
      <c r="AF10" s="17">
        <f>+AE38</f>
        <v>23775.577877927302</v>
      </c>
      <c r="AG10" s="17">
        <f t="shared" ref="AG10:AJ10" si="3">+AF38</f>
        <v>20864.447036827027</v>
      </c>
      <c r="AH10" s="17">
        <f t="shared" si="3"/>
        <v>23580.116195726754</v>
      </c>
      <c r="AI10" s="17">
        <f t="shared" si="3"/>
        <v>23522.585354626481</v>
      </c>
      <c r="AJ10" s="17">
        <f t="shared" si="3"/>
        <v>28865.054513526211</v>
      </c>
      <c r="AL10" s="241" t="s">
        <v>173</v>
      </c>
      <c r="AM10" s="241"/>
      <c r="AN10" s="17">
        <f>+AJ38</f>
        <v>29001.323672425933</v>
      </c>
      <c r="AO10" s="17">
        <f>+AN38</f>
        <v>22843.752006314066</v>
      </c>
      <c r="AP10" s="17">
        <f t="shared" ref="AP10:AS10" si="4">+AO38</f>
        <v>25924.751165213798</v>
      </c>
      <c r="AQ10" s="17">
        <f t="shared" si="4"/>
        <v>29141.830324113525</v>
      </c>
      <c r="AR10" s="17">
        <f t="shared" si="4"/>
        <v>38118.909483013253</v>
      </c>
      <c r="AS10" s="17">
        <f t="shared" si="4"/>
        <v>44352.068641912978</v>
      </c>
      <c r="AU10" s="241" t="s">
        <v>173</v>
      </c>
      <c r="AV10" s="241"/>
      <c r="AW10" s="17">
        <f>+AS38</f>
        <v>40505.227800812703</v>
      </c>
      <c r="AX10" s="17">
        <f>+AW38</f>
        <v>36658.386959712429</v>
      </c>
      <c r="AY10" s="17">
        <f t="shared" ref="AY10:BB10" si="5">+AX38</f>
        <v>33259.386118612158</v>
      </c>
      <c r="AZ10" s="17">
        <f t="shared" si="5"/>
        <v>36612.545277511883</v>
      </c>
      <c r="BA10" s="17">
        <f t="shared" si="5"/>
        <v>36637.864436411604</v>
      </c>
      <c r="BB10" s="17">
        <f t="shared" si="5"/>
        <v>43143.183595311333</v>
      </c>
      <c r="BD10" s="241" t="s">
        <v>173</v>
      </c>
      <c r="BE10" s="241"/>
      <c r="BF10" s="17">
        <f>D10</f>
        <v>15314</v>
      </c>
      <c r="BG10" s="17">
        <f>BF17-BF37</f>
        <v>17699.629906796719</v>
      </c>
      <c r="BH10" s="17">
        <f>BG17-BG37</f>
        <v>29001.323672425962</v>
      </c>
      <c r="BI10" s="3"/>
      <c r="BJ10" s="3"/>
      <c r="BK10" s="3"/>
    </row>
    <row r="11" spans="2:63" ht="12.75" customHeight="1">
      <c r="B11" s="269" t="s">
        <v>51</v>
      </c>
      <c r="C11" s="270"/>
      <c r="D11" s="26">
        <f>'6. PEF1. PLAN COMERCIAL'!D10</f>
        <v>5000</v>
      </c>
      <c r="E11" s="26">
        <f>'6. PEF1. PLAN COMERCIAL'!E10</f>
        <v>8000</v>
      </c>
      <c r="F11" s="26">
        <f>'6. PEF1. PLAN COMERCIAL'!F10</f>
        <v>10000</v>
      </c>
      <c r="G11" s="26">
        <f>'6. PEF1. PLAN COMERCIAL'!G10</f>
        <v>15000</v>
      </c>
      <c r="H11" s="26">
        <f>'6. PEF1. PLAN COMERCIAL'!H10</f>
        <v>12000</v>
      </c>
      <c r="I11" s="26">
        <f>'6. PEF1. PLAN COMERCIAL'!I10</f>
        <v>3000</v>
      </c>
      <c r="K11" s="269" t="s">
        <v>51</v>
      </c>
      <c r="L11" s="270"/>
      <c r="M11" s="26">
        <f>'6. PEF1. PLAN COMERCIAL'!D12</f>
        <v>3000</v>
      </c>
      <c r="N11" s="26">
        <f>'6. PEF1. PLAN COMERCIAL'!E12</f>
        <v>2000</v>
      </c>
      <c r="O11" s="26">
        <f>'6. PEF1. PLAN COMERCIAL'!F12</f>
        <v>8000</v>
      </c>
      <c r="P11" s="26">
        <f>'6. PEF1. PLAN COMERCIAL'!G12</f>
        <v>5000</v>
      </c>
      <c r="Q11" s="26">
        <f>'6. PEF1. PLAN COMERCIAL'!H12</f>
        <v>12000</v>
      </c>
      <c r="R11" s="26">
        <f>'6. PEF1. PLAN COMERCIAL'!I12</f>
        <v>4500</v>
      </c>
      <c r="T11" s="269" t="s">
        <v>51</v>
      </c>
      <c r="U11" s="270"/>
      <c r="V11" s="26">
        <f>D11*(1+'6. PEF1. PLAN COMERCIAL'!$F$28)</f>
        <v>6000</v>
      </c>
      <c r="W11" s="26">
        <f>E11*(1+'6. PEF1. PLAN COMERCIAL'!$F$28)</f>
        <v>9600</v>
      </c>
      <c r="X11" s="26">
        <f>F11*(1+'6. PEF1. PLAN COMERCIAL'!$F$28)</f>
        <v>12000</v>
      </c>
      <c r="Y11" s="26">
        <f>G11*(1+'6. PEF1. PLAN COMERCIAL'!$F$28)</f>
        <v>18000</v>
      </c>
      <c r="Z11" s="26">
        <f>H11*(1+'6. PEF1. PLAN COMERCIAL'!$F$28)</f>
        <v>14400</v>
      </c>
      <c r="AA11" s="26">
        <f>I11*(1+'6. PEF1. PLAN COMERCIAL'!$F$28)</f>
        <v>3600</v>
      </c>
      <c r="AC11" s="269" t="s">
        <v>51</v>
      </c>
      <c r="AD11" s="270"/>
      <c r="AE11" s="26">
        <f>M11*(1+'6. PEF1. PLAN COMERCIAL'!$F$28)</f>
        <v>3600</v>
      </c>
      <c r="AF11" s="26">
        <f>N11*(1+'6. PEF1. PLAN COMERCIAL'!$F$28)</f>
        <v>2400</v>
      </c>
      <c r="AG11" s="26">
        <f>O11*(1+'6. PEF1. PLAN COMERCIAL'!$F$28)</f>
        <v>9600</v>
      </c>
      <c r="AH11" s="26">
        <f>P11*(1+'6. PEF1. PLAN COMERCIAL'!$F$28)</f>
        <v>6000</v>
      </c>
      <c r="AI11" s="26">
        <f>Q11*(1+'6. PEF1. PLAN COMERCIAL'!$F$28)</f>
        <v>14400</v>
      </c>
      <c r="AJ11" s="26">
        <f>R11*(1+'6. PEF1. PLAN COMERCIAL'!$F$28)</f>
        <v>5400</v>
      </c>
      <c r="AL11" s="269" t="s">
        <v>51</v>
      </c>
      <c r="AM11" s="270"/>
      <c r="AN11" s="26">
        <f>V11*(1+'6. PEF1. PLAN COMERCIAL'!$F$28)</f>
        <v>7200</v>
      </c>
      <c r="AO11" s="26">
        <f>W11*(1+'6. PEF1. PLAN COMERCIAL'!$F$28)</f>
        <v>11520</v>
      </c>
      <c r="AP11" s="26">
        <f>X11*(1+'6. PEF1. PLAN COMERCIAL'!$F$28)</f>
        <v>14400</v>
      </c>
      <c r="AQ11" s="26">
        <f>Y11*(1+'6. PEF1. PLAN COMERCIAL'!$F$28)</f>
        <v>21600</v>
      </c>
      <c r="AR11" s="26">
        <f>Z11*(1+'6. PEF1. PLAN COMERCIAL'!$F$28)</f>
        <v>17280</v>
      </c>
      <c r="AS11" s="26">
        <f>AA11*(1+'6. PEF1. PLAN COMERCIAL'!$F$28)</f>
        <v>4320</v>
      </c>
      <c r="AU11" s="269" t="s">
        <v>51</v>
      </c>
      <c r="AV11" s="270"/>
      <c r="AW11" s="26">
        <f>AE11*(1+'6. PEF1. PLAN COMERCIAL'!$F$28)</f>
        <v>4320</v>
      </c>
      <c r="AX11" s="26">
        <f>AF11*(1+'6. PEF1. PLAN COMERCIAL'!$F$28)</f>
        <v>2880</v>
      </c>
      <c r="AY11" s="26">
        <f>AG11*(1+'6. PEF1. PLAN COMERCIAL'!$F$28)</f>
        <v>11520</v>
      </c>
      <c r="AZ11" s="26">
        <f>AH11*(1+'6. PEF1. PLAN COMERCIAL'!$F$28)</f>
        <v>7200</v>
      </c>
      <c r="BA11" s="26">
        <f>AI11*(1+'6. PEF1. PLAN COMERCIAL'!$F$28)</f>
        <v>17280</v>
      </c>
      <c r="BB11" s="26">
        <f>AJ11*(1+'6. PEF1. PLAN COMERCIAL'!$F$28)</f>
        <v>6480</v>
      </c>
      <c r="BD11" s="269" t="s">
        <v>51</v>
      </c>
      <c r="BE11" s="270"/>
      <c r="BF11" s="26">
        <f>SUM(D11:I11)+SUM(M11:R11)</f>
        <v>87500</v>
      </c>
      <c r="BG11" s="26">
        <f>SUM(V11:AA11)+SUM(AE11:AJ11)</f>
        <v>105000</v>
      </c>
      <c r="BH11" s="26">
        <f>SUM(AN11:AS11)+SUM(AW11:BB11)</f>
        <v>126000</v>
      </c>
      <c r="BI11" s="2"/>
      <c r="BJ11" s="2"/>
      <c r="BK11" s="2"/>
    </row>
    <row r="12" spans="2:63" ht="12.75" customHeight="1">
      <c r="B12" s="307" t="s">
        <v>327</v>
      </c>
      <c r="C12" s="308"/>
      <c r="D12" s="55">
        <f>'6. PEF7. IVA'!D15</f>
        <v>0</v>
      </c>
      <c r="E12" s="55">
        <f>'6. PEF7. IVA'!F15</f>
        <v>0</v>
      </c>
      <c r="F12" s="55">
        <f>'6. PEF7. IVA'!H15</f>
        <v>0</v>
      </c>
      <c r="G12" s="55">
        <f>'6. PEF7. IVA'!J15</f>
        <v>0</v>
      </c>
      <c r="H12" s="55">
        <f>'6. PEF7. IVA'!L15</f>
        <v>0</v>
      </c>
      <c r="I12" s="55">
        <f>'6. PEF7. IVA'!N15</f>
        <v>0</v>
      </c>
      <c r="K12" s="307" t="s">
        <v>327</v>
      </c>
      <c r="L12" s="308"/>
      <c r="M12" s="55">
        <f>'6. PEF7. IVA'!D25</f>
        <v>0</v>
      </c>
      <c r="N12" s="55">
        <f>'6. PEF7. IVA'!F25</f>
        <v>0</v>
      </c>
      <c r="O12" s="55">
        <f>'6. PEF7. IVA'!H25</f>
        <v>0</v>
      </c>
      <c r="P12" s="55">
        <f>'6. PEF7. IVA'!J25</f>
        <v>0</v>
      </c>
      <c r="Q12" s="55">
        <f>'6. PEF7. IVA'!L25</f>
        <v>0</v>
      </c>
      <c r="R12" s="55">
        <f>'6. PEF7. IVA'!N25</f>
        <v>0</v>
      </c>
      <c r="T12" s="307" t="s">
        <v>327</v>
      </c>
      <c r="U12" s="308"/>
      <c r="V12" s="55">
        <f>'6. PEF7. IVA'!S15</f>
        <v>0</v>
      </c>
      <c r="W12" s="55">
        <f>'6. PEF7. IVA'!U15</f>
        <v>0</v>
      </c>
      <c r="X12" s="55">
        <f>'6. PEF7. IVA'!W15</f>
        <v>0</v>
      </c>
      <c r="Y12" s="55">
        <f>'6. PEF7. IVA'!Y15</f>
        <v>0</v>
      </c>
      <c r="Z12" s="55">
        <f>'6. PEF7. IVA'!AA15</f>
        <v>0</v>
      </c>
      <c r="AA12" s="55">
        <f>'6. PEF7. IVA'!AC15</f>
        <v>0</v>
      </c>
      <c r="AC12" s="307" t="s">
        <v>327</v>
      </c>
      <c r="AD12" s="308"/>
      <c r="AE12" s="55">
        <f>'6. PEF7. IVA'!S25</f>
        <v>0</v>
      </c>
      <c r="AF12" s="55">
        <f>'6. PEF7. IVA'!U25</f>
        <v>0</v>
      </c>
      <c r="AG12" s="55">
        <f>'6. PEF7. IVA'!W25</f>
        <v>0</v>
      </c>
      <c r="AH12" s="55">
        <f>'6. PEF7. IVA'!Y25</f>
        <v>0</v>
      </c>
      <c r="AI12" s="55">
        <f>'6. PEF7. IVA'!AA25</f>
        <v>0</v>
      </c>
      <c r="AJ12" s="55">
        <f>'6. PEF7. IVA'!AC25</f>
        <v>0</v>
      </c>
      <c r="AL12" s="307" t="s">
        <v>327</v>
      </c>
      <c r="AM12" s="308"/>
      <c r="AN12" s="55">
        <f>'6. PEF7. IVA'!AH15</f>
        <v>0</v>
      </c>
      <c r="AO12" s="55">
        <f>'6. PEF7. IVA'!AJ15</f>
        <v>0</v>
      </c>
      <c r="AP12" s="55">
        <f>'6. PEF7. IVA'!AL15</f>
        <v>0</v>
      </c>
      <c r="AQ12" s="55">
        <f>'6. PEF7. IVA'!AN15</f>
        <v>0</v>
      </c>
      <c r="AR12" s="55">
        <f>'6. PEF7. IVA'!AP15</f>
        <v>0</v>
      </c>
      <c r="AS12" s="55">
        <f>'6. PEF7. IVA'!AR15</f>
        <v>0</v>
      </c>
      <c r="AU12" s="307" t="s">
        <v>327</v>
      </c>
      <c r="AV12" s="308"/>
      <c r="AW12" s="55">
        <f>'6. PEF7. IVA'!AH25</f>
        <v>0</v>
      </c>
      <c r="AX12" s="55">
        <f>'6. PEF7. IVA'!AJ25</f>
        <v>0</v>
      </c>
      <c r="AY12" s="55">
        <f>'6. PEF7. IVA'!AL25</f>
        <v>0</v>
      </c>
      <c r="AZ12" s="55">
        <f>'6. PEF7. IVA'!AN25</f>
        <v>0</v>
      </c>
      <c r="BA12" s="55">
        <f>'6. PEF7. IVA'!AP25</f>
        <v>0</v>
      </c>
      <c r="BB12" s="55">
        <f>'6. PEF7. IVA'!AR25</f>
        <v>0</v>
      </c>
      <c r="BD12" s="307" t="s">
        <v>327</v>
      </c>
      <c r="BE12" s="308"/>
      <c r="BF12" s="55">
        <f>SUM(D12:I12)+SUM(M12:R12)</f>
        <v>0</v>
      </c>
      <c r="BG12" s="55">
        <f>SUM(V12:AA12)+SUM(AE12:AJ12)</f>
        <v>0</v>
      </c>
      <c r="BH12" s="55">
        <f>SUM(AN12:AS12)+SUM(AW12:BB12)</f>
        <v>0</v>
      </c>
      <c r="BI12" s="58"/>
      <c r="BJ12" s="58"/>
      <c r="BK12" s="58"/>
    </row>
    <row r="13" spans="2:63" ht="12.75" customHeight="1">
      <c r="B13" s="309" t="s">
        <v>328</v>
      </c>
      <c r="C13" s="310"/>
      <c r="D13" s="55">
        <f>'6. PEF7. IVA'!D17</f>
        <v>0</v>
      </c>
      <c r="E13" s="55">
        <f>'6. PEF7. IVA'!F17</f>
        <v>0</v>
      </c>
      <c r="F13" s="55">
        <f>'6. PEF7. IVA'!H17</f>
        <v>0</v>
      </c>
      <c r="G13" s="55">
        <f>'6. PEF7. IVA'!J17</f>
        <v>0</v>
      </c>
      <c r="H13" s="55">
        <f>'6. PEF7. IVA'!L17</f>
        <v>0</v>
      </c>
      <c r="I13" s="55">
        <f>'6. PEF7. IVA'!N17</f>
        <v>0</v>
      </c>
      <c r="K13" s="309" t="s">
        <v>328</v>
      </c>
      <c r="L13" s="310"/>
      <c r="M13" s="55">
        <f>'6. PEF7. IVA'!D27</f>
        <v>0</v>
      </c>
      <c r="N13" s="55">
        <f>'6. PEF7. IVA'!F27</f>
        <v>0</v>
      </c>
      <c r="O13" s="55">
        <f>'6. PEF7. IVA'!H27</f>
        <v>0</v>
      </c>
      <c r="P13" s="55">
        <f>'6. PEF7. IVA'!J27</f>
        <v>0</v>
      </c>
      <c r="Q13" s="55">
        <f>'6. PEF7. IVA'!L27</f>
        <v>0</v>
      </c>
      <c r="R13" s="55">
        <f>'6. PEF7. IVA'!N27</f>
        <v>0</v>
      </c>
      <c r="T13" s="309" t="s">
        <v>328</v>
      </c>
      <c r="U13" s="310"/>
      <c r="V13" s="55">
        <f>'6. PEF7. IVA'!S17</f>
        <v>0</v>
      </c>
      <c r="W13" s="55">
        <f>'6. PEF7. IVA'!U17</f>
        <v>0</v>
      </c>
      <c r="X13" s="55">
        <f>'6. PEF7. IVA'!W17</f>
        <v>0</v>
      </c>
      <c r="Y13" s="55">
        <f>'6. PEF7. IVA'!Y17</f>
        <v>0</v>
      </c>
      <c r="Z13" s="55">
        <f>'6. PEF7. IVA'!AA17</f>
        <v>0</v>
      </c>
      <c r="AA13" s="55">
        <f>'6. PEF7. IVA'!AC17</f>
        <v>0</v>
      </c>
      <c r="AC13" s="309" t="s">
        <v>328</v>
      </c>
      <c r="AD13" s="310"/>
      <c r="AE13" s="55">
        <f>'6. PEF7. IVA'!S27</f>
        <v>0</v>
      </c>
      <c r="AF13" s="55">
        <f>'6. PEF7. IVA'!U27</f>
        <v>0</v>
      </c>
      <c r="AG13" s="55">
        <f>'6. PEF7. IVA'!W27</f>
        <v>0</v>
      </c>
      <c r="AH13" s="55">
        <f>'6. PEF7. IVA'!Y27</f>
        <v>0</v>
      </c>
      <c r="AI13" s="55">
        <f>'6. PEF7. IVA'!AA27</f>
        <v>0</v>
      </c>
      <c r="AJ13" s="55">
        <f>'6. PEF7. IVA'!AC27</f>
        <v>0</v>
      </c>
      <c r="AL13" s="309" t="s">
        <v>328</v>
      </c>
      <c r="AM13" s="310"/>
      <c r="AN13" s="55">
        <f>'6. PEF7. IVA'!AH17</f>
        <v>0</v>
      </c>
      <c r="AO13" s="55">
        <f>'6. PEF7. IVA'!AJ17</f>
        <v>0</v>
      </c>
      <c r="AP13" s="55">
        <f>'6. PEF7. IVA'!AL17</f>
        <v>0</v>
      </c>
      <c r="AQ13" s="55">
        <f>'6. PEF7. IVA'!AN17</f>
        <v>0</v>
      </c>
      <c r="AR13" s="55">
        <f>'6. PEF7. IVA'!AP17</f>
        <v>0</v>
      </c>
      <c r="AS13" s="55">
        <f>'6. PEF7. IVA'!AR17</f>
        <v>0</v>
      </c>
      <c r="AU13" s="309" t="s">
        <v>328</v>
      </c>
      <c r="AV13" s="310"/>
      <c r="AW13" s="55">
        <f>'6. PEF7. IVA'!AH27</f>
        <v>0</v>
      </c>
      <c r="AX13" s="55">
        <f>'6. PEF7. IVA'!AJ27</f>
        <v>0</v>
      </c>
      <c r="AY13" s="55">
        <f>'6. PEF7. IVA'!AL27</f>
        <v>0</v>
      </c>
      <c r="AZ13" s="55">
        <f>'6. PEF7. IVA'!AN27</f>
        <v>0</v>
      </c>
      <c r="BA13" s="55">
        <f>'6. PEF7. IVA'!AP27</f>
        <v>0</v>
      </c>
      <c r="BB13" s="55">
        <f>'6. PEF7. IVA'!AR27</f>
        <v>0</v>
      </c>
      <c r="BD13" s="309" t="s">
        <v>328</v>
      </c>
      <c r="BE13" s="310"/>
      <c r="BF13" s="55">
        <f>SUM(D13:I13)+SUM(M13:R13)</f>
        <v>0</v>
      </c>
      <c r="BG13" s="55">
        <f>SUM(V13:AA13)+SUM(AE13:AJ13)</f>
        <v>0</v>
      </c>
      <c r="BH13" s="55">
        <f>SUM(AN13:AS13)+SUM(AW13:BB13)</f>
        <v>0</v>
      </c>
      <c r="BI13" s="58"/>
      <c r="BJ13" s="58"/>
      <c r="BK13" s="58"/>
    </row>
    <row r="14" spans="2:63" ht="12.75" customHeight="1">
      <c r="B14" s="311" t="s">
        <v>329</v>
      </c>
      <c r="C14" s="312"/>
      <c r="D14" s="55">
        <f>'6. PEF7. IVA'!D19</f>
        <v>420</v>
      </c>
      <c r="E14" s="55">
        <f>'6. PEF7. IVA'!F19</f>
        <v>420</v>
      </c>
      <c r="F14" s="55">
        <f>'6. PEF7. IVA'!H19</f>
        <v>525</v>
      </c>
      <c r="G14" s="55">
        <f>'6. PEF7. IVA'!J19</f>
        <v>525</v>
      </c>
      <c r="H14" s="55">
        <f>'6. PEF7. IVA'!L19</f>
        <v>630</v>
      </c>
      <c r="I14" s="55">
        <f>'6. PEF7. IVA'!N19</f>
        <v>630</v>
      </c>
      <c r="K14" s="311" t="s">
        <v>329</v>
      </c>
      <c r="L14" s="312"/>
      <c r="M14" s="55">
        <f>'6. PEF7. IVA'!D29</f>
        <v>630</v>
      </c>
      <c r="N14" s="55">
        <f>'6. PEF7. IVA'!F29</f>
        <v>420</v>
      </c>
      <c r="O14" s="55">
        <f>'6. PEF7. IVA'!H29</f>
        <v>630</v>
      </c>
      <c r="P14" s="55">
        <f>'6. PEF7. IVA'!J29</f>
        <v>840</v>
      </c>
      <c r="Q14" s="55">
        <f>'6. PEF7. IVA'!L29</f>
        <v>840</v>
      </c>
      <c r="R14" s="55">
        <f>'6. PEF7. IVA'!N29</f>
        <v>945</v>
      </c>
      <c r="T14" s="311" t="s">
        <v>329</v>
      </c>
      <c r="U14" s="312"/>
      <c r="V14" s="55">
        <f>'6. PEF7. IVA'!S19</f>
        <v>504</v>
      </c>
      <c r="W14" s="55">
        <f>'6. PEF7. IVA'!U19</f>
        <v>504</v>
      </c>
      <c r="X14" s="55">
        <f>'6. PEF7. IVA'!W19</f>
        <v>630</v>
      </c>
      <c r="Y14" s="55">
        <f>'6. PEF7. IVA'!Y19</f>
        <v>630</v>
      </c>
      <c r="Z14" s="55">
        <f>'6. PEF7. IVA'!AA19</f>
        <v>756</v>
      </c>
      <c r="AA14" s="55">
        <f>'6. PEF7. IVA'!AC19</f>
        <v>756</v>
      </c>
      <c r="AC14" s="311" t="s">
        <v>329</v>
      </c>
      <c r="AD14" s="312"/>
      <c r="AE14" s="55">
        <f>'6. PEF7. IVA'!S29</f>
        <v>756</v>
      </c>
      <c r="AF14" s="55">
        <f>'6. PEF7. IVA'!U29</f>
        <v>504</v>
      </c>
      <c r="AG14" s="55">
        <f>'6. PEF7. IVA'!W29</f>
        <v>756</v>
      </c>
      <c r="AH14" s="55">
        <f>'6. PEF7. IVA'!Y29</f>
        <v>1008</v>
      </c>
      <c r="AI14" s="55">
        <f>'6. PEF7. IVA'!AA29</f>
        <v>1008</v>
      </c>
      <c r="AJ14" s="55">
        <f>'6. PEF7. IVA'!AC29</f>
        <v>1134</v>
      </c>
      <c r="AL14" s="311" t="s">
        <v>329</v>
      </c>
      <c r="AM14" s="312"/>
      <c r="AN14" s="55">
        <f>'6. PEF7. IVA'!AH19</f>
        <v>604.79999999999995</v>
      </c>
      <c r="AO14" s="55">
        <f>'6. PEF7. IVA'!AJ19</f>
        <v>604.79999999999995</v>
      </c>
      <c r="AP14" s="55">
        <f>'6. PEF7. IVA'!AL19</f>
        <v>756</v>
      </c>
      <c r="AQ14" s="55">
        <f>'6. PEF7. IVA'!AN19</f>
        <v>756</v>
      </c>
      <c r="AR14" s="55">
        <f>'6. PEF7. IVA'!AP19</f>
        <v>907.19999999999993</v>
      </c>
      <c r="AS14" s="55">
        <f>'6. PEF7. IVA'!AR19</f>
        <v>907.19999999999993</v>
      </c>
      <c r="AU14" s="311" t="s">
        <v>329</v>
      </c>
      <c r="AV14" s="312"/>
      <c r="AW14" s="55">
        <f>'6. PEF7. IVA'!AH29</f>
        <v>907.19999999999993</v>
      </c>
      <c r="AX14" s="55">
        <f>'6. PEF7. IVA'!AJ29</f>
        <v>604.79999999999995</v>
      </c>
      <c r="AY14" s="55">
        <f>'6. PEF7. IVA'!AL29</f>
        <v>907.19999999999993</v>
      </c>
      <c r="AZ14" s="55">
        <f>'6. PEF7. IVA'!AN29</f>
        <v>1209.5999999999999</v>
      </c>
      <c r="BA14" s="55">
        <f>'6. PEF7. IVA'!AP29</f>
        <v>1209.5999999999999</v>
      </c>
      <c r="BB14" s="55">
        <f>'6. PEF7. IVA'!AR29</f>
        <v>1360.8</v>
      </c>
      <c r="BD14" s="311" t="s">
        <v>329</v>
      </c>
      <c r="BE14" s="312"/>
      <c r="BF14" s="55">
        <f>SUM(D14:I14)+SUM(M14:R14)</f>
        <v>7455</v>
      </c>
      <c r="BG14" s="55">
        <f>SUM(V14:AA14)+SUM(AE14:AJ14)</f>
        <v>8946</v>
      </c>
      <c r="BH14" s="55">
        <f>SUM(AN14:AS14)+SUM(AW14:BB14)</f>
        <v>10735.2</v>
      </c>
      <c r="BI14" s="58"/>
      <c r="BJ14" s="58"/>
      <c r="BK14" s="58"/>
    </row>
    <row r="15" spans="2:63" ht="12.75" customHeight="1">
      <c r="B15" s="269" t="s">
        <v>217</v>
      </c>
      <c r="C15" s="270"/>
      <c r="D15" s="26">
        <f t="shared" ref="D15:I15" si="6">SUM(D12:D14)</f>
        <v>420</v>
      </c>
      <c r="E15" s="26">
        <f t="shared" si="6"/>
        <v>420</v>
      </c>
      <c r="F15" s="26">
        <f t="shared" si="6"/>
        <v>525</v>
      </c>
      <c r="G15" s="26">
        <f t="shared" si="6"/>
        <v>525</v>
      </c>
      <c r="H15" s="26">
        <f t="shared" si="6"/>
        <v>630</v>
      </c>
      <c r="I15" s="26">
        <f t="shared" si="6"/>
        <v>630</v>
      </c>
      <c r="K15" s="269" t="s">
        <v>217</v>
      </c>
      <c r="L15" s="270"/>
      <c r="M15" s="26">
        <f t="shared" ref="M15:R15" si="7">SUM(M12:M14)</f>
        <v>630</v>
      </c>
      <c r="N15" s="26">
        <f t="shared" si="7"/>
        <v>420</v>
      </c>
      <c r="O15" s="26">
        <f t="shared" si="7"/>
        <v>630</v>
      </c>
      <c r="P15" s="26">
        <f t="shared" si="7"/>
        <v>840</v>
      </c>
      <c r="Q15" s="26">
        <f t="shared" si="7"/>
        <v>840</v>
      </c>
      <c r="R15" s="26">
        <f t="shared" si="7"/>
        <v>945</v>
      </c>
      <c r="T15" s="269" t="s">
        <v>217</v>
      </c>
      <c r="U15" s="270"/>
      <c r="V15" s="26">
        <f t="shared" ref="V15:AA15" si="8">SUM(V12:V14)</f>
        <v>504</v>
      </c>
      <c r="W15" s="26">
        <f t="shared" si="8"/>
        <v>504</v>
      </c>
      <c r="X15" s="26">
        <f t="shared" si="8"/>
        <v>630</v>
      </c>
      <c r="Y15" s="26">
        <f t="shared" si="8"/>
        <v>630</v>
      </c>
      <c r="Z15" s="26">
        <f t="shared" si="8"/>
        <v>756</v>
      </c>
      <c r="AA15" s="26">
        <f t="shared" si="8"/>
        <v>756</v>
      </c>
      <c r="AC15" s="269" t="s">
        <v>217</v>
      </c>
      <c r="AD15" s="270"/>
      <c r="AE15" s="26">
        <f t="shared" ref="AE15:AJ15" si="9">SUM(AE12:AE14)</f>
        <v>756</v>
      </c>
      <c r="AF15" s="26">
        <f t="shared" si="9"/>
        <v>504</v>
      </c>
      <c r="AG15" s="26">
        <f t="shared" si="9"/>
        <v>756</v>
      </c>
      <c r="AH15" s="26">
        <f t="shared" si="9"/>
        <v>1008</v>
      </c>
      <c r="AI15" s="26">
        <f t="shared" si="9"/>
        <v>1008</v>
      </c>
      <c r="AJ15" s="26">
        <f t="shared" si="9"/>
        <v>1134</v>
      </c>
      <c r="AL15" s="269" t="s">
        <v>217</v>
      </c>
      <c r="AM15" s="270"/>
      <c r="AN15" s="26">
        <f t="shared" ref="AN15:AS15" si="10">SUM(AN12:AN14)</f>
        <v>604.79999999999995</v>
      </c>
      <c r="AO15" s="26">
        <f t="shared" si="10"/>
        <v>604.79999999999995</v>
      </c>
      <c r="AP15" s="26">
        <f t="shared" si="10"/>
        <v>756</v>
      </c>
      <c r="AQ15" s="26">
        <f t="shared" si="10"/>
        <v>756</v>
      </c>
      <c r="AR15" s="26">
        <f t="shared" si="10"/>
        <v>907.19999999999993</v>
      </c>
      <c r="AS15" s="26">
        <f t="shared" si="10"/>
        <v>907.19999999999993</v>
      </c>
      <c r="AU15" s="269" t="s">
        <v>217</v>
      </c>
      <c r="AV15" s="270"/>
      <c r="AW15" s="26">
        <f t="shared" ref="AW15:BB15" si="11">SUM(AW12:AW14)</f>
        <v>907.19999999999993</v>
      </c>
      <c r="AX15" s="26">
        <f t="shared" si="11"/>
        <v>604.79999999999995</v>
      </c>
      <c r="AY15" s="26">
        <f t="shared" si="11"/>
        <v>907.19999999999993</v>
      </c>
      <c r="AZ15" s="26">
        <f t="shared" si="11"/>
        <v>1209.5999999999999</v>
      </c>
      <c r="BA15" s="26">
        <f t="shared" si="11"/>
        <v>1209.5999999999999</v>
      </c>
      <c r="BB15" s="26">
        <f t="shared" si="11"/>
        <v>1360.8</v>
      </c>
      <c r="BD15" s="269" t="s">
        <v>217</v>
      </c>
      <c r="BE15" s="270"/>
      <c r="BF15" s="26">
        <f>SUM(BF12:BF14)</f>
        <v>7455</v>
      </c>
      <c r="BG15" s="26">
        <f>SUM(BG12:BG14)</f>
        <v>8946</v>
      </c>
      <c r="BH15" s="26">
        <f>SUM(BH12:BH14)</f>
        <v>10735.2</v>
      </c>
      <c r="BI15" s="2"/>
      <c r="BJ15" s="2"/>
      <c r="BK15" s="2"/>
    </row>
    <row r="16" spans="2:63" s="5" customFormat="1" ht="12.75" customHeight="1">
      <c r="B16" s="267" t="s">
        <v>174</v>
      </c>
      <c r="C16" s="268"/>
      <c r="D16" s="24">
        <f t="shared" ref="D16:I16" si="12">D11+D15</f>
        <v>5420</v>
      </c>
      <c r="E16" s="24">
        <f t="shared" si="12"/>
        <v>8420</v>
      </c>
      <c r="F16" s="24">
        <f t="shared" si="12"/>
        <v>10525</v>
      </c>
      <c r="G16" s="24">
        <f t="shared" si="12"/>
        <v>15525</v>
      </c>
      <c r="H16" s="24">
        <f t="shared" si="12"/>
        <v>12630</v>
      </c>
      <c r="I16" s="24">
        <f t="shared" si="12"/>
        <v>3630</v>
      </c>
      <c r="K16" s="267" t="s">
        <v>174</v>
      </c>
      <c r="L16" s="268"/>
      <c r="M16" s="24">
        <f t="shared" ref="M16:R16" si="13">M11+M15</f>
        <v>3630</v>
      </c>
      <c r="N16" s="24">
        <f t="shared" si="13"/>
        <v>2420</v>
      </c>
      <c r="O16" s="24">
        <f t="shared" si="13"/>
        <v>8630</v>
      </c>
      <c r="P16" s="24">
        <f t="shared" si="13"/>
        <v>5840</v>
      </c>
      <c r="Q16" s="24">
        <f t="shared" si="13"/>
        <v>12840</v>
      </c>
      <c r="R16" s="24">
        <f t="shared" si="13"/>
        <v>5445</v>
      </c>
      <c r="T16" s="267" t="s">
        <v>174</v>
      </c>
      <c r="U16" s="268"/>
      <c r="V16" s="24">
        <f t="shared" ref="V16:AA16" si="14">V11+V15</f>
        <v>6504</v>
      </c>
      <c r="W16" s="24">
        <f t="shared" si="14"/>
        <v>10104</v>
      </c>
      <c r="X16" s="24">
        <f t="shared" si="14"/>
        <v>12630</v>
      </c>
      <c r="Y16" s="24">
        <f t="shared" si="14"/>
        <v>18630</v>
      </c>
      <c r="Z16" s="24">
        <f t="shared" si="14"/>
        <v>15156</v>
      </c>
      <c r="AA16" s="24">
        <f t="shared" si="14"/>
        <v>4356</v>
      </c>
      <c r="AC16" s="267" t="s">
        <v>174</v>
      </c>
      <c r="AD16" s="268"/>
      <c r="AE16" s="24">
        <f t="shared" ref="AE16:AJ16" si="15">AE11+AE15</f>
        <v>4356</v>
      </c>
      <c r="AF16" s="24">
        <f t="shared" si="15"/>
        <v>2904</v>
      </c>
      <c r="AG16" s="24">
        <f t="shared" si="15"/>
        <v>10356</v>
      </c>
      <c r="AH16" s="24">
        <f t="shared" si="15"/>
        <v>7008</v>
      </c>
      <c r="AI16" s="24">
        <f t="shared" si="15"/>
        <v>15408</v>
      </c>
      <c r="AJ16" s="24">
        <f t="shared" si="15"/>
        <v>6534</v>
      </c>
      <c r="AL16" s="267" t="s">
        <v>174</v>
      </c>
      <c r="AM16" s="268"/>
      <c r="AN16" s="24">
        <f t="shared" ref="AN16:AS16" si="16">AN11+AN15</f>
        <v>7804.8</v>
      </c>
      <c r="AO16" s="24">
        <f t="shared" si="16"/>
        <v>12124.8</v>
      </c>
      <c r="AP16" s="24">
        <f t="shared" si="16"/>
        <v>15156</v>
      </c>
      <c r="AQ16" s="24">
        <f t="shared" si="16"/>
        <v>22356</v>
      </c>
      <c r="AR16" s="24">
        <f t="shared" si="16"/>
        <v>18187.2</v>
      </c>
      <c r="AS16" s="24">
        <f t="shared" si="16"/>
        <v>5227.2</v>
      </c>
      <c r="AU16" s="267" t="s">
        <v>174</v>
      </c>
      <c r="AV16" s="268"/>
      <c r="AW16" s="24">
        <f t="shared" ref="AW16:BB16" si="17">AW11+AW15</f>
        <v>5227.2</v>
      </c>
      <c r="AX16" s="24">
        <f t="shared" si="17"/>
        <v>3484.8</v>
      </c>
      <c r="AY16" s="24">
        <f t="shared" si="17"/>
        <v>12427.2</v>
      </c>
      <c r="AZ16" s="24">
        <f t="shared" si="17"/>
        <v>8409.6</v>
      </c>
      <c r="BA16" s="24">
        <f t="shared" si="17"/>
        <v>18489.599999999999</v>
      </c>
      <c r="BB16" s="24">
        <f t="shared" si="17"/>
        <v>7840.8</v>
      </c>
      <c r="BD16" s="267" t="s">
        <v>174</v>
      </c>
      <c r="BE16" s="268"/>
      <c r="BF16" s="24">
        <f>BF11+BF15</f>
        <v>94955</v>
      </c>
      <c r="BG16" s="24">
        <f>BG11+BG15</f>
        <v>113946</v>
      </c>
      <c r="BH16" s="24">
        <f>BH11+BH15</f>
        <v>136735.20000000001</v>
      </c>
      <c r="BI16" s="2"/>
      <c r="BJ16" s="2"/>
      <c r="BK16" s="2"/>
    </row>
    <row r="17" spans="2:63" s="5" customFormat="1" ht="12.75" customHeight="1">
      <c r="B17" s="313" t="s">
        <v>175</v>
      </c>
      <c r="C17" s="313"/>
      <c r="D17" s="17">
        <f t="shared" ref="D17:I17" si="18">D10+D11+D15</f>
        <v>20734</v>
      </c>
      <c r="E17" s="17">
        <f t="shared" si="18"/>
        <v>22871.094158899727</v>
      </c>
      <c r="F17" s="17">
        <f t="shared" si="18"/>
        <v>26113.188317799453</v>
      </c>
      <c r="G17" s="17">
        <f t="shared" si="18"/>
        <v>32344.78247669918</v>
      </c>
      <c r="H17" s="17">
        <f t="shared" si="18"/>
        <v>34681.376635598906</v>
      </c>
      <c r="I17" s="17">
        <f t="shared" si="18"/>
        <v>29007.470794498633</v>
      </c>
      <c r="K17" s="313" t="s">
        <v>175</v>
      </c>
      <c r="L17" s="313"/>
      <c r="M17" s="17">
        <f t="shared" ref="M17:R17" si="19">M10+M11+M15</f>
        <v>25333.56495339836</v>
      </c>
      <c r="N17" s="17">
        <f t="shared" si="19"/>
        <v>20449.659112298086</v>
      </c>
      <c r="O17" s="17">
        <f t="shared" si="19"/>
        <v>23296.753271197813</v>
      </c>
      <c r="P17" s="17">
        <f t="shared" si="19"/>
        <v>21832.847430097539</v>
      </c>
      <c r="Q17" s="17">
        <f t="shared" si="19"/>
        <v>27847.941588997266</v>
      </c>
      <c r="R17" s="17">
        <f t="shared" si="19"/>
        <v>23968.035747896993</v>
      </c>
      <c r="T17" s="313" t="s">
        <v>175</v>
      </c>
      <c r="U17" s="313"/>
      <c r="V17" s="17">
        <f t="shared" ref="V17:AA17" si="20">V10+V11+V15</f>
        <v>24203.629906796719</v>
      </c>
      <c r="W17" s="17">
        <f t="shared" si="20"/>
        <v>22839.162924528944</v>
      </c>
      <c r="X17" s="17">
        <f t="shared" si="20"/>
        <v>27854.032083428669</v>
      </c>
      <c r="Y17" s="17">
        <f t="shared" si="20"/>
        <v>36456.301242328394</v>
      </c>
      <c r="Z17" s="17">
        <f t="shared" si="20"/>
        <v>40384.57040122812</v>
      </c>
      <c r="AA17" s="17">
        <f t="shared" si="20"/>
        <v>34700.239560127848</v>
      </c>
      <c r="AC17" s="313" t="s">
        <v>175</v>
      </c>
      <c r="AD17" s="313"/>
      <c r="AE17" s="17">
        <f t="shared" ref="AE17:AJ17" si="21">AE10+AE11+AE15</f>
        <v>31415.908719027575</v>
      </c>
      <c r="AF17" s="17">
        <f t="shared" si="21"/>
        <v>26679.577877927302</v>
      </c>
      <c r="AG17" s="17">
        <f t="shared" si="21"/>
        <v>31220.447036827027</v>
      </c>
      <c r="AH17" s="17">
        <f t="shared" si="21"/>
        <v>30588.116195726754</v>
      </c>
      <c r="AI17" s="17">
        <f t="shared" si="21"/>
        <v>38930.585354626484</v>
      </c>
      <c r="AJ17" s="17">
        <f t="shared" si="21"/>
        <v>35399.054513526207</v>
      </c>
      <c r="AL17" s="313" t="s">
        <v>175</v>
      </c>
      <c r="AM17" s="313"/>
      <c r="AN17" s="17">
        <f t="shared" ref="AN17:AS17" si="22">AN10+AN11+AN15</f>
        <v>36806.123672425936</v>
      </c>
      <c r="AO17" s="17">
        <f t="shared" si="22"/>
        <v>34968.552006314072</v>
      </c>
      <c r="AP17" s="17">
        <f t="shared" si="22"/>
        <v>41080.751165213798</v>
      </c>
      <c r="AQ17" s="17">
        <f t="shared" si="22"/>
        <v>51497.830324113529</v>
      </c>
      <c r="AR17" s="17">
        <f t="shared" si="22"/>
        <v>56306.10948301325</v>
      </c>
      <c r="AS17" s="17">
        <f t="shared" si="22"/>
        <v>49579.268641912975</v>
      </c>
      <c r="AU17" s="313" t="s">
        <v>175</v>
      </c>
      <c r="AV17" s="313"/>
      <c r="AW17" s="17">
        <f t="shared" ref="AW17:BB17" si="23">AW10+AW11+AW15</f>
        <v>45732.4278008127</v>
      </c>
      <c r="AX17" s="17">
        <f t="shared" si="23"/>
        <v>40143.186959712431</v>
      </c>
      <c r="AY17" s="17">
        <f t="shared" si="23"/>
        <v>45686.586118612155</v>
      </c>
      <c r="AZ17" s="17">
        <f t="shared" si="23"/>
        <v>45022.145277511881</v>
      </c>
      <c r="BA17" s="17">
        <f t="shared" si="23"/>
        <v>55127.464436411603</v>
      </c>
      <c r="BB17" s="17">
        <f t="shared" si="23"/>
        <v>50983.983595311336</v>
      </c>
      <c r="BD17" s="313" t="s">
        <v>175</v>
      </c>
      <c r="BE17" s="313"/>
      <c r="BF17" s="17">
        <f>BF10+BF11+BF15</f>
        <v>110269</v>
      </c>
      <c r="BG17" s="17">
        <f>BG10+BG11+BG15</f>
        <v>131645.62990679673</v>
      </c>
      <c r="BH17" s="17">
        <f>BH10+BH11+BH15</f>
        <v>165736.52367242597</v>
      </c>
      <c r="BI17" s="3"/>
      <c r="BJ17" s="3"/>
      <c r="BK17" s="3"/>
    </row>
    <row r="18" spans="2:63" s="5" customFormat="1" ht="12.75" customHeight="1">
      <c r="B18" s="22"/>
      <c r="C18" s="22"/>
      <c r="D18" s="3"/>
      <c r="E18" s="3"/>
      <c r="F18" s="3"/>
      <c r="G18" s="3"/>
      <c r="H18" s="3"/>
      <c r="I18" s="3"/>
      <c r="J18" s="3"/>
      <c r="K18" s="269"/>
      <c r="L18" s="269"/>
      <c r="M18" s="2"/>
      <c r="N18" s="2"/>
      <c r="O18" s="2"/>
      <c r="P18" s="2"/>
      <c r="Q18" s="2"/>
      <c r="R18" s="2"/>
      <c r="T18" s="22"/>
      <c r="U18" s="22"/>
      <c r="V18" s="3"/>
      <c r="W18" s="3"/>
      <c r="X18" s="3"/>
      <c r="Y18" s="3"/>
      <c r="Z18" s="3"/>
      <c r="AA18" s="3"/>
      <c r="AB18" s="3"/>
      <c r="AC18" s="269"/>
      <c r="AD18" s="269"/>
      <c r="AE18" s="2"/>
      <c r="AF18" s="2"/>
      <c r="AG18" s="2"/>
      <c r="AH18" s="2"/>
      <c r="AI18" s="2"/>
      <c r="AJ18" s="2"/>
      <c r="AL18" s="22"/>
      <c r="AM18" s="22"/>
      <c r="AN18" s="3"/>
      <c r="AO18" s="3"/>
      <c r="AP18" s="3"/>
      <c r="AQ18" s="3"/>
      <c r="AR18" s="3"/>
      <c r="AS18" s="3"/>
      <c r="AT18" s="3"/>
      <c r="AU18" s="269"/>
      <c r="AV18" s="269"/>
      <c r="AW18" s="2"/>
      <c r="AX18" s="2"/>
      <c r="AY18" s="2"/>
      <c r="AZ18" s="2"/>
      <c r="BA18" s="2"/>
      <c r="BB18" s="2"/>
      <c r="BC18" s="3"/>
      <c r="BD18" s="269"/>
      <c r="BE18" s="269"/>
      <c r="BF18" s="2"/>
      <c r="BG18" s="2"/>
      <c r="BH18" s="2"/>
      <c r="BI18" s="2"/>
      <c r="BJ18" s="2"/>
      <c r="BK18" s="2"/>
    </row>
    <row r="19" spans="2:63" s="5" customFormat="1" ht="12.75" customHeight="1">
      <c r="B19" s="47"/>
      <c r="C19" s="47"/>
      <c r="D19" s="20" t="s">
        <v>101</v>
      </c>
      <c r="E19" s="20" t="s">
        <v>102</v>
      </c>
      <c r="F19" s="20" t="s">
        <v>103</v>
      </c>
      <c r="G19" s="20" t="s">
        <v>104</v>
      </c>
      <c r="H19" s="20" t="s">
        <v>105</v>
      </c>
      <c r="I19" s="20" t="s">
        <v>106</v>
      </c>
      <c r="J19" s="3"/>
      <c r="K19" s="269"/>
      <c r="L19" s="269"/>
      <c r="M19" s="20" t="s">
        <v>107</v>
      </c>
      <c r="N19" s="20" t="s">
        <v>108</v>
      </c>
      <c r="O19" s="20" t="s">
        <v>109</v>
      </c>
      <c r="P19" s="20" t="s">
        <v>110</v>
      </c>
      <c r="Q19" s="20" t="s">
        <v>111</v>
      </c>
      <c r="R19" s="20" t="s">
        <v>112</v>
      </c>
      <c r="T19" s="47"/>
      <c r="U19" s="47"/>
      <c r="V19" s="20" t="s">
        <v>406</v>
      </c>
      <c r="W19" s="20" t="s">
        <v>407</v>
      </c>
      <c r="X19" s="20" t="s">
        <v>408</v>
      </c>
      <c r="Y19" s="20" t="s">
        <v>409</v>
      </c>
      <c r="Z19" s="20" t="s">
        <v>410</v>
      </c>
      <c r="AA19" s="20" t="s">
        <v>411</v>
      </c>
      <c r="AB19" s="3"/>
      <c r="AC19" s="269"/>
      <c r="AD19" s="269"/>
      <c r="AE19" s="20" t="s">
        <v>412</v>
      </c>
      <c r="AF19" s="20" t="s">
        <v>413</v>
      </c>
      <c r="AG19" s="20" t="s">
        <v>414</v>
      </c>
      <c r="AH19" s="20" t="s">
        <v>415</v>
      </c>
      <c r="AI19" s="20" t="s">
        <v>416</v>
      </c>
      <c r="AJ19" s="20" t="s">
        <v>417</v>
      </c>
      <c r="AL19" s="47"/>
      <c r="AM19" s="47"/>
      <c r="AN19" s="20" t="s">
        <v>418</v>
      </c>
      <c r="AO19" s="20" t="s">
        <v>419</v>
      </c>
      <c r="AP19" s="20" t="s">
        <v>420</v>
      </c>
      <c r="AQ19" s="20" t="s">
        <v>421</v>
      </c>
      <c r="AR19" s="20" t="s">
        <v>422</v>
      </c>
      <c r="AS19" s="20" t="s">
        <v>423</v>
      </c>
      <c r="AT19" s="3"/>
      <c r="AU19" s="269"/>
      <c r="AV19" s="269"/>
      <c r="AW19" s="20" t="s">
        <v>424</v>
      </c>
      <c r="AX19" s="20" t="s">
        <v>425</v>
      </c>
      <c r="AY19" s="20" t="s">
        <v>426</v>
      </c>
      <c r="AZ19" s="20" t="s">
        <v>427</v>
      </c>
      <c r="BA19" s="20" t="s">
        <v>428</v>
      </c>
      <c r="BB19" s="20" t="s">
        <v>429</v>
      </c>
      <c r="BC19" s="3"/>
      <c r="BD19" s="269"/>
      <c r="BE19" s="269"/>
      <c r="BF19" s="20" t="s">
        <v>398</v>
      </c>
      <c r="BG19" s="20" t="s">
        <v>400</v>
      </c>
      <c r="BH19" s="20" t="s">
        <v>401</v>
      </c>
      <c r="BI19" s="32"/>
      <c r="BJ19" s="32"/>
      <c r="BK19" s="32"/>
    </row>
    <row r="20" spans="2:63" s="5" customFormat="1" ht="12.75" customHeight="1">
      <c r="B20" s="314" t="s">
        <v>176</v>
      </c>
      <c r="C20" s="314"/>
      <c r="D20" s="31"/>
      <c r="E20" s="31"/>
      <c r="F20" s="31"/>
      <c r="G20" s="31"/>
      <c r="H20" s="31"/>
      <c r="I20" s="31"/>
      <c r="J20" s="3"/>
      <c r="K20" s="269"/>
      <c r="L20" s="269"/>
      <c r="M20" s="2"/>
      <c r="N20" s="2"/>
      <c r="O20" s="2"/>
      <c r="P20" s="2"/>
      <c r="Q20" s="2"/>
      <c r="R20" s="2"/>
      <c r="T20" s="314" t="s">
        <v>176</v>
      </c>
      <c r="U20" s="314"/>
      <c r="V20" s="31"/>
      <c r="W20" s="31"/>
      <c r="X20" s="31"/>
      <c r="Y20" s="31"/>
      <c r="Z20" s="31"/>
      <c r="AA20" s="31"/>
      <c r="AB20" s="3"/>
      <c r="AC20" s="269"/>
      <c r="AD20" s="269"/>
      <c r="AE20" s="2"/>
      <c r="AF20" s="2"/>
      <c r="AG20" s="2"/>
      <c r="AH20" s="2"/>
      <c r="AI20" s="2"/>
      <c r="AJ20" s="2"/>
      <c r="AL20" s="314" t="s">
        <v>176</v>
      </c>
      <c r="AM20" s="314"/>
      <c r="AN20" s="31"/>
      <c r="AO20" s="31"/>
      <c r="AP20" s="31"/>
      <c r="AQ20" s="31"/>
      <c r="AR20" s="31"/>
      <c r="AS20" s="31"/>
      <c r="AT20" s="3"/>
      <c r="AU20" s="269"/>
      <c r="AV20" s="269"/>
      <c r="AW20" s="2"/>
      <c r="AX20" s="2"/>
      <c r="AY20" s="2"/>
      <c r="AZ20" s="2"/>
      <c r="BA20" s="2"/>
      <c r="BB20" s="2"/>
      <c r="BC20" s="3"/>
      <c r="BD20" s="269"/>
      <c r="BE20" s="269"/>
      <c r="BF20" s="2"/>
      <c r="BG20" s="2"/>
      <c r="BH20" s="2"/>
      <c r="BI20" s="2"/>
      <c r="BJ20" s="2"/>
      <c r="BK20" s="2"/>
    </row>
    <row r="21" spans="2:63" s="5" customFormat="1" ht="12.75" customHeight="1">
      <c r="B21" s="269" t="s">
        <v>177</v>
      </c>
      <c r="C21" s="270"/>
      <c r="D21" s="33"/>
      <c r="E21" s="2"/>
      <c r="F21" s="2"/>
      <c r="G21" s="2"/>
      <c r="H21" s="2"/>
      <c r="I21" s="2"/>
      <c r="J21" s="3"/>
      <c r="K21" s="269"/>
      <c r="L21" s="269"/>
      <c r="M21" s="2"/>
      <c r="N21" s="2"/>
      <c r="O21" s="2"/>
      <c r="P21" s="2"/>
      <c r="Q21" s="2"/>
      <c r="R21" s="2"/>
      <c r="T21" s="269" t="s">
        <v>177</v>
      </c>
      <c r="U21" s="270"/>
      <c r="V21" s="33"/>
      <c r="W21" s="2"/>
      <c r="X21" s="2"/>
      <c r="Y21" s="2"/>
      <c r="Z21" s="2"/>
      <c r="AA21" s="2"/>
      <c r="AB21" s="3"/>
      <c r="AC21" s="269"/>
      <c r="AD21" s="269"/>
      <c r="AE21" s="2"/>
      <c r="AF21" s="2"/>
      <c r="AG21" s="2"/>
      <c r="AH21" s="2"/>
      <c r="AI21" s="2"/>
      <c r="AJ21" s="2"/>
      <c r="AL21" s="269" t="s">
        <v>177</v>
      </c>
      <c r="AM21" s="270"/>
      <c r="AN21" s="33"/>
      <c r="AO21" s="2"/>
      <c r="AP21" s="2"/>
      <c r="AQ21" s="2"/>
      <c r="AR21" s="2"/>
      <c r="AS21" s="2"/>
      <c r="AT21" s="3"/>
      <c r="AU21" s="269"/>
      <c r="AV21" s="269"/>
      <c r="AW21" s="2"/>
      <c r="AX21" s="2"/>
      <c r="AY21" s="2"/>
      <c r="AZ21" s="2"/>
      <c r="BA21" s="2"/>
      <c r="BB21" s="2"/>
      <c r="BC21" s="3"/>
      <c r="BD21" s="269"/>
      <c r="BE21" s="269"/>
      <c r="BF21" s="2"/>
      <c r="BG21" s="2"/>
      <c r="BH21" s="2"/>
      <c r="BI21" s="2"/>
      <c r="BJ21" s="2"/>
      <c r="BK21" s="2"/>
    </row>
    <row r="22" spans="2:63" s="5" customFormat="1" ht="12.75" customHeight="1">
      <c r="B22" s="265" t="s">
        <v>316</v>
      </c>
      <c r="C22" s="266"/>
      <c r="D22" s="26">
        <f>'6. PEF1. PLAN COMERCIAL'!D20</f>
        <v>1000</v>
      </c>
      <c r="E22" s="26">
        <f>'6. PEF1. PLAN COMERCIAL'!E20</f>
        <v>2000</v>
      </c>
      <c r="F22" s="26">
        <f>'6. PEF1. PLAN COMERCIAL'!F20</f>
        <v>4000</v>
      </c>
      <c r="G22" s="26">
        <f>'6. PEF1. PLAN COMERCIAL'!G20</f>
        <v>5000</v>
      </c>
      <c r="H22" s="26">
        <f>'6. PEF1. PLAN COMERCIAL'!H20</f>
        <v>4000</v>
      </c>
      <c r="I22" s="26">
        <f>'6. PEF1. PLAN COMERCIAL'!I20</f>
        <v>2000</v>
      </c>
      <c r="J22" s="3"/>
      <c r="K22" s="265" t="s">
        <v>316</v>
      </c>
      <c r="L22" s="266"/>
      <c r="M22" s="26">
        <f>'6. PEF1. PLAN COMERCIAL'!D22</f>
        <v>2000</v>
      </c>
      <c r="N22" s="26">
        <f>'6. PEF1. PLAN COMERCIAL'!E22</f>
        <v>500</v>
      </c>
      <c r="O22" s="26">
        <f>'6. PEF1. PLAN COMERCIAL'!F22</f>
        <v>2000</v>
      </c>
      <c r="P22" s="26">
        <f>'6. PEF1. PLAN COMERCIAL'!G22</f>
        <v>1500</v>
      </c>
      <c r="Q22" s="26">
        <f>'6. PEF1. PLAN COMERCIAL'!H22</f>
        <v>4000</v>
      </c>
      <c r="R22" s="26">
        <f>'6. PEF1. PLAN COMERCIAL'!I22</f>
        <v>1500</v>
      </c>
      <c r="T22" s="265" t="s">
        <v>316</v>
      </c>
      <c r="U22" s="266"/>
      <c r="V22" s="26">
        <f>D22*(1+'6. PEF1. PLAN COMERCIAL'!$F$29)</f>
        <v>1200</v>
      </c>
      <c r="W22" s="26">
        <f>E22*(1+'6. PEF1. PLAN COMERCIAL'!$F$29)</f>
        <v>2400</v>
      </c>
      <c r="X22" s="26">
        <f>F22*(1+'6. PEF1. PLAN COMERCIAL'!$F$29)</f>
        <v>4800</v>
      </c>
      <c r="Y22" s="26">
        <f>G22*(1+'6. PEF1. PLAN COMERCIAL'!$F$29)</f>
        <v>6000</v>
      </c>
      <c r="Z22" s="26">
        <f>H22*(1+'6. PEF1. PLAN COMERCIAL'!$F$29)</f>
        <v>4800</v>
      </c>
      <c r="AA22" s="26">
        <f>I22*(1+'6. PEF1. PLAN COMERCIAL'!$F$29)</f>
        <v>2400</v>
      </c>
      <c r="AB22" s="3"/>
      <c r="AC22" s="265" t="s">
        <v>316</v>
      </c>
      <c r="AD22" s="266"/>
      <c r="AE22" s="26">
        <f>M22*(1+'6. PEF1. PLAN COMERCIAL'!$F$29)</f>
        <v>2400</v>
      </c>
      <c r="AF22" s="26">
        <f>N22*(1+'6. PEF1. PLAN COMERCIAL'!$F$29)</f>
        <v>600</v>
      </c>
      <c r="AG22" s="26">
        <f>O22*(1+'6. PEF1. PLAN COMERCIAL'!$F$29)</f>
        <v>2400</v>
      </c>
      <c r="AH22" s="26">
        <f>P22*(1+'6. PEF1. PLAN COMERCIAL'!$F$29)</f>
        <v>1800</v>
      </c>
      <c r="AI22" s="26">
        <f>Q22*(1+'6. PEF1. PLAN COMERCIAL'!$F$29)</f>
        <v>4800</v>
      </c>
      <c r="AJ22" s="26">
        <f>R22*(1+'6. PEF1. PLAN COMERCIAL'!$F$29)</f>
        <v>1800</v>
      </c>
      <c r="AL22" s="265" t="s">
        <v>316</v>
      </c>
      <c r="AM22" s="266"/>
      <c r="AN22" s="26">
        <f>V22*(1+'6. PEF1. PLAN COMERCIAL'!$F$29)</f>
        <v>1440</v>
      </c>
      <c r="AO22" s="26">
        <f>W22*(1+'6. PEF1. PLAN COMERCIAL'!$F$29)</f>
        <v>2880</v>
      </c>
      <c r="AP22" s="26">
        <f>X22*(1+'6. PEF1. PLAN COMERCIAL'!$F$29)</f>
        <v>5760</v>
      </c>
      <c r="AQ22" s="26">
        <f>Y22*(1+'6. PEF1. PLAN COMERCIAL'!$F$29)</f>
        <v>7200</v>
      </c>
      <c r="AR22" s="26">
        <f>Z22*(1+'6. PEF1. PLAN COMERCIAL'!$F$29)</f>
        <v>5760</v>
      </c>
      <c r="AS22" s="26">
        <f>AA22*(1+'6. PEF1. PLAN COMERCIAL'!$F$29)</f>
        <v>2880</v>
      </c>
      <c r="AT22" s="3"/>
      <c r="AU22" s="265" t="s">
        <v>316</v>
      </c>
      <c r="AV22" s="266"/>
      <c r="AW22" s="26">
        <f>AE22*(1+'6. PEF1. PLAN COMERCIAL'!$F$29)</f>
        <v>2880</v>
      </c>
      <c r="AX22" s="26">
        <f>AF22*(1+'6. PEF1. PLAN COMERCIAL'!$F$29)</f>
        <v>720</v>
      </c>
      <c r="AY22" s="26">
        <f>AG22*(1+'6. PEF1. PLAN COMERCIAL'!$F$29)</f>
        <v>2880</v>
      </c>
      <c r="AZ22" s="26">
        <f>AH22*(1+'6. PEF1. PLAN COMERCIAL'!$F$29)</f>
        <v>2160</v>
      </c>
      <c r="BA22" s="26">
        <f>AI22*(1+'6. PEF1. PLAN COMERCIAL'!$F$29)</f>
        <v>5760</v>
      </c>
      <c r="BB22" s="26">
        <f>AJ22*(1+'6. PEF1. PLAN COMERCIAL'!$F$29)</f>
        <v>2160</v>
      </c>
      <c r="BC22" s="3"/>
      <c r="BD22" s="265" t="s">
        <v>316</v>
      </c>
      <c r="BE22" s="266"/>
      <c r="BF22" s="26">
        <f>SUM(D22:I22)+SUM(M22:R22)</f>
        <v>29500</v>
      </c>
      <c r="BG22" s="26">
        <f>SUM(V22:AA22)+SUM(AE22:AJ22)</f>
        <v>35400</v>
      </c>
      <c r="BH22" s="26">
        <f>SUM(AN22:AS22)+SUM(AW22:BB22)</f>
        <v>42480</v>
      </c>
      <c r="BI22" s="2"/>
      <c r="BJ22" s="2"/>
      <c r="BK22" s="2"/>
    </row>
    <row r="23" spans="2:63" s="5" customFormat="1" ht="12.75" customHeight="1">
      <c r="B23" s="265" t="s">
        <v>159</v>
      </c>
      <c r="C23" s="266"/>
      <c r="D23" s="34">
        <f>(('6. PEF5. VENTAS Y COSTES'!$F$15+'6. PEF5. VENTAS Y COSTES'!$F$16)/12)</f>
        <v>50</v>
      </c>
      <c r="E23" s="26">
        <f>(('6. PEF5. VENTAS Y COSTES'!$F$15+'6. PEF5. VENTAS Y COSTES'!$F$16)/12)</f>
        <v>50</v>
      </c>
      <c r="F23" s="26">
        <f>(('6. PEF5. VENTAS Y COSTES'!$F$15+'6. PEF5. VENTAS Y COSTES'!$F$16)/12)</f>
        <v>50</v>
      </c>
      <c r="G23" s="26">
        <f>(('6. PEF5. VENTAS Y COSTES'!$F$15+'6. PEF5. VENTAS Y COSTES'!$F$16)/12)</f>
        <v>50</v>
      </c>
      <c r="H23" s="26">
        <f>(('6. PEF5. VENTAS Y COSTES'!$F$15+'6. PEF5. VENTAS Y COSTES'!$F$16)/12)</f>
        <v>50</v>
      </c>
      <c r="I23" s="26">
        <f>(('6. PEF5. VENTAS Y COSTES'!$F$15+'6. PEF5. VENTAS Y COSTES'!$F$16)/12)</f>
        <v>50</v>
      </c>
      <c r="J23" s="3"/>
      <c r="K23" s="265" t="s">
        <v>159</v>
      </c>
      <c r="L23" s="266"/>
      <c r="M23" s="26">
        <f>(('6. PEF5. VENTAS Y COSTES'!$F$15+'6. PEF5. VENTAS Y COSTES'!$F$16)/12)</f>
        <v>50</v>
      </c>
      <c r="N23" s="26">
        <f>(('6. PEF5. VENTAS Y COSTES'!$F$15+'6. PEF5. VENTAS Y COSTES'!$F$16)/12)</f>
        <v>50</v>
      </c>
      <c r="O23" s="26">
        <f>(('6. PEF5. VENTAS Y COSTES'!$F$15+'6. PEF5. VENTAS Y COSTES'!$F$16)/12)</f>
        <v>50</v>
      </c>
      <c r="P23" s="26">
        <f>(('6. PEF5. VENTAS Y COSTES'!$F$15+'6. PEF5. VENTAS Y COSTES'!$F$16)/12)</f>
        <v>50</v>
      </c>
      <c r="Q23" s="26">
        <f>(('6. PEF5. VENTAS Y COSTES'!$F$15+'6. PEF5. VENTAS Y COSTES'!$F$16)/12)</f>
        <v>50</v>
      </c>
      <c r="R23" s="26">
        <f>(('6. PEF5. VENTAS Y COSTES'!$F$15+'6. PEF5. VENTAS Y COSTES'!$F$16)/12)</f>
        <v>50</v>
      </c>
      <c r="T23" s="265" t="s">
        <v>159</v>
      </c>
      <c r="U23" s="266"/>
      <c r="V23" s="34">
        <f>(('6. PEF5. VENTAS Y COSTES'!$G$15+'6. PEF5. VENTAS Y COSTES'!$G$16)/12)</f>
        <v>60</v>
      </c>
      <c r="W23" s="34">
        <f>(('6. PEF5. VENTAS Y COSTES'!$G$15+'6. PEF5. VENTAS Y COSTES'!$G$16)/12)</f>
        <v>60</v>
      </c>
      <c r="X23" s="34">
        <f>(('6. PEF5. VENTAS Y COSTES'!$G$15+'6. PEF5. VENTAS Y COSTES'!$G$16)/12)</f>
        <v>60</v>
      </c>
      <c r="Y23" s="34">
        <f>(('6. PEF5. VENTAS Y COSTES'!$G$15+'6. PEF5. VENTAS Y COSTES'!$G$16)/12)</f>
        <v>60</v>
      </c>
      <c r="Z23" s="34">
        <f>(('6. PEF5. VENTAS Y COSTES'!$G$15+'6. PEF5. VENTAS Y COSTES'!$G$16)/12)</f>
        <v>60</v>
      </c>
      <c r="AA23" s="34">
        <f>(('6. PEF5. VENTAS Y COSTES'!$G$15+'6. PEF5. VENTAS Y COSTES'!$G$16)/12)</f>
        <v>60</v>
      </c>
      <c r="AB23" s="3"/>
      <c r="AC23" s="265" t="s">
        <v>159</v>
      </c>
      <c r="AD23" s="266"/>
      <c r="AE23" s="34">
        <f>(('6. PEF5. VENTAS Y COSTES'!$G$15+'6. PEF5. VENTAS Y COSTES'!$G$16)/12)</f>
        <v>60</v>
      </c>
      <c r="AF23" s="34">
        <f>(('6. PEF5. VENTAS Y COSTES'!$G$15+'6. PEF5. VENTAS Y COSTES'!$G$16)/12)</f>
        <v>60</v>
      </c>
      <c r="AG23" s="34">
        <f>(('6. PEF5. VENTAS Y COSTES'!$G$15+'6. PEF5. VENTAS Y COSTES'!$G$16)/12)</f>
        <v>60</v>
      </c>
      <c r="AH23" s="34">
        <f>(('6. PEF5. VENTAS Y COSTES'!$G$15+'6. PEF5. VENTAS Y COSTES'!$G$16)/12)</f>
        <v>60</v>
      </c>
      <c r="AI23" s="34">
        <f>(('6. PEF5. VENTAS Y COSTES'!$G$15+'6. PEF5. VENTAS Y COSTES'!$G$16)/12)</f>
        <v>60</v>
      </c>
      <c r="AJ23" s="34">
        <f>(('6. PEF5. VENTAS Y COSTES'!$G$15+'6. PEF5. VENTAS Y COSTES'!$G$16)/12)</f>
        <v>60</v>
      </c>
      <c r="AL23" s="265" t="s">
        <v>159</v>
      </c>
      <c r="AM23" s="266"/>
      <c r="AN23" s="34">
        <f>(('6. PEF5. VENTAS Y COSTES'!$H$15+'6. PEF5. VENTAS Y COSTES'!$H$16)/12)</f>
        <v>72</v>
      </c>
      <c r="AO23" s="34">
        <f>(('6. PEF5. VENTAS Y COSTES'!$H$15+'6. PEF5. VENTAS Y COSTES'!$H$16)/12)</f>
        <v>72</v>
      </c>
      <c r="AP23" s="34">
        <f>(('6. PEF5. VENTAS Y COSTES'!$H$15+'6. PEF5. VENTAS Y COSTES'!$H$16)/12)</f>
        <v>72</v>
      </c>
      <c r="AQ23" s="34">
        <f>(('6. PEF5. VENTAS Y COSTES'!$H$15+'6. PEF5. VENTAS Y COSTES'!$H$16)/12)</f>
        <v>72</v>
      </c>
      <c r="AR23" s="34">
        <f>(('6. PEF5. VENTAS Y COSTES'!$H$15+'6. PEF5. VENTAS Y COSTES'!$H$16)/12)</f>
        <v>72</v>
      </c>
      <c r="AS23" s="34">
        <f>(('6. PEF5. VENTAS Y COSTES'!$H$15+'6. PEF5. VENTAS Y COSTES'!$H$16)/12)</f>
        <v>72</v>
      </c>
      <c r="AT23" s="3"/>
      <c r="AU23" s="265" t="s">
        <v>159</v>
      </c>
      <c r="AV23" s="266"/>
      <c r="AW23" s="34">
        <f>(('6. PEF5. VENTAS Y COSTES'!$H$15+'6. PEF5. VENTAS Y COSTES'!$H$16)/12)</f>
        <v>72</v>
      </c>
      <c r="AX23" s="34">
        <f>(('6. PEF5. VENTAS Y COSTES'!$H$15+'6. PEF5. VENTAS Y COSTES'!$H$16)/12)</f>
        <v>72</v>
      </c>
      <c r="AY23" s="34">
        <f>(('6. PEF5. VENTAS Y COSTES'!$H$15+'6. PEF5. VENTAS Y COSTES'!$H$16)/12)</f>
        <v>72</v>
      </c>
      <c r="AZ23" s="34">
        <f>(('6. PEF5. VENTAS Y COSTES'!$H$15+'6. PEF5. VENTAS Y COSTES'!$H$16)/12)</f>
        <v>72</v>
      </c>
      <c r="BA23" s="34">
        <f>(('6. PEF5. VENTAS Y COSTES'!$H$15+'6. PEF5. VENTAS Y COSTES'!$H$16)/12)</f>
        <v>72</v>
      </c>
      <c r="BB23" s="34">
        <f>(('6. PEF5. VENTAS Y COSTES'!$H$15+'6. PEF5. VENTAS Y COSTES'!$H$16)/12)</f>
        <v>72</v>
      </c>
      <c r="BC23" s="3"/>
      <c r="BD23" s="265" t="s">
        <v>159</v>
      </c>
      <c r="BE23" s="266"/>
      <c r="BF23" s="26">
        <f>SUM(D23:I23)+SUM(M23:R23)</f>
        <v>600</v>
      </c>
      <c r="BG23" s="26">
        <f>SUM(V23:AA23)+SUM(AE23:AJ23)</f>
        <v>720</v>
      </c>
      <c r="BH23" s="26">
        <f>SUM(AN23:AS23)+SUM(AW23:BB23)</f>
        <v>864</v>
      </c>
      <c r="BI23" s="2"/>
      <c r="BJ23" s="2"/>
      <c r="BK23" s="2"/>
    </row>
    <row r="24" spans="2:63" s="5" customFormat="1" ht="12.75" customHeight="1">
      <c r="B24" s="265" t="s">
        <v>446</v>
      </c>
      <c r="C24" s="266"/>
      <c r="D24" s="26">
        <f>'6.PEF6. EXPLOTACION'!D23</f>
        <v>1162.5</v>
      </c>
      <c r="E24" s="26">
        <f>'6.PEF6. EXPLOTACION'!E23</f>
        <v>1162.5</v>
      </c>
      <c r="F24" s="26">
        <f>'6.PEF6. EXPLOTACION'!F23</f>
        <v>1162.5</v>
      </c>
      <c r="G24" s="26">
        <f>'6.PEF6. EXPLOTACION'!G23</f>
        <v>1162.5</v>
      </c>
      <c r="H24" s="26">
        <f>'6.PEF6. EXPLOTACION'!H23</f>
        <v>1162.5</v>
      </c>
      <c r="I24" s="26">
        <f>'6.PEF6. EXPLOTACION'!I23</f>
        <v>1162.5</v>
      </c>
      <c r="J24" s="3"/>
      <c r="K24" s="265" t="s">
        <v>446</v>
      </c>
      <c r="L24" s="266"/>
      <c r="M24" s="26">
        <f>'6.PEF6. EXPLOTACION'!M23</f>
        <v>1162.5</v>
      </c>
      <c r="N24" s="26">
        <f>'6.PEF6. EXPLOTACION'!N23</f>
        <v>1162.5</v>
      </c>
      <c r="O24" s="26">
        <f>'6.PEF6. EXPLOTACION'!O23</f>
        <v>1162.5</v>
      </c>
      <c r="P24" s="26">
        <f>'6.PEF6. EXPLOTACION'!P23</f>
        <v>1162.5</v>
      </c>
      <c r="Q24" s="26">
        <f>'6.PEF6. EXPLOTACION'!Q23</f>
        <v>1162.5</v>
      </c>
      <c r="R24" s="26">
        <f>'6.PEF6. EXPLOTACION'!R23</f>
        <v>1162.5</v>
      </c>
      <c r="T24" s="265" t="s">
        <v>446</v>
      </c>
      <c r="U24" s="266"/>
      <c r="V24" s="26">
        <f>'6.PEF6. EXPLOTACION'!V23</f>
        <v>1395</v>
      </c>
      <c r="W24" s="26">
        <f>'6.PEF6. EXPLOTACION'!W23</f>
        <v>1395</v>
      </c>
      <c r="X24" s="26">
        <f>'6.PEF6. EXPLOTACION'!X23</f>
        <v>1395</v>
      </c>
      <c r="Y24" s="26">
        <f>'6.PEF6. EXPLOTACION'!Y23</f>
        <v>1395</v>
      </c>
      <c r="Z24" s="26">
        <f>'6.PEF6. EXPLOTACION'!Z23</f>
        <v>1395</v>
      </c>
      <c r="AA24" s="26">
        <f>'6.PEF6. EXPLOTACION'!AA23</f>
        <v>1395</v>
      </c>
      <c r="AB24" s="3"/>
      <c r="AC24" s="265" t="s">
        <v>446</v>
      </c>
      <c r="AD24" s="266"/>
      <c r="AE24" s="26">
        <f>'6.PEF6. EXPLOTACION'!AE23</f>
        <v>1395</v>
      </c>
      <c r="AF24" s="26">
        <f>'6.PEF6. EXPLOTACION'!AF23</f>
        <v>1395</v>
      </c>
      <c r="AG24" s="26">
        <f>'6.PEF6. EXPLOTACION'!AG23</f>
        <v>1395</v>
      </c>
      <c r="AH24" s="26">
        <f>'6.PEF6. EXPLOTACION'!AH23</f>
        <v>1395</v>
      </c>
      <c r="AI24" s="26">
        <f>'6.PEF6. EXPLOTACION'!AI23</f>
        <v>1395</v>
      </c>
      <c r="AJ24" s="26">
        <f>'6.PEF6. EXPLOTACION'!AJ23</f>
        <v>1395</v>
      </c>
      <c r="AL24" s="265" t="s">
        <v>446</v>
      </c>
      <c r="AM24" s="266"/>
      <c r="AN24" s="26">
        <f>'6.PEF6. EXPLOTACION'!AN23</f>
        <v>1674</v>
      </c>
      <c r="AO24" s="26">
        <f>'6.PEF6. EXPLOTACION'!AO23</f>
        <v>1674</v>
      </c>
      <c r="AP24" s="26">
        <f>'6.PEF6. EXPLOTACION'!AP23</f>
        <v>1674</v>
      </c>
      <c r="AQ24" s="26">
        <f>'6.PEF6. EXPLOTACION'!AQ23</f>
        <v>1674</v>
      </c>
      <c r="AR24" s="26">
        <f>'6.PEF6. EXPLOTACION'!AR23</f>
        <v>1674</v>
      </c>
      <c r="AS24" s="26">
        <f>'6.PEF6. EXPLOTACION'!AS23</f>
        <v>1674</v>
      </c>
      <c r="AT24" s="3"/>
      <c r="AU24" s="265" t="s">
        <v>446</v>
      </c>
      <c r="AV24" s="266"/>
      <c r="AW24" s="26">
        <f>'6.PEF6. EXPLOTACION'!AW23</f>
        <v>1674</v>
      </c>
      <c r="AX24" s="26">
        <f>'6.PEF6. EXPLOTACION'!AX23</f>
        <v>1674</v>
      </c>
      <c r="AY24" s="26">
        <f>'6.PEF6. EXPLOTACION'!AY23</f>
        <v>1674</v>
      </c>
      <c r="AZ24" s="26">
        <f>'6.PEF6. EXPLOTACION'!AZ23</f>
        <v>1674</v>
      </c>
      <c r="BA24" s="26">
        <f>'6.PEF6. EXPLOTACION'!BA23</f>
        <v>1674</v>
      </c>
      <c r="BB24" s="26">
        <f>'6.PEF6. EXPLOTACION'!BB23</f>
        <v>1674</v>
      </c>
      <c r="BC24" s="3"/>
      <c r="BD24" s="265" t="s">
        <v>446</v>
      </c>
      <c r="BE24" s="266"/>
      <c r="BF24" s="26">
        <f>SUM(D24:I24)+SUM(M24:R24)</f>
        <v>13950</v>
      </c>
      <c r="BG24" s="26">
        <f>SUM(V24:AA24)+SUM(AE24:AJ24)</f>
        <v>16740</v>
      </c>
      <c r="BH24" s="26">
        <f>SUM(AN24:AS24)+SUM(AW24:BB24)</f>
        <v>20088</v>
      </c>
      <c r="BI24" s="2"/>
      <c r="BJ24" s="2"/>
      <c r="BK24" s="2"/>
    </row>
    <row r="25" spans="2:63" s="5" customFormat="1" ht="12.75" customHeight="1">
      <c r="B25" s="265" t="s">
        <v>447</v>
      </c>
      <c r="C25" s="266"/>
      <c r="D25" s="34">
        <f>'6.PEF6. EXPLOTACION'!D14</f>
        <v>1666.6666666666667</v>
      </c>
      <c r="E25" s="34">
        <f>'6.PEF6. EXPLOTACION'!E14</f>
        <v>1666.6666666666667</v>
      </c>
      <c r="F25" s="34">
        <f>'6.PEF6. EXPLOTACION'!F14</f>
        <v>1666.6666666666667</v>
      </c>
      <c r="G25" s="34">
        <f>'6.PEF6. EXPLOTACION'!G14</f>
        <v>1666.6666666666667</v>
      </c>
      <c r="H25" s="34">
        <f>'6.PEF6. EXPLOTACION'!H14</f>
        <v>1666.6666666666667</v>
      </c>
      <c r="I25" s="34">
        <f>'6.PEF6. EXPLOTACION'!I14</f>
        <v>1666.6666666666667</v>
      </c>
      <c r="J25" s="3"/>
      <c r="K25" s="265" t="s">
        <v>447</v>
      </c>
      <c r="L25" s="266"/>
      <c r="M25" s="34">
        <f>'6.PEF6. EXPLOTACION'!M14</f>
        <v>1666.6666666666667</v>
      </c>
      <c r="N25" s="34">
        <f>'6.PEF6. EXPLOTACION'!N14</f>
        <v>1666.6666666666667</v>
      </c>
      <c r="O25" s="34">
        <f>'6.PEF6. EXPLOTACION'!O14</f>
        <v>1666.6666666666667</v>
      </c>
      <c r="P25" s="34">
        <f>'6.PEF6. EXPLOTACION'!P14</f>
        <v>1666.6666666666667</v>
      </c>
      <c r="Q25" s="34">
        <f>'6.PEF6. EXPLOTACION'!Q14</f>
        <v>1666.6666666666667</v>
      </c>
      <c r="R25" s="34">
        <f>'6.PEF6. EXPLOTACION'!R14</f>
        <v>1666.6666666666667</v>
      </c>
      <c r="T25" s="265" t="s">
        <v>447</v>
      </c>
      <c r="U25" s="266"/>
      <c r="V25" s="34">
        <f>'6.PEF6. EXPLOTACION'!V14</f>
        <v>2000</v>
      </c>
      <c r="W25" s="34">
        <f>'6.PEF6. EXPLOTACION'!W14</f>
        <v>2000</v>
      </c>
      <c r="X25" s="34">
        <f>'6.PEF6. EXPLOTACION'!X14</f>
        <v>2000</v>
      </c>
      <c r="Y25" s="34">
        <f>'6.PEF6. EXPLOTACION'!Y14</f>
        <v>2000</v>
      </c>
      <c r="Z25" s="34">
        <f>'6.PEF6. EXPLOTACION'!Z14</f>
        <v>2000</v>
      </c>
      <c r="AA25" s="34">
        <f>'6.PEF6. EXPLOTACION'!AA14</f>
        <v>2000</v>
      </c>
      <c r="AB25" s="3"/>
      <c r="AC25" s="265" t="s">
        <v>447</v>
      </c>
      <c r="AD25" s="266"/>
      <c r="AE25" s="34">
        <f>'6.PEF6. EXPLOTACION'!AE14</f>
        <v>2000</v>
      </c>
      <c r="AF25" s="34">
        <f>'6.PEF6. EXPLOTACION'!AF14</f>
        <v>2000</v>
      </c>
      <c r="AG25" s="34">
        <f>'6.PEF6. EXPLOTACION'!AG14</f>
        <v>2000</v>
      </c>
      <c r="AH25" s="34">
        <f>'6.PEF6. EXPLOTACION'!AH14</f>
        <v>2000</v>
      </c>
      <c r="AI25" s="34">
        <f>'6.PEF6. EXPLOTACION'!AI14</f>
        <v>2000</v>
      </c>
      <c r="AJ25" s="34">
        <f>'6.PEF6. EXPLOTACION'!AJ14</f>
        <v>2000</v>
      </c>
      <c r="AL25" s="265" t="s">
        <v>447</v>
      </c>
      <c r="AM25" s="266"/>
      <c r="AN25" s="34">
        <f>'6.PEF6. EXPLOTACION'!AN14</f>
        <v>2400</v>
      </c>
      <c r="AO25" s="34">
        <f>'6.PEF6. EXPLOTACION'!AO14</f>
        <v>2400</v>
      </c>
      <c r="AP25" s="34">
        <f>'6.PEF6. EXPLOTACION'!AP14</f>
        <v>2400</v>
      </c>
      <c r="AQ25" s="34">
        <f>'6.PEF6. EXPLOTACION'!AQ14</f>
        <v>2400</v>
      </c>
      <c r="AR25" s="34">
        <f>'6.PEF6. EXPLOTACION'!AR14</f>
        <v>2400</v>
      </c>
      <c r="AS25" s="34">
        <f>'6.PEF6. EXPLOTACION'!AS14</f>
        <v>2400</v>
      </c>
      <c r="AT25" s="3"/>
      <c r="AU25" s="265" t="s">
        <v>447</v>
      </c>
      <c r="AV25" s="266"/>
      <c r="AW25" s="34">
        <f>'6.PEF6. EXPLOTACION'!AW14</f>
        <v>2400</v>
      </c>
      <c r="AX25" s="34">
        <f>'6.PEF6. EXPLOTACION'!AX14</f>
        <v>2400</v>
      </c>
      <c r="AY25" s="34">
        <f>'6.PEF6. EXPLOTACION'!AY14</f>
        <v>2400</v>
      </c>
      <c r="AZ25" s="34">
        <f>'6.PEF6. EXPLOTACION'!AZ14</f>
        <v>2400</v>
      </c>
      <c r="BA25" s="34">
        <f>'6.PEF6. EXPLOTACION'!BA14</f>
        <v>2400</v>
      </c>
      <c r="BB25" s="34">
        <f>'6.PEF6. EXPLOTACION'!BB14</f>
        <v>2400</v>
      </c>
      <c r="BC25" s="3"/>
      <c r="BD25" s="265" t="s">
        <v>447</v>
      </c>
      <c r="BE25" s="266"/>
      <c r="BF25" s="26">
        <f>SUM(D25:I25)+SUM(M25:R25)</f>
        <v>20000</v>
      </c>
      <c r="BG25" s="26">
        <f>SUM(V25:AA25)+SUM(AE25:AJ25)</f>
        <v>24000</v>
      </c>
      <c r="BH25" s="26">
        <f>SUM(AN25:AS25)+SUM(AW25:BB25)</f>
        <v>28800</v>
      </c>
      <c r="BI25" s="2"/>
      <c r="BJ25" s="2"/>
      <c r="BK25" s="2"/>
    </row>
    <row r="26" spans="2:63" s="5" customFormat="1">
      <c r="B26" s="265" t="s">
        <v>178</v>
      </c>
      <c r="C26" s="266"/>
      <c r="D26" s="26"/>
      <c r="E26" s="26"/>
      <c r="F26" s="26"/>
      <c r="G26" s="26"/>
      <c r="H26" s="26"/>
      <c r="I26" s="26"/>
      <c r="J26" s="3"/>
      <c r="K26" s="265" t="s">
        <v>178</v>
      </c>
      <c r="L26" s="266"/>
      <c r="M26" s="26"/>
      <c r="N26" s="26"/>
      <c r="O26" s="26"/>
      <c r="P26" s="26"/>
      <c r="Q26" s="26"/>
      <c r="R26" s="26"/>
      <c r="T26" s="265" t="s">
        <v>178</v>
      </c>
      <c r="U26" s="266"/>
      <c r="V26" s="26"/>
      <c r="W26" s="26"/>
      <c r="X26" s="26"/>
      <c r="Y26" s="26"/>
      <c r="Z26" s="26"/>
      <c r="AA26" s="26"/>
      <c r="AB26" s="3"/>
      <c r="AC26" s="265" t="s">
        <v>178</v>
      </c>
      <c r="AD26" s="266"/>
      <c r="AE26" s="26"/>
      <c r="AF26" s="26"/>
      <c r="AG26" s="26"/>
      <c r="AH26" s="26"/>
      <c r="AI26" s="26"/>
      <c r="AJ26" s="26"/>
      <c r="AL26" s="265" t="s">
        <v>178</v>
      </c>
      <c r="AM26" s="266"/>
      <c r="AN26" s="26"/>
      <c r="AO26" s="26"/>
      <c r="AP26" s="26"/>
      <c r="AQ26" s="26"/>
      <c r="AR26" s="26"/>
      <c r="AS26" s="26"/>
      <c r="AT26" s="3"/>
      <c r="AU26" s="265" t="s">
        <v>178</v>
      </c>
      <c r="AV26" s="266"/>
      <c r="AW26" s="26"/>
      <c r="AX26" s="26"/>
      <c r="AY26" s="26"/>
      <c r="AZ26" s="26"/>
      <c r="BA26" s="26"/>
      <c r="BB26" s="26"/>
      <c r="BC26" s="3"/>
      <c r="BD26" s="265" t="s">
        <v>178</v>
      </c>
      <c r="BE26" s="266"/>
      <c r="BF26" s="26"/>
      <c r="BG26" s="26"/>
      <c r="BH26" s="26"/>
      <c r="BI26" s="2"/>
      <c r="BJ26" s="2"/>
      <c r="BK26" s="2"/>
    </row>
    <row r="27" spans="2:63" s="5" customFormat="1" ht="12.75" customHeight="1">
      <c r="B27" s="265" t="s">
        <v>397</v>
      </c>
      <c r="C27" s="266"/>
      <c r="D27" s="26">
        <f>'6.PEF4. AMORTIZACIÓN'!G14</f>
        <v>858.33333333333337</v>
      </c>
      <c r="E27" s="26">
        <f>D27</f>
        <v>858.33333333333337</v>
      </c>
      <c r="F27" s="26">
        <f t="shared" ref="F27:I28" si="24">E27</f>
        <v>858.33333333333337</v>
      </c>
      <c r="G27" s="26">
        <f t="shared" si="24"/>
        <v>858.33333333333337</v>
      </c>
      <c r="H27" s="26">
        <f t="shared" si="24"/>
        <v>858.33333333333337</v>
      </c>
      <c r="I27" s="26">
        <f t="shared" si="24"/>
        <v>858.33333333333337</v>
      </c>
      <c r="J27" s="3"/>
      <c r="K27" s="265" t="s">
        <v>397</v>
      </c>
      <c r="L27" s="266"/>
      <c r="M27" s="26">
        <f>I27</f>
        <v>858.33333333333337</v>
      </c>
      <c r="N27" s="26">
        <f>M27</f>
        <v>858.33333333333337</v>
      </c>
      <c r="O27" s="26">
        <f t="shared" ref="O27:R28" si="25">N27</f>
        <v>858.33333333333337</v>
      </c>
      <c r="P27" s="26">
        <f t="shared" si="25"/>
        <v>858.33333333333337</v>
      </c>
      <c r="Q27" s="26">
        <f t="shared" si="25"/>
        <v>858.33333333333337</v>
      </c>
      <c r="R27" s="26">
        <f t="shared" si="25"/>
        <v>858.33333333333337</v>
      </c>
      <c r="T27" s="265" t="s">
        <v>397</v>
      </c>
      <c r="U27" s="266"/>
      <c r="V27" s="26">
        <f>'6.PEF4. AMORTIZACIÓN'!H14</f>
        <v>0</v>
      </c>
      <c r="W27" s="26">
        <f t="shared" ref="W27:AA28" si="26">V27</f>
        <v>0</v>
      </c>
      <c r="X27" s="26">
        <f t="shared" si="26"/>
        <v>0</v>
      </c>
      <c r="Y27" s="26">
        <f t="shared" si="26"/>
        <v>0</v>
      </c>
      <c r="Z27" s="26">
        <f t="shared" si="26"/>
        <v>0</v>
      </c>
      <c r="AA27" s="26">
        <f t="shared" si="26"/>
        <v>0</v>
      </c>
      <c r="AB27" s="3"/>
      <c r="AC27" s="265" t="s">
        <v>397</v>
      </c>
      <c r="AD27" s="266"/>
      <c r="AE27" s="26">
        <f>AA27</f>
        <v>0</v>
      </c>
      <c r="AF27" s="26">
        <f t="shared" ref="AF27:AJ28" si="27">AE27</f>
        <v>0</v>
      </c>
      <c r="AG27" s="26">
        <f t="shared" si="27"/>
        <v>0</v>
      </c>
      <c r="AH27" s="26">
        <f t="shared" si="27"/>
        <v>0</v>
      </c>
      <c r="AI27" s="26">
        <f t="shared" si="27"/>
        <v>0</v>
      </c>
      <c r="AJ27" s="26">
        <f t="shared" si="27"/>
        <v>0</v>
      </c>
      <c r="AL27" s="265" t="s">
        <v>397</v>
      </c>
      <c r="AM27" s="266"/>
      <c r="AN27" s="26">
        <f>'6.PEF4. AMORTIZACIÓN'!I14</f>
        <v>0</v>
      </c>
      <c r="AO27" s="26">
        <f t="shared" ref="AO27:AS28" si="28">AN27</f>
        <v>0</v>
      </c>
      <c r="AP27" s="26">
        <f t="shared" si="28"/>
        <v>0</v>
      </c>
      <c r="AQ27" s="26">
        <f t="shared" si="28"/>
        <v>0</v>
      </c>
      <c r="AR27" s="26">
        <f t="shared" si="28"/>
        <v>0</v>
      </c>
      <c r="AS27" s="26">
        <f t="shared" si="28"/>
        <v>0</v>
      </c>
      <c r="AT27" s="3"/>
      <c r="AU27" s="265" t="s">
        <v>397</v>
      </c>
      <c r="AV27" s="266"/>
      <c r="AW27" s="26">
        <f>AS27</f>
        <v>0</v>
      </c>
      <c r="AX27" s="26">
        <f t="shared" ref="AX27:BB28" si="29">AW27</f>
        <v>0</v>
      </c>
      <c r="AY27" s="26">
        <f t="shared" si="29"/>
        <v>0</v>
      </c>
      <c r="AZ27" s="26">
        <f t="shared" si="29"/>
        <v>0</v>
      </c>
      <c r="BA27" s="26">
        <f t="shared" si="29"/>
        <v>0</v>
      </c>
      <c r="BB27" s="26">
        <f t="shared" si="29"/>
        <v>0</v>
      </c>
      <c r="BC27" s="3"/>
      <c r="BD27" s="265" t="s">
        <v>397</v>
      </c>
      <c r="BE27" s="266"/>
      <c r="BF27" s="26">
        <f>SUM(D27:I27)+SUM(M27:R27)</f>
        <v>10300</v>
      </c>
      <c r="BG27" s="26">
        <f>SUM(V27:AA27)+SUM(AE27:AJ27)</f>
        <v>0</v>
      </c>
      <c r="BH27" s="26">
        <f>SUM(AN27:AS27)+SUM(AW27:BB27)</f>
        <v>0</v>
      </c>
      <c r="BI27" s="2"/>
      <c r="BJ27" s="2"/>
      <c r="BK27" s="2"/>
    </row>
    <row r="28" spans="2:63" s="5" customFormat="1" ht="12.75" customHeight="1">
      <c r="B28" s="265" t="s">
        <v>396</v>
      </c>
      <c r="C28" s="266"/>
      <c r="D28" s="26">
        <f>'6.PEF4. AMORTIZACIÓN'!G10</f>
        <v>471.78084110027339</v>
      </c>
      <c r="E28" s="26">
        <f>D28</f>
        <v>471.78084110027339</v>
      </c>
      <c r="F28" s="26">
        <f t="shared" si="24"/>
        <v>471.78084110027339</v>
      </c>
      <c r="G28" s="26">
        <f t="shared" si="24"/>
        <v>471.78084110027339</v>
      </c>
      <c r="H28" s="26">
        <f t="shared" si="24"/>
        <v>471.78084110027339</v>
      </c>
      <c r="I28" s="26">
        <f t="shared" si="24"/>
        <v>471.78084110027339</v>
      </c>
      <c r="J28" s="3"/>
      <c r="K28" s="265" t="s">
        <v>396</v>
      </c>
      <c r="L28" s="266"/>
      <c r="M28" s="26">
        <f>I28</f>
        <v>471.78084110027339</v>
      </c>
      <c r="N28" s="26">
        <f>M28</f>
        <v>471.78084110027339</v>
      </c>
      <c r="O28" s="26">
        <f t="shared" si="25"/>
        <v>471.78084110027339</v>
      </c>
      <c r="P28" s="26">
        <f t="shared" si="25"/>
        <v>471.78084110027339</v>
      </c>
      <c r="Q28" s="26">
        <f t="shared" si="25"/>
        <v>471.78084110027339</v>
      </c>
      <c r="R28" s="26">
        <f t="shared" si="25"/>
        <v>471.78084110027339</v>
      </c>
      <c r="T28" s="265" t="s">
        <v>396</v>
      </c>
      <c r="U28" s="266"/>
      <c r="V28" s="26">
        <f>'6.PEF4. AMORTIZACIÓN'!H10</f>
        <v>471.78084110027339</v>
      </c>
      <c r="W28" s="26">
        <f t="shared" si="26"/>
        <v>471.78084110027339</v>
      </c>
      <c r="X28" s="26">
        <f t="shared" si="26"/>
        <v>471.78084110027339</v>
      </c>
      <c r="Y28" s="26">
        <f t="shared" si="26"/>
        <v>471.78084110027339</v>
      </c>
      <c r="Z28" s="26">
        <f t="shared" si="26"/>
        <v>471.78084110027339</v>
      </c>
      <c r="AA28" s="26">
        <f t="shared" si="26"/>
        <v>471.78084110027339</v>
      </c>
      <c r="AB28" s="3"/>
      <c r="AC28" s="265" t="s">
        <v>396</v>
      </c>
      <c r="AD28" s="266"/>
      <c r="AE28" s="26">
        <f>AA28</f>
        <v>471.78084110027339</v>
      </c>
      <c r="AF28" s="26">
        <f t="shared" si="27"/>
        <v>471.78084110027339</v>
      </c>
      <c r="AG28" s="26">
        <f t="shared" si="27"/>
        <v>471.78084110027339</v>
      </c>
      <c r="AH28" s="26">
        <f t="shared" si="27"/>
        <v>471.78084110027339</v>
      </c>
      <c r="AI28" s="26">
        <f t="shared" si="27"/>
        <v>471.78084110027339</v>
      </c>
      <c r="AJ28" s="26">
        <f t="shared" si="27"/>
        <v>471.78084110027339</v>
      </c>
      <c r="AL28" s="265" t="s">
        <v>396</v>
      </c>
      <c r="AM28" s="266"/>
      <c r="AN28" s="26">
        <f>'6.PEF4. AMORTIZACIÓN'!I10</f>
        <v>471.78084110027339</v>
      </c>
      <c r="AO28" s="26">
        <f t="shared" si="28"/>
        <v>471.78084110027339</v>
      </c>
      <c r="AP28" s="26">
        <f t="shared" si="28"/>
        <v>471.78084110027339</v>
      </c>
      <c r="AQ28" s="26">
        <f t="shared" si="28"/>
        <v>471.78084110027339</v>
      </c>
      <c r="AR28" s="26">
        <f t="shared" si="28"/>
        <v>471.78084110027339</v>
      </c>
      <c r="AS28" s="26">
        <f t="shared" si="28"/>
        <v>471.78084110027339</v>
      </c>
      <c r="AT28" s="3"/>
      <c r="AU28" s="265" t="s">
        <v>396</v>
      </c>
      <c r="AV28" s="266"/>
      <c r="AW28" s="26">
        <f>AS28</f>
        <v>471.78084110027339</v>
      </c>
      <c r="AX28" s="26">
        <f t="shared" si="29"/>
        <v>471.78084110027339</v>
      </c>
      <c r="AY28" s="26">
        <f t="shared" si="29"/>
        <v>471.78084110027339</v>
      </c>
      <c r="AZ28" s="26">
        <f t="shared" si="29"/>
        <v>471.78084110027339</v>
      </c>
      <c r="BA28" s="26">
        <f t="shared" si="29"/>
        <v>471.78084110027339</v>
      </c>
      <c r="BB28" s="26">
        <f t="shared" si="29"/>
        <v>471.78084110027339</v>
      </c>
      <c r="BC28" s="3"/>
      <c r="BD28" s="265" t="s">
        <v>396</v>
      </c>
      <c r="BE28" s="266"/>
      <c r="BF28" s="26">
        <f>SUM(D28:I28)+SUM(M28:R28)</f>
        <v>5661.3700932032807</v>
      </c>
      <c r="BG28" s="26">
        <f>SUM(V28:AA28)+SUM(AE28:AJ28)</f>
        <v>5661.3700932032807</v>
      </c>
      <c r="BH28" s="26">
        <f>SUM(AN28:AS28)+SUM(AW28:BB28)</f>
        <v>5661.3700932032807</v>
      </c>
      <c r="BI28" s="2"/>
      <c r="BJ28" s="2"/>
      <c r="BK28" s="2"/>
    </row>
    <row r="29" spans="2:63" s="5" customFormat="1" ht="12.75" customHeight="1">
      <c r="B29" s="269" t="s">
        <v>430</v>
      </c>
      <c r="C29" s="270"/>
      <c r="D29" s="26"/>
      <c r="E29" s="26"/>
      <c r="F29" s="26"/>
      <c r="G29" s="26"/>
      <c r="H29" s="26"/>
      <c r="I29" s="26"/>
      <c r="J29" s="3"/>
      <c r="K29" s="269" t="s">
        <v>430</v>
      </c>
      <c r="L29" s="270"/>
      <c r="M29" s="26"/>
      <c r="N29" s="26"/>
      <c r="O29" s="26"/>
      <c r="P29" s="26"/>
      <c r="Q29" s="26"/>
      <c r="R29" s="26"/>
      <c r="T29" s="269" t="s">
        <v>430</v>
      </c>
      <c r="U29" s="270"/>
      <c r="V29" s="26">
        <f>'6.PEF6. EXPLOTACION'!BF29</f>
        <v>5053.3361411675032</v>
      </c>
      <c r="W29" s="26"/>
      <c r="X29" s="26"/>
      <c r="Y29" s="26"/>
      <c r="Z29" s="26"/>
      <c r="AA29" s="26"/>
      <c r="AB29" s="3"/>
      <c r="AC29" s="269" t="s">
        <v>430</v>
      </c>
      <c r="AD29" s="270"/>
      <c r="AE29" s="26"/>
      <c r="AF29" s="26"/>
      <c r="AG29" s="26"/>
      <c r="AH29" s="26"/>
      <c r="AI29" s="26"/>
      <c r="AJ29" s="26"/>
      <c r="AL29" s="269" t="s">
        <v>430</v>
      </c>
      <c r="AM29" s="270"/>
      <c r="AN29" s="26">
        <f>'6.PEF6. EXPLOTACION'!BG29</f>
        <v>6358.5708250115968</v>
      </c>
      <c r="AO29" s="26"/>
      <c r="AP29" s="26"/>
      <c r="AQ29" s="26"/>
      <c r="AR29" s="26"/>
      <c r="AS29" s="26"/>
      <c r="AT29" s="3"/>
      <c r="AU29" s="269" t="s">
        <v>430</v>
      </c>
      <c r="AV29" s="270"/>
      <c r="AW29" s="26"/>
      <c r="AX29" s="26"/>
      <c r="AY29" s="26"/>
      <c r="AZ29" s="26"/>
      <c r="BA29" s="26"/>
      <c r="BB29" s="26"/>
      <c r="BC29" s="3"/>
      <c r="BD29" s="269" t="s">
        <v>430</v>
      </c>
      <c r="BE29" s="270"/>
      <c r="BF29" s="26">
        <v>0</v>
      </c>
      <c r="BG29" s="26">
        <f>V29</f>
        <v>5053.3361411675032</v>
      </c>
      <c r="BH29" s="26">
        <f>AN29</f>
        <v>6358.5708250115968</v>
      </c>
      <c r="BI29" s="2"/>
      <c r="BJ29" s="2"/>
      <c r="BK29" s="2"/>
    </row>
    <row r="30" spans="2:63" s="5" customFormat="1">
      <c r="B30" s="269" t="s">
        <v>333</v>
      </c>
      <c r="C30" s="270"/>
      <c r="D30" s="55">
        <f>'6. PEF2-3. INVERS. Y FINANC.'!F38</f>
        <v>5586</v>
      </c>
      <c r="E30" s="26"/>
      <c r="F30" s="26"/>
      <c r="G30" s="55">
        <f>IF(D30-SUM(D35:F35)&gt;0,D30-SUM(D35:F35),0)</f>
        <v>7452.375</v>
      </c>
      <c r="H30" s="26"/>
      <c r="I30" s="26"/>
      <c r="J30" s="3"/>
      <c r="K30" s="269" t="s">
        <v>333</v>
      </c>
      <c r="L30" s="270"/>
      <c r="M30" s="55">
        <f>IF(G30-SUM(G35:I35)&gt;0,G30-SUM(G35:I35),0)</f>
        <v>8940.75</v>
      </c>
      <c r="N30" s="26"/>
      <c r="O30" s="26"/>
      <c r="P30" s="55">
        <f>IF(M30-SUM(M35:O35)&gt;0,M30-SUM(M35:O35),0)</f>
        <v>10523.625</v>
      </c>
      <c r="Q30" s="26"/>
      <c r="R30" s="26"/>
      <c r="T30" s="269" t="s">
        <v>333</v>
      </c>
      <c r="U30" s="270"/>
      <c r="V30" s="55">
        <f>IF(P30-SUM(P35:R35)&gt;0,P30-SUM(P35:R35),0)</f>
        <v>10689</v>
      </c>
      <c r="W30" s="26"/>
      <c r="X30" s="26"/>
      <c r="Y30" s="55">
        <f>IF(V30-SUM(V35:X35)&gt;0,V30-SUM(V35:X35),0)</f>
        <v>12928.65</v>
      </c>
      <c r="Z30" s="26"/>
      <c r="AA30" s="26"/>
      <c r="AB30" s="3"/>
      <c r="AC30" s="269" t="s">
        <v>333</v>
      </c>
      <c r="AD30" s="270"/>
      <c r="AE30" s="55">
        <f>IF(Y30-SUM(Y35:AA35)&gt;0,Y30-SUM(Y35:AA35),0)</f>
        <v>14714.699999999999</v>
      </c>
      <c r="AF30" s="26"/>
      <c r="AG30" s="26"/>
      <c r="AH30" s="55">
        <f>IF(AE30-SUM(AE35:AG35)&gt;0,AE30-SUM(AE35:AG35),0)</f>
        <v>16614.149999999998</v>
      </c>
      <c r="AI30" s="26"/>
      <c r="AJ30" s="26"/>
      <c r="AL30" s="269" t="s">
        <v>333</v>
      </c>
      <c r="AM30" s="270"/>
      <c r="AN30" s="55">
        <f>IF(AH30-SUM(AH35:AJ35)&gt;0,AH30-SUM(AH35:AJ35),0)</f>
        <v>16812.599999999999</v>
      </c>
      <c r="AO30" s="26"/>
      <c r="AP30" s="26"/>
      <c r="AQ30" s="55">
        <f>IF(AN30-SUM(AN35:AP35)&gt;0,AN30-SUM(AN35:AP35),0)</f>
        <v>19500.18</v>
      </c>
      <c r="AR30" s="26"/>
      <c r="AS30" s="26"/>
      <c r="AT30" s="3"/>
      <c r="AU30" s="269" t="s">
        <v>333</v>
      </c>
      <c r="AV30" s="270"/>
      <c r="AW30" s="55">
        <f>IF(AQ30-SUM(AQ35:AS35)&gt;0,AQ30-SUM(AQ35:AS35),0)</f>
        <v>21643.439999999999</v>
      </c>
      <c r="AX30" s="26"/>
      <c r="AY30" s="26"/>
      <c r="AZ30" s="55">
        <f>IF(AW30-SUM(AW35:AY35)&gt;0,AW30-SUM(AW35:AY35),0)</f>
        <v>23922.78</v>
      </c>
      <c r="BA30" s="26"/>
      <c r="BB30" s="26"/>
      <c r="BC30" s="3"/>
      <c r="BD30" s="269" t="s">
        <v>333</v>
      </c>
      <c r="BE30" s="270"/>
      <c r="BF30" s="55">
        <f>V30</f>
        <v>10689</v>
      </c>
      <c r="BG30" s="55">
        <f>+AN30</f>
        <v>16812.599999999999</v>
      </c>
      <c r="BH30" s="55">
        <f>IF(AZ30-SUM(AZ35:BB35)&gt;0,AZ30-SUM(AZ35:BB35),0)</f>
        <v>24160.92</v>
      </c>
      <c r="BI30" s="58"/>
      <c r="BJ30" s="2"/>
      <c r="BK30" s="2"/>
    </row>
    <row r="31" spans="2:63" s="5" customFormat="1" ht="12.75" customHeight="1">
      <c r="B31" s="307" t="s">
        <v>330</v>
      </c>
      <c r="C31" s="308"/>
      <c r="D31" s="55">
        <f>'6. PEF7. IVA'!D38</f>
        <v>0</v>
      </c>
      <c r="E31" s="55">
        <f>'6. PEF7. IVA'!F38</f>
        <v>0</v>
      </c>
      <c r="F31" s="55">
        <f>'6. PEF7. IVA'!H38</f>
        <v>0</v>
      </c>
      <c r="G31" s="55">
        <f>'6. PEF7. IVA'!J38</f>
        <v>0</v>
      </c>
      <c r="H31" s="55">
        <f>'6. PEF7. IVA'!L38</f>
        <v>0</v>
      </c>
      <c r="I31" s="55">
        <f>'6. PEF7. IVA'!N38</f>
        <v>0</v>
      </c>
      <c r="J31" s="3"/>
      <c r="K31" s="307" t="s">
        <v>330</v>
      </c>
      <c r="L31" s="308"/>
      <c r="M31" s="55">
        <f>'6. PEF7. IVA'!D49</f>
        <v>0</v>
      </c>
      <c r="N31" s="55">
        <f>'6. PEF7. IVA'!F49</f>
        <v>0</v>
      </c>
      <c r="O31" s="55">
        <f>'6. PEF7. IVA'!H49</f>
        <v>0</v>
      </c>
      <c r="P31" s="55">
        <f>'6. PEF7. IVA'!J49</f>
        <v>0</v>
      </c>
      <c r="Q31" s="55">
        <f>'6. PEF7. IVA'!L49</f>
        <v>0</v>
      </c>
      <c r="R31" s="55">
        <f>'6. PEF7. IVA'!N49</f>
        <v>0</v>
      </c>
      <c r="T31" s="307" t="s">
        <v>330</v>
      </c>
      <c r="U31" s="308"/>
      <c r="V31" s="55">
        <f>'6. PEF7. IVA'!S38</f>
        <v>0</v>
      </c>
      <c r="W31" s="55">
        <f>'6. PEF7. IVA'!U38</f>
        <v>0</v>
      </c>
      <c r="X31" s="55">
        <f>'6. PEF7. IVA'!W38</f>
        <v>0</v>
      </c>
      <c r="Y31" s="55">
        <f>'6. PEF7. IVA'!Y38</f>
        <v>0</v>
      </c>
      <c r="Z31" s="55">
        <f>'6. PEF7. IVA'!AA38</f>
        <v>0</v>
      </c>
      <c r="AA31" s="55">
        <f>'6. PEF7. IVA'!AC38</f>
        <v>0</v>
      </c>
      <c r="AB31" s="3"/>
      <c r="AC31" s="307" t="s">
        <v>330</v>
      </c>
      <c r="AD31" s="308"/>
      <c r="AE31" s="55">
        <f>'6. PEF7. IVA'!S49</f>
        <v>0</v>
      </c>
      <c r="AF31" s="55">
        <f>'6. PEF7. IVA'!U49</f>
        <v>0</v>
      </c>
      <c r="AG31" s="55">
        <f>'6. PEF7. IVA'!W49</f>
        <v>0</v>
      </c>
      <c r="AH31" s="55">
        <f>'6. PEF7. IVA'!Y49</f>
        <v>0</v>
      </c>
      <c r="AI31" s="55">
        <f>'6. PEF7. IVA'!AA49</f>
        <v>0</v>
      </c>
      <c r="AJ31" s="55">
        <f>'6. PEF7. IVA'!AC49</f>
        <v>0</v>
      </c>
      <c r="AL31" s="307" t="s">
        <v>330</v>
      </c>
      <c r="AM31" s="308"/>
      <c r="AN31" s="55">
        <f>'6. PEF7. IVA'!AH38</f>
        <v>0</v>
      </c>
      <c r="AO31" s="55">
        <f>'6. PEF7. IVA'!AJ38</f>
        <v>0</v>
      </c>
      <c r="AP31" s="55">
        <f>'6. PEF7. IVA'!AL38</f>
        <v>0</v>
      </c>
      <c r="AQ31" s="55">
        <f>'6. PEF7. IVA'!AN38</f>
        <v>0</v>
      </c>
      <c r="AR31" s="55">
        <f>'6. PEF7. IVA'!AP38</f>
        <v>0</v>
      </c>
      <c r="AS31" s="55">
        <f>'6. PEF7. IVA'!AR38</f>
        <v>0</v>
      </c>
      <c r="AT31" s="3"/>
      <c r="AU31" s="307" t="s">
        <v>330</v>
      </c>
      <c r="AV31" s="308"/>
      <c r="AW31" s="55">
        <f>'6. PEF7. IVA'!AH49</f>
        <v>0</v>
      </c>
      <c r="AX31" s="55">
        <f>'6. PEF7. IVA'!AJ49</f>
        <v>0</v>
      </c>
      <c r="AY31" s="55">
        <f>'6. PEF7. IVA'!AL49</f>
        <v>0</v>
      </c>
      <c r="AZ31" s="55">
        <f>'6. PEF7. IVA'!AN49</f>
        <v>0</v>
      </c>
      <c r="BA31" s="55">
        <f>'6. PEF7. IVA'!AP49</f>
        <v>0</v>
      </c>
      <c r="BB31" s="55">
        <f>'6. PEF7. IVA'!AR49</f>
        <v>0</v>
      </c>
      <c r="BC31" s="3"/>
      <c r="BD31" s="307" t="s">
        <v>330</v>
      </c>
      <c r="BE31" s="308"/>
      <c r="BF31" s="26">
        <f>SUM(D31:I31)+SUM(M31:R31)</f>
        <v>0</v>
      </c>
      <c r="BG31" s="26">
        <f>SUM(V31:AA31)+SUM(AE31:AJ31)</f>
        <v>0</v>
      </c>
      <c r="BH31" s="26">
        <f>SUM(AN31:AS31)+SUM(AW31:BB31)</f>
        <v>0</v>
      </c>
      <c r="BI31" s="58"/>
      <c r="BJ31" s="58"/>
      <c r="BK31" s="58"/>
    </row>
    <row r="32" spans="2:63" s="5" customFormat="1" ht="12.75" customHeight="1">
      <c r="B32" s="309" t="s">
        <v>331</v>
      </c>
      <c r="C32" s="310"/>
      <c r="D32" s="55">
        <f>'6. PEF7. IVA'!D40</f>
        <v>0</v>
      </c>
      <c r="E32" s="55">
        <f>'6. PEF7. IVA'!F40</f>
        <v>0</v>
      </c>
      <c r="F32" s="55">
        <f>'6. PEF7. IVA'!H40</f>
        <v>0</v>
      </c>
      <c r="G32" s="55">
        <f>'6. PEF7. IVA'!J40</f>
        <v>0</v>
      </c>
      <c r="H32" s="55">
        <f>'6. PEF7. IVA'!L40</f>
        <v>0</v>
      </c>
      <c r="I32" s="55">
        <f>'6. PEF7. IVA'!N40</f>
        <v>0</v>
      </c>
      <c r="J32" s="3"/>
      <c r="K32" s="309" t="s">
        <v>331</v>
      </c>
      <c r="L32" s="310"/>
      <c r="M32" s="55">
        <f>'6. PEF7. IVA'!D51</f>
        <v>0</v>
      </c>
      <c r="N32" s="55">
        <f>'6. PEF7. IVA'!F51</f>
        <v>0</v>
      </c>
      <c r="O32" s="55">
        <f>'6. PEF7. IVA'!H51</f>
        <v>0</v>
      </c>
      <c r="P32" s="55">
        <f>'6. PEF7. IVA'!J51</f>
        <v>0</v>
      </c>
      <c r="Q32" s="55">
        <f>'6. PEF7. IVA'!L51</f>
        <v>0</v>
      </c>
      <c r="R32" s="55">
        <f>'6. PEF7. IVA'!N51</f>
        <v>0</v>
      </c>
      <c r="T32" s="309" t="s">
        <v>331</v>
      </c>
      <c r="U32" s="310"/>
      <c r="V32" s="55">
        <f>'6. PEF7. IVA'!S40</f>
        <v>0</v>
      </c>
      <c r="W32" s="55">
        <f>'6. PEF7. IVA'!U40</f>
        <v>0</v>
      </c>
      <c r="X32" s="55">
        <f>'6. PEF7. IVA'!W40</f>
        <v>0</v>
      </c>
      <c r="Y32" s="55">
        <f>'6. PEF7. IVA'!Y40</f>
        <v>0</v>
      </c>
      <c r="Z32" s="55">
        <f>'6. PEF7. IVA'!AA40</f>
        <v>0</v>
      </c>
      <c r="AA32" s="55">
        <f>'6. PEF7. IVA'!AC40</f>
        <v>0</v>
      </c>
      <c r="AB32" s="3"/>
      <c r="AC32" s="309" t="s">
        <v>331</v>
      </c>
      <c r="AD32" s="310"/>
      <c r="AE32" s="55">
        <f>'6. PEF7. IVA'!S51</f>
        <v>0</v>
      </c>
      <c r="AF32" s="55">
        <f>'6. PEF7. IVA'!U51</f>
        <v>0</v>
      </c>
      <c r="AG32" s="55">
        <f>'6. PEF7. IVA'!W51</f>
        <v>0</v>
      </c>
      <c r="AH32" s="55">
        <f>'6. PEF7. IVA'!Y51</f>
        <v>0</v>
      </c>
      <c r="AI32" s="55">
        <f>'6. PEF7. IVA'!AA51</f>
        <v>0</v>
      </c>
      <c r="AJ32" s="55">
        <f>'6. PEF7. IVA'!AC51</f>
        <v>0</v>
      </c>
      <c r="AL32" s="309" t="s">
        <v>331</v>
      </c>
      <c r="AM32" s="310"/>
      <c r="AN32" s="55">
        <f>'6. PEF7. IVA'!AH40</f>
        <v>0</v>
      </c>
      <c r="AO32" s="55">
        <f>'6. PEF7. IVA'!AJ40</f>
        <v>0</v>
      </c>
      <c r="AP32" s="55">
        <f>'6. PEF7. IVA'!AL40</f>
        <v>0</v>
      </c>
      <c r="AQ32" s="55">
        <f>'6. PEF7. IVA'!AN40</f>
        <v>0</v>
      </c>
      <c r="AR32" s="55">
        <f>'6. PEF7. IVA'!AP40</f>
        <v>0</v>
      </c>
      <c r="AS32" s="55">
        <f>'6. PEF7. IVA'!AR40</f>
        <v>0</v>
      </c>
      <c r="AT32" s="3"/>
      <c r="AU32" s="309" t="s">
        <v>331</v>
      </c>
      <c r="AV32" s="310"/>
      <c r="AW32" s="55">
        <f>'6. PEF7. IVA'!AH51</f>
        <v>0</v>
      </c>
      <c r="AX32" s="55">
        <f>'6. PEF7. IVA'!AJ51</f>
        <v>0</v>
      </c>
      <c r="AY32" s="55">
        <f>'6. PEF7. IVA'!AL51</f>
        <v>0</v>
      </c>
      <c r="AZ32" s="55">
        <f>'6. PEF7. IVA'!AN51</f>
        <v>0</v>
      </c>
      <c r="BA32" s="55">
        <f>'6. PEF7. IVA'!AP51</f>
        <v>0</v>
      </c>
      <c r="BB32" s="55">
        <f>'6. PEF7. IVA'!AR51</f>
        <v>0</v>
      </c>
      <c r="BC32" s="3"/>
      <c r="BD32" s="309" t="s">
        <v>331</v>
      </c>
      <c r="BE32" s="310"/>
      <c r="BF32" s="26">
        <f>SUM(D32:I32)+SUM(M32:R32)</f>
        <v>0</v>
      </c>
      <c r="BG32" s="26">
        <f>SUM(V32:AA32)+SUM(AE32:AJ32)</f>
        <v>0</v>
      </c>
      <c r="BH32" s="26">
        <f>SUM(AN32:AS32)+SUM(AW32:BB32)</f>
        <v>0</v>
      </c>
      <c r="BI32" s="58"/>
      <c r="BJ32" s="58"/>
      <c r="BK32" s="58"/>
    </row>
    <row r="33" spans="2:63" s="5" customFormat="1" ht="12.75" customHeight="1">
      <c r="B33" s="311" t="s">
        <v>332</v>
      </c>
      <c r="C33" s="312"/>
      <c r="D33" s="55">
        <f>'6. PEF7. IVA'!D42</f>
        <v>1073.625</v>
      </c>
      <c r="E33" s="55">
        <f>'6. PEF7. IVA'!F42</f>
        <v>1073.625</v>
      </c>
      <c r="F33" s="55">
        <f>'6. PEF7. IVA'!H42</f>
        <v>1084.125</v>
      </c>
      <c r="G33" s="55">
        <f>'6. PEF7. IVA'!J42</f>
        <v>1084.125</v>
      </c>
      <c r="H33" s="55">
        <f>'6. PEF7. IVA'!L42</f>
        <v>1094.625</v>
      </c>
      <c r="I33" s="55">
        <f>'6. PEF7. IVA'!N42</f>
        <v>1094.625</v>
      </c>
      <c r="J33" s="2"/>
      <c r="K33" s="311" t="s">
        <v>332</v>
      </c>
      <c r="L33" s="312"/>
      <c r="M33" s="55">
        <f>'6. PEF7. IVA'!D53</f>
        <v>1094.625</v>
      </c>
      <c r="N33" s="55">
        <f>'6. PEF7. IVA'!F53</f>
        <v>1073.625</v>
      </c>
      <c r="O33" s="55">
        <f>'6. PEF7. IVA'!H53</f>
        <v>1094.625</v>
      </c>
      <c r="P33" s="55">
        <f>'6. PEF7. IVA'!J53</f>
        <v>1115.625</v>
      </c>
      <c r="Q33" s="55">
        <f>'6. PEF7. IVA'!L53</f>
        <v>1115.625</v>
      </c>
      <c r="R33" s="55">
        <f>'6. PEF7. IVA'!N53</f>
        <v>559.125</v>
      </c>
      <c r="T33" s="311" t="s">
        <v>332</v>
      </c>
      <c r="U33" s="312"/>
      <c r="V33" s="55">
        <f>'6. PEF7. IVA'!S42</f>
        <v>1288.3499999999999</v>
      </c>
      <c r="W33" s="55">
        <f>'6. PEF7. IVA'!U42</f>
        <v>1288.3499999999999</v>
      </c>
      <c r="X33" s="55">
        <f>'6. PEF7. IVA'!W42</f>
        <v>1300.95</v>
      </c>
      <c r="Y33" s="55">
        <f>'6. PEF7. IVA'!Y42</f>
        <v>1300.95</v>
      </c>
      <c r="Z33" s="55">
        <f>'6. PEF7. IVA'!AA42</f>
        <v>1313.55</v>
      </c>
      <c r="AA33" s="55">
        <f>'6. PEF7. IVA'!AC42</f>
        <v>1313.55</v>
      </c>
      <c r="AB33" s="2"/>
      <c r="AC33" s="311" t="s">
        <v>332</v>
      </c>
      <c r="AD33" s="312"/>
      <c r="AE33" s="55">
        <f>'6. PEF7. IVA'!S53</f>
        <v>1313.55</v>
      </c>
      <c r="AF33" s="55">
        <f>'6. PEF7. IVA'!U53</f>
        <v>1288.3499999999999</v>
      </c>
      <c r="AG33" s="55">
        <f>'6. PEF7. IVA'!W53</f>
        <v>1313.55</v>
      </c>
      <c r="AH33" s="55">
        <f>'6. PEF7. IVA'!Y53</f>
        <v>1338.75</v>
      </c>
      <c r="AI33" s="55">
        <f>'6. PEF7. IVA'!AA53</f>
        <v>1338.75</v>
      </c>
      <c r="AJ33" s="55">
        <f>'6. PEF7. IVA'!AC53</f>
        <v>670.94999999999993</v>
      </c>
      <c r="AL33" s="311" t="s">
        <v>332</v>
      </c>
      <c r="AM33" s="312"/>
      <c r="AN33" s="55">
        <f>'6. PEF7. IVA'!AH42</f>
        <v>1546.02</v>
      </c>
      <c r="AO33" s="55">
        <f>'6. PEF7. IVA'!AJ42</f>
        <v>1546.02</v>
      </c>
      <c r="AP33" s="55">
        <f>'6. PEF7. IVA'!AL42</f>
        <v>1561.1399999999999</v>
      </c>
      <c r="AQ33" s="55">
        <f>'6. PEF7. IVA'!AN42</f>
        <v>1561.1399999999999</v>
      </c>
      <c r="AR33" s="55">
        <f>'6. PEF7. IVA'!AP42</f>
        <v>1576.26</v>
      </c>
      <c r="AS33" s="55">
        <f>'6. PEF7. IVA'!AR42</f>
        <v>1576.26</v>
      </c>
      <c r="AT33" s="2"/>
      <c r="AU33" s="311" t="s">
        <v>332</v>
      </c>
      <c r="AV33" s="312"/>
      <c r="AW33" s="55">
        <f>'6. PEF7. IVA'!AH53</f>
        <v>1576.26</v>
      </c>
      <c r="AX33" s="55">
        <f>'6. PEF7. IVA'!AJ53</f>
        <v>1546.02</v>
      </c>
      <c r="AY33" s="55">
        <f>'6. PEF7. IVA'!AL53</f>
        <v>1576.26</v>
      </c>
      <c r="AZ33" s="55">
        <f>'6. PEF7. IVA'!AN53</f>
        <v>1606.5</v>
      </c>
      <c r="BA33" s="55">
        <f>'6. PEF7. IVA'!AP53</f>
        <v>1606.5</v>
      </c>
      <c r="BB33" s="55">
        <f>'6. PEF7. IVA'!AR53</f>
        <v>805.14</v>
      </c>
      <c r="BC33" s="2"/>
      <c r="BD33" s="311" t="s">
        <v>332</v>
      </c>
      <c r="BE33" s="312"/>
      <c r="BF33" s="26">
        <f>SUM(D33:I33)+SUM(M33:R33)</f>
        <v>12558</v>
      </c>
      <c r="BG33" s="26">
        <f>SUM(V33:AA33)+SUM(AE33:AJ33)</f>
        <v>15069.599999999999</v>
      </c>
      <c r="BH33" s="26">
        <f>SUM(AN33:AS33)+SUM(AW33:BB33)</f>
        <v>18083.52</v>
      </c>
      <c r="BI33" s="58"/>
      <c r="BJ33" s="58"/>
      <c r="BK33" s="58"/>
    </row>
    <row r="34" spans="2:63" s="5" customFormat="1" ht="12.75" customHeight="1">
      <c r="B34" s="269" t="s">
        <v>218</v>
      </c>
      <c r="C34" s="270"/>
      <c r="D34" s="60">
        <f t="shared" ref="D34:I34" si="30">SUM(D31:D33)</f>
        <v>1073.625</v>
      </c>
      <c r="E34" s="60">
        <f t="shared" si="30"/>
        <v>1073.625</v>
      </c>
      <c r="F34" s="60">
        <f t="shared" si="30"/>
        <v>1084.125</v>
      </c>
      <c r="G34" s="60">
        <f t="shared" si="30"/>
        <v>1084.125</v>
      </c>
      <c r="H34" s="60">
        <f t="shared" si="30"/>
        <v>1094.625</v>
      </c>
      <c r="I34" s="60">
        <f t="shared" si="30"/>
        <v>1094.625</v>
      </c>
      <c r="J34" s="2"/>
      <c r="K34" s="269" t="s">
        <v>218</v>
      </c>
      <c r="L34" s="270"/>
      <c r="M34" s="60">
        <f t="shared" ref="M34:R34" si="31">SUM(M31:M33)</f>
        <v>1094.625</v>
      </c>
      <c r="N34" s="60">
        <f t="shared" si="31"/>
        <v>1073.625</v>
      </c>
      <c r="O34" s="60">
        <f t="shared" si="31"/>
        <v>1094.625</v>
      </c>
      <c r="P34" s="60">
        <f t="shared" si="31"/>
        <v>1115.625</v>
      </c>
      <c r="Q34" s="60">
        <f t="shared" si="31"/>
        <v>1115.625</v>
      </c>
      <c r="R34" s="60">
        <f t="shared" si="31"/>
        <v>559.125</v>
      </c>
      <c r="T34" s="269" t="s">
        <v>218</v>
      </c>
      <c r="U34" s="270"/>
      <c r="V34" s="60">
        <f t="shared" ref="V34:AA34" si="32">SUM(V31:V33)</f>
        <v>1288.3499999999999</v>
      </c>
      <c r="W34" s="60">
        <f t="shared" si="32"/>
        <v>1288.3499999999999</v>
      </c>
      <c r="X34" s="60">
        <f t="shared" si="32"/>
        <v>1300.95</v>
      </c>
      <c r="Y34" s="60">
        <f t="shared" si="32"/>
        <v>1300.95</v>
      </c>
      <c r="Z34" s="60">
        <f t="shared" si="32"/>
        <v>1313.55</v>
      </c>
      <c r="AA34" s="60">
        <f t="shared" si="32"/>
        <v>1313.55</v>
      </c>
      <c r="AB34" s="2"/>
      <c r="AC34" s="269" t="s">
        <v>218</v>
      </c>
      <c r="AD34" s="270"/>
      <c r="AE34" s="60">
        <f t="shared" ref="AE34:AJ34" si="33">SUM(AE31:AE33)</f>
        <v>1313.55</v>
      </c>
      <c r="AF34" s="60">
        <f t="shared" si="33"/>
        <v>1288.3499999999999</v>
      </c>
      <c r="AG34" s="60">
        <f t="shared" si="33"/>
        <v>1313.55</v>
      </c>
      <c r="AH34" s="60">
        <f t="shared" si="33"/>
        <v>1338.75</v>
      </c>
      <c r="AI34" s="60">
        <f t="shared" si="33"/>
        <v>1338.75</v>
      </c>
      <c r="AJ34" s="60">
        <f t="shared" si="33"/>
        <v>670.94999999999993</v>
      </c>
      <c r="AL34" s="269" t="s">
        <v>218</v>
      </c>
      <c r="AM34" s="270"/>
      <c r="AN34" s="60">
        <f t="shared" ref="AN34:AS34" si="34">SUM(AN31:AN33)</f>
        <v>1546.02</v>
      </c>
      <c r="AO34" s="60">
        <f t="shared" si="34"/>
        <v>1546.02</v>
      </c>
      <c r="AP34" s="60">
        <f t="shared" si="34"/>
        <v>1561.1399999999999</v>
      </c>
      <c r="AQ34" s="60">
        <f t="shared" si="34"/>
        <v>1561.1399999999999</v>
      </c>
      <c r="AR34" s="60">
        <f t="shared" si="34"/>
        <v>1576.26</v>
      </c>
      <c r="AS34" s="60">
        <f t="shared" si="34"/>
        <v>1576.26</v>
      </c>
      <c r="AT34" s="2"/>
      <c r="AU34" s="269" t="s">
        <v>218</v>
      </c>
      <c r="AV34" s="270"/>
      <c r="AW34" s="60">
        <f t="shared" ref="AW34:BB34" si="35">SUM(AW31:AW33)</f>
        <v>1576.26</v>
      </c>
      <c r="AX34" s="60">
        <f t="shared" si="35"/>
        <v>1546.02</v>
      </c>
      <c r="AY34" s="60">
        <f t="shared" si="35"/>
        <v>1576.26</v>
      </c>
      <c r="AZ34" s="60">
        <f t="shared" si="35"/>
        <v>1606.5</v>
      </c>
      <c r="BA34" s="60">
        <f t="shared" si="35"/>
        <v>1606.5</v>
      </c>
      <c r="BB34" s="60">
        <f t="shared" si="35"/>
        <v>805.14</v>
      </c>
      <c r="BC34" s="2"/>
      <c r="BD34" s="269" t="s">
        <v>218</v>
      </c>
      <c r="BE34" s="270"/>
      <c r="BF34" s="60">
        <f>SUM(BF31:BF33)</f>
        <v>12558</v>
      </c>
      <c r="BG34" s="60">
        <f>SUM(BG31:BG33)</f>
        <v>15069.599999999999</v>
      </c>
      <c r="BH34" s="60">
        <f>SUM(BH31:BH33)</f>
        <v>18083.52</v>
      </c>
      <c r="BI34" s="58"/>
      <c r="BJ34" s="58"/>
      <c r="BK34" s="58"/>
    </row>
    <row r="35" spans="2:63" s="5" customFormat="1" ht="12.75" customHeight="1">
      <c r="B35" s="269" t="s">
        <v>394</v>
      </c>
      <c r="C35" s="270"/>
      <c r="D35" s="55">
        <f t="shared" ref="D35:I35" si="36">D15-D34</f>
        <v>-653.625</v>
      </c>
      <c r="E35" s="55">
        <f t="shared" si="36"/>
        <v>-653.625</v>
      </c>
      <c r="F35" s="55">
        <f t="shared" si="36"/>
        <v>-559.125</v>
      </c>
      <c r="G35" s="55">
        <f t="shared" si="36"/>
        <v>-559.125</v>
      </c>
      <c r="H35" s="55">
        <f t="shared" si="36"/>
        <v>-464.625</v>
      </c>
      <c r="I35" s="55">
        <f t="shared" si="36"/>
        <v>-464.625</v>
      </c>
      <c r="J35" s="2"/>
      <c r="K35" s="269" t="s">
        <v>394</v>
      </c>
      <c r="L35" s="270"/>
      <c r="M35" s="55">
        <f t="shared" ref="M35:R35" si="37">M15-M34</f>
        <v>-464.625</v>
      </c>
      <c r="N35" s="55">
        <f t="shared" si="37"/>
        <v>-653.625</v>
      </c>
      <c r="O35" s="55">
        <f t="shared" si="37"/>
        <v>-464.625</v>
      </c>
      <c r="P35" s="55">
        <f t="shared" si="37"/>
        <v>-275.625</v>
      </c>
      <c r="Q35" s="55">
        <f t="shared" si="37"/>
        <v>-275.625</v>
      </c>
      <c r="R35" s="55">
        <f t="shared" si="37"/>
        <v>385.875</v>
      </c>
      <c r="T35" s="269" t="s">
        <v>394</v>
      </c>
      <c r="U35" s="270"/>
      <c r="V35" s="55">
        <f t="shared" ref="V35:AA35" si="38">V15-V34</f>
        <v>-784.34999999999991</v>
      </c>
      <c r="W35" s="55">
        <f t="shared" si="38"/>
        <v>-784.34999999999991</v>
      </c>
      <c r="X35" s="55">
        <f t="shared" si="38"/>
        <v>-670.95</v>
      </c>
      <c r="Y35" s="55">
        <f t="shared" si="38"/>
        <v>-670.95</v>
      </c>
      <c r="Z35" s="55">
        <f t="shared" si="38"/>
        <v>-557.54999999999995</v>
      </c>
      <c r="AA35" s="55">
        <f t="shared" si="38"/>
        <v>-557.54999999999995</v>
      </c>
      <c r="AB35" s="2"/>
      <c r="AC35" s="269" t="s">
        <v>394</v>
      </c>
      <c r="AD35" s="270"/>
      <c r="AE35" s="55">
        <f t="shared" ref="AE35:AJ35" si="39">AE15-AE34</f>
        <v>-557.54999999999995</v>
      </c>
      <c r="AF35" s="55">
        <f t="shared" si="39"/>
        <v>-784.34999999999991</v>
      </c>
      <c r="AG35" s="55">
        <f t="shared" si="39"/>
        <v>-557.54999999999995</v>
      </c>
      <c r="AH35" s="55">
        <f t="shared" si="39"/>
        <v>-330.75</v>
      </c>
      <c r="AI35" s="55">
        <f t="shared" si="39"/>
        <v>-330.75</v>
      </c>
      <c r="AJ35" s="55">
        <f t="shared" si="39"/>
        <v>463.05000000000007</v>
      </c>
      <c r="AL35" s="269" t="s">
        <v>394</v>
      </c>
      <c r="AM35" s="270"/>
      <c r="AN35" s="55">
        <f t="shared" ref="AN35:AS35" si="40">AN15-AN34</f>
        <v>-941.22</v>
      </c>
      <c r="AO35" s="55">
        <f t="shared" si="40"/>
        <v>-941.22</v>
      </c>
      <c r="AP35" s="55">
        <f t="shared" si="40"/>
        <v>-805.13999999999987</v>
      </c>
      <c r="AQ35" s="55">
        <f t="shared" si="40"/>
        <v>-805.13999999999987</v>
      </c>
      <c r="AR35" s="55">
        <f t="shared" si="40"/>
        <v>-669.06000000000006</v>
      </c>
      <c r="AS35" s="55">
        <f t="shared" si="40"/>
        <v>-669.06000000000006</v>
      </c>
      <c r="AT35" s="2"/>
      <c r="AU35" s="269" t="s">
        <v>394</v>
      </c>
      <c r="AV35" s="270"/>
      <c r="AW35" s="55">
        <f t="shared" ref="AW35:BB35" si="41">AW15-AW34</f>
        <v>-669.06000000000006</v>
      </c>
      <c r="AX35" s="55">
        <f t="shared" si="41"/>
        <v>-941.22</v>
      </c>
      <c r="AY35" s="55">
        <f t="shared" si="41"/>
        <v>-669.06000000000006</v>
      </c>
      <c r="AZ35" s="55">
        <f t="shared" si="41"/>
        <v>-396.90000000000009</v>
      </c>
      <c r="BA35" s="55">
        <f t="shared" si="41"/>
        <v>-396.90000000000009</v>
      </c>
      <c r="BB35" s="55">
        <f t="shared" si="41"/>
        <v>555.66</v>
      </c>
      <c r="BC35" s="2"/>
      <c r="BD35" s="269" t="s">
        <v>394</v>
      </c>
      <c r="BE35" s="270"/>
      <c r="BF35" s="55">
        <f>SUM(D35:I35)+SUM(M35:R35)</f>
        <v>-5103</v>
      </c>
      <c r="BG35" s="55">
        <f>BG15-BG34</f>
        <v>-6123.5999999999985</v>
      </c>
      <c r="BH35" s="55">
        <f>BH15-BH34</f>
        <v>-7348.32</v>
      </c>
      <c r="BI35" s="58"/>
      <c r="BJ35" s="58"/>
      <c r="BK35" s="58"/>
    </row>
    <row r="36" spans="2:63" s="5" customFormat="1" ht="12.75" customHeight="1">
      <c r="B36" s="269" t="s">
        <v>395</v>
      </c>
      <c r="C36" s="270"/>
      <c r="D36" s="26"/>
      <c r="E36" s="26"/>
      <c r="F36" s="26"/>
      <c r="G36" s="26">
        <f>IF(SUM(D35:F35)&gt;D30,SUM(D35:F35)-D30,0)</f>
        <v>0</v>
      </c>
      <c r="H36" s="26"/>
      <c r="I36" s="26"/>
      <c r="J36" s="31"/>
      <c r="K36" s="269" t="s">
        <v>395</v>
      </c>
      <c r="L36" s="270"/>
      <c r="M36" s="26">
        <f>IF(SUM(G35:I35)&gt;G30,SUM(G35:I35)-(G30),0)</f>
        <v>0</v>
      </c>
      <c r="N36" s="26"/>
      <c r="O36" s="26"/>
      <c r="P36" s="26">
        <f>IF(SUM(M35:O35)&gt;M30,SUM(M35:O35)-(M30),0)</f>
        <v>0</v>
      </c>
      <c r="Q36" s="26"/>
      <c r="R36" s="26"/>
      <c r="T36" s="269" t="s">
        <v>395</v>
      </c>
      <c r="U36" s="270"/>
      <c r="V36" s="26">
        <f>IF(SUM(P35:R35)&gt;P30,SUM(P35:R35)-(P30),0)</f>
        <v>0</v>
      </c>
      <c r="W36" s="26"/>
      <c r="X36" s="26"/>
      <c r="Y36" s="26">
        <f>IF(SUM(V35:X35)&gt;V30,SUM(V35:X35)-(V30),0)</f>
        <v>0</v>
      </c>
      <c r="Z36" s="26"/>
      <c r="AA36" s="26"/>
      <c r="AB36" s="31"/>
      <c r="AC36" s="269" t="s">
        <v>395</v>
      </c>
      <c r="AD36" s="270"/>
      <c r="AE36" s="26">
        <f>IF(SUM(Y35:AA35)&gt;Y30,SUM(Y35:AA35)-(Y30),0)</f>
        <v>0</v>
      </c>
      <c r="AF36" s="26"/>
      <c r="AG36" s="26"/>
      <c r="AH36" s="26">
        <f>IF(SUM(AE35:AG35)&gt;AE30,SUM(AE35:AG35)-(AE30),0)</f>
        <v>0</v>
      </c>
      <c r="AI36" s="26"/>
      <c r="AJ36" s="26"/>
      <c r="AL36" s="269" t="s">
        <v>395</v>
      </c>
      <c r="AM36" s="270"/>
      <c r="AN36" s="26">
        <f>IF(SUM(AH35:AJ35)&gt;AH30,SUM(AH35:AJ35)-(AH30),0)</f>
        <v>0</v>
      </c>
      <c r="AO36" s="26"/>
      <c r="AP36" s="26"/>
      <c r="AQ36" s="26">
        <f>IF(SUM(AN35:AP35)&gt;AN30,SUM(AN35:AP35)-AN30,0)</f>
        <v>0</v>
      </c>
      <c r="AR36" s="26"/>
      <c r="AS36" s="26"/>
      <c r="AT36" s="31"/>
      <c r="AU36" s="269" t="s">
        <v>395</v>
      </c>
      <c r="AV36" s="270"/>
      <c r="AW36" s="26">
        <f>IF(SUM(AQ35:AS35)&gt;AQ30,SUM(AQ35:AS35)-AQ30,0)</f>
        <v>0</v>
      </c>
      <c r="AX36" s="26"/>
      <c r="AY36" s="26"/>
      <c r="AZ36" s="26">
        <f>IF(SUM(AW35:AY35)&gt;AW30,SUM(AW35:AY35)-AW30,0)</f>
        <v>0</v>
      </c>
      <c r="BA36" s="26"/>
      <c r="BB36" s="26"/>
      <c r="BC36" s="31"/>
      <c r="BD36" s="269" t="s">
        <v>395</v>
      </c>
      <c r="BE36" s="270"/>
      <c r="BF36" s="26">
        <f>V36</f>
        <v>0</v>
      </c>
      <c r="BG36" s="26">
        <f>AN36</f>
        <v>0</v>
      </c>
      <c r="BH36" s="26">
        <f>IF(SUM(AZ35:BB35)&gt;AZ30,SUM(AZ35:BB35)-(AZ30),0)</f>
        <v>0</v>
      </c>
      <c r="BI36" s="2"/>
      <c r="BJ36" s="2"/>
      <c r="BK36" s="2"/>
    </row>
    <row r="37" spans="2:63" ht="12.75" customHeight="1">
      <c r="B37" s="263" t="s">
        <v>179</v>
      </c>
      <c r="C37" s="263"/>
      <c r="D37" s="24">
        <f>SUM(D21:D29)+D34+D36</f>
        <v>6282.9058411002734</v>
      </c>
      <c r="E37" s="24">
        <f t="shared" ref="E37:I37" si="42">SUM(E21:E29)+E34+E36</f>
        <v>7282.9058411002734</v>
      </c>
      <c r="F37" s="24">
        <f t="shared" si="42"/>
        <v>9293.4058411002734</v>
      </c>
      <c r="G37" s="24">
        <f t="shared" si="42"/>
        <v>10293.405841100273</v>
      </c>
      <c r="H37" s="24">
        <f t="shared" si="42"/>
        <v>9303.9058411002734</v>
      </c>
      <c r="I37" s="24">
        <f t="shared" si="42"/>
        <v>7303.9058411002734</v>
      </c>
      <c r="K37" s="263" t="s">
        <v>179</v>
      </c>
      <c r="L37" s="263"/>
      <c r="M37" s="24">
        <f>SUM(M21:M29)+M34+M36</f>
        <v>7303.9058411002734</v>
      </c>
      <c r="N37" s="24">
        <f t="shared" ref="N37" si="43">SUM(N21:N29)+N34+N36</f>
        <v>5782.9058411002734</v>
      </c>
      <c r="O37" s="24">
        <f t="shared" ref="O37" si="44">SUM(O21:O29)+O34+O36</f>
        <v>7303.9058411002734</v>
      </c>
      <c r="P37" s="24">
        <f t="shared" ref="P37" si="45">SUM(P21:P29)+P34+P36</f>
        <v>6824.9058411002734</v>
      </c>
      <c r="Q37" s="24">
        <f t="shared" ref="Q37" si="46">SUM(Q21:Q29)+Q34+Q36</f>
        <v>9324.9058411002734</v>
      </c>
      <c r="R37" s="24">
        <f t="shared" ref="R37" si="47">SUM(R21:R29)+R34+R36</f>
        <v>6268.4058411002734</v>
      </c>
      <c r="T37" s="263" t="s">
        <v>179</v>
      </c>
      <c r="U37" s="263"/>
      <c r="V37" s="24">
        <f>SUM(V21:V29)+V34+V36</f>
        <v>11468.466982267777</v>
      </c>
      <c r="W37" s="24">
        <f t="shared" ref="W37" si="48">SUM(W21:W29)+W34+W36</f>
        <v>7615.1308411002738</v>
      </c>
      <c r="X37" s="24">
        <f t="shared" ref="X37" si="49">SUM(X21:X29)+X34+X36</f>
        <v>10027.730841100274</v>
      </c>
      <c r="Y37" s="24">
        <f t="shared" ref="Y37" si="50">SUM(Y21:Y29)+Y34+Y36</f>
        <v>11227.730841100274</v>
      </c>
      <c r="Z37" s="24">
        <f t="shared" ref="Z37" si="51">SUM(Z21:Z29)+Z34+Z36</f>
        <v>10040.330841100273</v>
      </c>
      <c r="AA37" s="24">
        <f t="shared" ref="AA37" si="52">SUM(AA21:AA29)+AA34+AA36</f>
        <v>7640.3308411002736</v>
      </c>
      <c r="AC37" s="263" t="s">
        <v>179</v>
      </c>
      <c r="AD37" s="263"/>
      <c r="AE37" s="24">
        <f>SUM(AE21:AE29)+AE34+AE36</f>
        <v>7640.3308411002736</v>
      </c>
      <c r="AF37" s="24">
        <f t="shared" ref="AF37" si="53">SUM(AF21:AF29)+AF34+AF36</f>
        <v>5815.1308411002738</v>
      </c>
      <c r="AG37" s="24">
        <f t="shared" ref="AG37" si="54">SUM(AG21:AG29)+AG34+AG36</f>
        <v>7640.3308411002736</v>
      </c>
      <c r="AH37" s="24">
        <f t="shared" ref="AH37" si="55">SUM(AH21:AH29)+AH34+AH36</f>
        <v>7065.5308411002734</v>
      </c>
      <c r="AI37" s="24">
        <f t="shared" ref="AI37" si="56">SUM(AI21:AI29)+AI34+AI36</f>
        <v>10065.530841100273</v>
      </c>
      <c r="AJ37" s="24">
        <f t="shared" ref="AJ37" si="57">SUM(AJ21:AJ29)+AJ34+AJ36</f>
        <v>6397.7308411002732</v>
      </c>
      <c r="AL37" s="263" t="s">
        <v>179</v>
      </c>
      <c r="AM37" s="263"/>
      <c r="AN37" s="24">
        <f>SUM(AN21:AN29)+AN34+AN36</f>
        <v>13962.371666111871</v>
      </c>
      <c r="AO37" s="24">
        <f t="shared" ref="AO37" si="58">SUM(AO21:AO29)+AO34+AO36</f>
        <v>9043.8008411002738</v>
      </c>
      <c r="AP37" s="24">
        <f t="shared" ref="AP37" si="59">SUM(AP21:AP29)+AP34+AP36</f>
        <v>11938.920841100273</v>
      </c>
      <c r="AQ37" s="24">
        <f t="shared" ref="AQ37" si="60">SUM(AQ21:AQ29)+AQ34+AQ36</f>
        <v>13378.920841100273</v>
      </c>
      <c r="AR37" s="24">
        <f t="shared" ref="AR37" si="61">SUM(AR21:AR29)+AR34+AR36</f>
        <v>11954.040841100274</v>
      </c>
      <c r="AS37" s="24">
        <f t="shared" ref="AS37" si="62">SUM(AS21:AS29)+AS34+AS36</f>
        <v>9074.0408411002736</v>
      </c>
      <c r="AU37" s="263" t="s">
        <v>179</v>
      </c>
      <c r="AV37" s="263"/>
      <c r="AW37" s="24">
        <f>SUM(AW21:AW29)+AW34+AW36</f>
        <v>9074.0408411002736</v>
      </c>
      <c r="AX37" s="24">
        <f t="shared" ref="AX37" si="63">SUM(AX21:AX29)+AX34+AX36</f>
        <v>6883.8008411002738</v>
      </c>
      <c r="AY37" s="24">
        <f t="shared" ref="AY37" si="64">SUM(AY21:AY29)+AY34+AY36</f>
        <v>9074.0408411002736</v>
      </c>
      <c r="AZ37" s="24">
        <f t="shared" ref="AZ37" si="65">SUM(AZ21:AZ29)+AZ34+AZ36</f>
        <v>8384.2808411002734</v>
      </c>
      <c r="BA37" s="24">
        <f t="shared" ref="BA37" si="66">SUM(BA21:BA29)+BA34+BA36</f>
        <v>11984.280841100273</v>
      </c>
      <c r="BB37" s="24">
        <f t="shared" ref="BB37" si="67">SUM(BB21:BB29)+BB34+BB36</f>
        <v>7582.9208411002737</v>
      </c>
      <c r="BD37" s="263" t="s">
        <v>179</v>
      </c>
      <c r="BE37" s="263"/>
      <c r="BF37" s="24">
        <f>SUM(BF22:BF29)+BF34</f>
        <v>92569.370093203281</v>
      </c>
      <c r="BG37" s="24">
        <f>SUM(BG22:BG29)+BG34</f>
        <v>102644.30623437077</v>
      </c>
      <c r="BH37" s="24">
        <f>SUM(BH22:BH29)+BH34</f>
        <v>122335.46091821489</v>
      </c>
      <c r="BI37" s="38"/>
      <c r="BJ37" s="38"/>
      <c r="BK37" s="38"/>
    </row>
    <row r="38" spans="2:63" ht="12" customHeight="1">
      <c r="B38" s="241" t="s">
        <v>180</v>
      </c>
      <c r="C38" s="241"/>
      <c r="D38" s="17">
        <f t="shared" ref="D38:I38" si="68">D17-D37</f>
        <v>14451.094158899727</v>
      </c>
      <c r="E38" s="17">
        <f t="shared" si="68"/>
        <v>15588.188317799453</v>
      </c>
      <c r="F38" s="17">
        <f t="shared" si="68"/>
        <v>16819.78247669918</v>
      </c>
      <c r="G38" s="17">
        <f t="shared" si="68"/>
        <v>22051.376635598906</v>
      </c>
      <c r="H38" s="17">
        <f t="shared" si="68"/>
        <v>25377.470794498633</v>
      </c>
      <c r="I38" s="17">
        <f t="shared" si="68"/>
        <v>21703.56495339836</v>
      </c>
      <c r="K38" s="241" t="s">
        <v>180</v>
      </c>
      <c r="L38" s="241"/>
      <c r="M38" s="17">
        <f t="shared" ref="M38:R38" si="69">M17-M37</f>
        <v>18029.659112298086</v>
      </c>
      <c r="N38" s="17">
        <f t="shared" si="69"/>
        <v>14666.753271197813</v>
      </c>
      <c r="O38" s="17">
        <f t="shared" si="69"/>
        <v>15992.847430097539</v>
      </c>
      <c r="P38" s="17">
        <f t="shared" si="69"/>
        <v>15007.941588997266</v>
      </c>
      <c r="Q38" s="17">
        <f t="shared" si="69"/>
        <v>18523.035747896993</v>
      </c>
      <c r="R38" s="17">
        <f t="shared" si="69"/>
        <v>17699.629906796719</v>
      </c>
      <c r="T38" s="241" t="s">
        <v>180</v>
      </c>
      <c r="U38" s="241"/>
      <c r="V38" s="17">
        <f t="shared" ref="V38:AA38" si="70">V17-V37</f>
        <v>12735.162924528942</v>
      </c>
      <c r="W38" s="17">
        <f t="shared" si="70"/>
        <v>15224.03208342867</v>
      </c>
      <c r="X38" s="17">
        <f t="shared" si="70"/>
        <v>17826.301242328394</v>
      </c>
      <c r="Y38" s="17">
        <f t="shared" si="70"/>
        <v>25228.57040122812</v>
      </c>
      <c r="Z38" s="17">
        <f t="shared" si="70"/>
        <v>30344.239560127848</v>
      </c>
      <c r="AA38" s="17">
        <f t="shared" si="70"/>
        <v>27059.908719027575</v>
      </c>
      <c r="AC38" s="241" t="s">
        <v>180</v>
      </c>
      <c r="AD38" s="241"/>
      <c r="AE38" s="17">
        <f t="shared" ref="AE38:AJ38" si="71">AE17-AE37</f>
        <v>23775.577877927302</v>
      </c>
      <c r="AF38" s="17">
        <f t="shared" si="71"/>
        <v>20864.447036827027</v>
      </c>
      <c r="AG38" s="17">
        <f t="shared" si="71"/>
        <v>23580.116195726754</v>
      </c>
      <c r="AH38" s="17">
        <f t="shared" si="71"/>
        <v>23522.585354626481</v>
      </c>
      <c r="AI38" s="17">
        <f t="shared" si="71"/>
        <v>28865.054513526211</v>
      </c>
      <c r="AJ38" s="17">
        <f t="shared" si="71"/>
        <v>29001.323672425933</v>
      </c>
      <c r="AL38" s="241" t="s">
        <v>180</v>
      </c>
      <c r="AM38" s="241"/>
      <c r="AN38" s="17">
        <f t="shared" ref="AN38:AS38" si="72">AN17-AN37</f>
        <v>22843.752006314066</v>
      </c>
      <c r="AO38" s="17">
        <f t="shared" si="72"/>
        <v>25924.751165213798</v>
      </c>
      <c r="AP38" s="17">
        <f t="shared" si="72"/>
        <v>29141.830324113525</v>
      </c>
      <c r="AQ38" s="17">
        <f t="shared" si="72"/>
        <v>38118.909483013253</v>
      </c>
      <c r="AR38" s="17">
        <f t="shared" si="72"/>
        <v>44352.068641912978</v>
      </c>
      <c r="AS38" s="17">
        <f t="shared" si="72"/>
        <v>40505.227800812703</v>
      </c>
      <c r="AU38" s="241" t="s">
        <v>180</v>
      </c>
      <c r="AV38" s="241"/>
      <c r="AW38" s="17">
        <f t="shared" ref="AW38:BB38" si="73">AW17-AW37</f>
        <v>36658.386959712429</v>
      </c>
      <c r="AX38" s="17">
        <f t="shared" si="73"/>
        <v>33259.386118612158</v>
      </c>
      <c r="AY38" s="17">
        <f t="shared" si="73"/>
        <v>36612.545277511883</v>
      </c>
      <c r="AZ38" s="17">
        <f t="shared" si="73"/>
        <v>36637.864436411604</v>
      </c>
      <c r="BA38" s="17">
        <f t="shared" si="73"/>
        <v>43143.183595311333</v>
      </c>
      <c r="BB38" s="17">
        <f t="shared" si="73"/>
        <v>43401.06275421106</v>
      </c>
      <c r="BD38" s="241" t="s">
        <v>180</v>
      </c>
      <c r="BE38" s="241"/>
      <c r="BF38" s="17">
        <f>+R38</f>
        <v>17699.629906796719</v>
      </c>
      <c r="BG38" s="17">
        <f>+AJ38</f>
        <v>29001.323672425933</v>
      </c>
      <c r="BH38" s="17">
        <f>+BB38</f>
        <v>43401.06275421106</v>
      </c>
      <c r="BI38" s="3"/>
      <c r="BJ38" s="3"/>
      <c r="BK38" s="3"/>
    </row>
    <row r="39" spans="2:63" s="5" customFormat="1" ht="12.75" customHeight="1">
      <c r="K39" s="48"/>
      <c r="L39" s="48"/>
      <c r="M39" s="2"/>
      <c r="N39" s="2"/>
      <c r="O39" s="2"/>
      <c r="P39" s="2"/>
      <c r="Q39" s="2"/>
      <c r="R39" s="2"/>
      <c r="AC39" s="48"/>
      <c r="AD39" s="48"/>
      <c r="AE39" s="2"/>
      <c r="AF39" s="2"/>
      <c r="AG39" s="2"/>
      <c r="AH39" s="2"/>
      <c r="AI39" s="2"/>
      <c r="AJ39" s="2"/>
      <c r="AU39" s="48"/>
      <c r="AV39" s="48"/>
      <c r="AW39" s="2"/>
      <c r="AX39" s="2"/>
      <c r="AY39" s="2"/>
      <c r="AZ39" s="2"/>
      <c r="BA39" s="2"/>
      <c r="BB39" s="2"/>
      <c r="BD39" s="48"/>
      <c r="BE39" s="48"/>
      <c r="BF39" s="2"/>
      <c r="BG39" s="2"/>
      <c r="BH39" s="2"/>
      <c r="BI39" s="2"/>
      <c r="BJ39" s="2"/>
      <c r="BK39" s="2"/>
    </row>
    <row r="40" spans="2:63" ht="12.75" customHeight="1">
      <c r="M40" s="3"/>
      <c r="N40" s="3"/>
      <c r="O40" s="3"/>
      <c r="P40" s="3"/>
      <c r="Q40" s="3"/>
      <c r="R40" s="3"/>
      <c r="AE40" s="3"/>
      <c r="AF40" s="3"/>
      <c r="AG40" s="3"/>
      <c r="AH40" s="3"/>
      <c r="AI40" s="3"/>
      <c r="AJ40" s="3"/>
      <c r="AW40" s="3"/>
      <c r="AX40" s="3"/>
      <c r="AY40" s="3"/>
      <c r="AZ40" s="3"/>
      <c r="BA40" s="3"/>
      <c r="BB40" s="3"/>
      <c r="BF40" s="3"/>
      <c r="BG40" s="3"/>
      <c r="BH40" s="3"/>
      <c r="BI40" s="3"/>
      <c r="BJ40" s="3"/>
      <c r="BK40" s="3"/>
    </row>
    <row r="41" spans="2:63" ht="12.75" customHeight="1">
      <c r="P41" s="2"/>
      <c r="Q41" s="2"/>
      <c r="R41" s="42"/>
      <c r="AH41" s="2"/>
      <c r="AI41" s="2"/>
      <c r="AJ41" s="42"/>
      <c r="AZ41" s="2"/>
      <c r="BA41" s="2"/>
      <c r="BB41" s="42"/>
      <c r="BI41" s="2"/>
      <c r="BJ41" s="2"/>
      <c r="BK41" s="42"/>
    </row>
    <row r="42" spans="2:63" ht="12.75" customHeight="1">
      <c r="P42" s="2"/>
      <c r="Q42" s="2"/>
      <c r="R42" s="43"/>
      <c r="AH42" s="2"/>
      <c r="AI42" s="2"/>
      <c r="AJ42" s="43"/>
      <c r="AZ42" s="2"/>
      <c r="BA42" s="2"/>
      <c r="BB42" s="43"/>
      <c r="BI42" s="2"/>
      <c r="BJ42" s="2"/>
      <c r="BK42" s="43"/>
    </row>
    <row r="43" spans="2:63">
      <c r="P43" s="2"/>
      <c r="Q43" s="2"/>
      <c r="R43" s="43"/>
      <c r="AH43" s="2"/>
      <c r="AI43" s="2"/>
      <c r="AJ43" s="43"/>
      <c r="AZ43" s="2"/>
      <c r="BA43" s="2"/>
      <c r="BB43" s="43"/>
      <c r="BI43" s="2"/>
      <c r="BJ43" s="2"/>
      <c r="BK43" s="43"/>
    </row>
    <row r="44" spans="2:63">
      <c r="P44" s="2"/>
      <c r="Q44" s="3"/>
      <c r="R44" s="44"/>
      <c r="AH44" s="2"/>
      <c r="AI44" s="3"/>
      <c r="AJ44" s="44"/>
      <c r="AZ44" s="2"/>
      <c r="BA44" s="3"/>
      <c r="BB44" s="44"/>
      <c r="BI44" s="2"/>
      <c r="BJ44" s="3"/>
      <c r="BK44" s="44"/>
    </row>
    <row r="45" spans="2:63">
      <c r="L45" s="45"/>
      <c r="M45" s="45"/>
      <c r="N45" s="45"/>
      <c r="O45" s="38"/>
      <c r="P45" s="2"/>
      <c r="R45" s="8"/>
      <c r="AD45" s="45"/>
      <c r="AE45" s="45"/>
      <c r="AF45" s="45"/>
      <c r="AG45" s="38"/>
      <c r="AH45" s="2"/>
      <c r="AJ45" s="8"/>
      <c r="AV45" s="45"/>
      <c r="AW45" s="45"/>
      <c r="AX45" s="45"/>
      <c r="AY45" s="38"/>
      <c r="AZ45" s="2"/>
      <c r="BB45" s="8"/>
      <c r="BE45" s="45"/>
      <c r="BF45" s="45"/>
      <c r="BG45" s="45"/>
      <c r="BH45" s="38"/>
      <c r="BI45" s="2"/>
      <c r="BK45" s="8"/>
    </row>
    <row r="46" spans="2:63">
      <c r="D46" s="32"/>
      <c r="E46" s="32"/>
      <c r="F46" s="32"/>
      <c r="G46" s="32"/>
      <c r="H46" s="32"/>
      <c r="I46" s="32"/>
      <c r="L46" s="45"/>
      <c r="M46" s="45"/>
      <c r="N46" s="45"/>
      <c r="O46" s="38"/>
      <c r="P46" s="2"/>
      <c r="R46" s="8"/>
      <c r="V46" s="32"/>
      <c r="W46" s="32"/>
      <c r="X46" s="32"/>
      <c r="Y46" s="32"/>
      <c r="Z46" s="32"/>
      <c r="AA46" s="32"/>
      <c r="AD46" s="45"/>
      <c r="AE46" s="45"/>
      <c r="AF46" s="45"/>
      <c r="AG46" s="38"/>
      <c r="AH46" s="2"/>
      <c r="AJ46" s="8"/>
      <c r="AN46" s="32"/>
      <c r="AO46" s="32"/>
      <c r="AP46" s="32"/>
      <c r="AQ46" s="32"/>
      <c r="AR46" s="32"/>
      <c r="AS46" s="32"/>
      <c r="AV46" s="45"/>
      <c r="AW46" s="45"/>
      <c r="AX46" s="45"/>
      <c r="AY46" s="38"/>
      <c r="AZ46" s="2"/>
      <c r="BB46" s="8"/>
      <c r="BE46" s="45"/>
      <c r="BF46" s="45"/>
      <c r="BG46" s="45"/>
      <c r="BH46" s="38"/>
      <c r="BI46" s="2"/>
      <c r="BK46" s="8"/>
    </row>
    <row r="47" spans="2:63">
      <c r="C47" s="8"/>
      <c r="D47" s="8"/>
      <c r="E47" s="8"/>
      <c r="F47" s="8"/>
      <c r="G47" s="8"/>
      <c r="H47" s="8"/>
      <c r="I47" s="8"/>
      <c r="J47" s="8"/>
      <c r="K47" s="8"/>
      <c r="L47" s="8"/>
      <c r="M47" s="8"/>
      <c r="N47" s="8"/>
      <c r="O47" s="8"/>
      <c r="P47" s="46"/>
      <c r="Q47" s="8"/>
      <c r="R47" s="8"/>
      <c r="U47" s="8"/>
      <c r="V47" s="8"/>
      <c r="W47" s="8"/>
      <c r="X47" s="8"/>
      <c r="Y47" s="8"/>
      <c r="Z47" s="8"/>
      <c r="AA47" s="8"/>
      <c r="AB47" s="8"/>
      <c r="AC47" s="8"/>
      <c r="AD47" s="8"/>
      <c r="AE47" s="8"/>
      <c r="AF47" s="8"/>
      <c r="AG47" s="8"/>
      <c r="AH47" s="46"/>
      <c r="AI47" s="8"/>
      <c r="AJ47" s="8"/>
      <c r="AM47" s="8"/>
      <c r="AN47" s="8"/>
      <c r="AO47" s="8"/>
      <c r="AP47" s="8"/>
      <c r="AQ47" s="8"/>
      <c r="AR47" s="8"/>
      <c r="AS47" s="8"/>
      <c r="AT47" s="8"/>
      <c r="AU47" s="8"/>
      <c r="AV47" s="8"/>
      <c r="AW47" s="8"/>
      <c r="AX47" s="8"/>
      <c r="AY47" s="8"/>
      <c r="AZ47" s="46"/>
      <c r="BA47" s="8"/>
      <c r="BB47" s="8"/>
      <c r="BC47" s="8"/>
      <c r="BD47" s="8"/>
      <c r="BE47" s="8"/>
      <c r="BF47" s="8"/>
      <c r="BG47" s="8"/>
      <c r="BH47" s="8"/>
      <c r="BI47" s="46"/>
      <c r="BJ47" s="8"/>
      <c r="BK47" s="8"/>
    </row>
    <row r="48" spans="2:63">
      <c r="J48" s="8"/>
      <c r="K48" s="8"/>
      <c r="L48" s="8"/>
      <c r="M48" s="8"/>
      <c r="N48" s="8"/>
      <c r="O48" s="8"/>
      <c r="P48" s="8"/>
      <c r="Q48" s="8"/>
      <c r="R48" s="8"/>
      <c r="AB48" s="8"/>
      <c r="AC48" s="8"/>
      <c r="AD48" s="8"/>
      <c r="AE48" s="8"/>
      <c r="AF48" s="8"/>
      <c r="AG48" s="8"/>
      <c r="AH48" s="8"/>
      <c r="AI48" s="8"/>
      <c r="AJ48" s="8"/>
      <c r="AT48" s="8"/>
      <c r="AU48" s="8"/>
      <c r="AV48" s="8"/>
      <c r="AW48" s="8"/>
      <c r="AX48" s="8"/>
      <c r="AY48" s="8"/>
      <c r="AZ48" s="8"/>
      <c r="BA48" s="8"/>
      <c r="BB48" s="8"/>
      <c r="BC48" s="8"/>
      <c r="BD48" s="8"/>
      <c r="BE48" s="8"/>
      <c r="BF48" s="8"/>
      <c r="BG48" s="8"/>
      <c r="BH48" s="8"/>
      <c r="BI48" s="8"/>
      <c r="BJ48" s="8"/>
      <c r="BK48" s="8"/>
    </row>
    <row r="51" spans="1:63">
      <c r="B51" s="73"/>
      <c r="C51" s="73"/>
      <c r="D51" s="73"/>
      <c r="E51" s="73"/>
      <c r="F51" s="73"/>
      <c r="G51" s="73"/>
      <c r="H51" s="73"/>
      <c r="I51" s="73"/>
      <c r="K51" s="73"/>
      <c r="L51" s="73"/>
      <c r="M51" s="73"/>
      <c r="N51" s="73"/>
      <c r="O51" s="73"/>
      <c r="P51" s="73"/>
      <c r="Q51" s="73"/>
      <c r="R51" s="73"/>
      <c r="T51" s="73"/>
      <c r="U51" s="73"/>
      <c r="V51" s="73"/>
      <c r="W51" s="73"/>
      <c r="X51" s="73"/>
      <c r="Y51" s="73"/>
      <c r="Z51" s="73"/>
      <c r="AA51" s="73"/>
      <c r="AC51" s="73"/>
      <c r="AD51" s="73"/>
      <c r="AE51" s="73"/>
      <c r="AF51" s="73"/>
      <c r="AG51" s="73"/>
      <c r="AH51" s="73"/>
      <c r="AI51" s="73"/>
      <c r="AJ51" s="73"/>
      <c r="AL51" s="73"/>
      <c r="AM51" s="73"/>
      <c r="AN51" s="73"/>
      <c r="AO51" s="73"/>
      <c r="AP51" s="73"/>
      <c r="AQ51" s="73"/>
      <c r="AR51" s="73"/>
      <c r="AS51" s="73"/>
      <c r="AU51" s="73"/>
      <c r="AV51" s="73"/>
      <c r="AW51" s="73"/>
      <c r="AX51" s="73"/>
      <c r="AY51" s="73"/>
      <c r="AZ51" s="73"/>
      <c r="BA51" s="73"/>
      <c r="BB51" s="73"/>
      <c r="BD51" s="73"/>
      <c r="BE51" s="73"/>
      <c r="BF51" s="73"/>
      <c r="BG51" s="73"/>
      <c r="BH51" s="73"/>
      <c r="BI51" s="73"/>
      <c r="BJ51" s="73"/>
      <c r="BK51" s="73"/>
    </row>
    <row r="52" spans="1:63">
      <c r="A52" s="80"/>
      <c r="B52" s="175"/>
      <c r="C52" s="175"/>
      <c r="D52" s="175"/>
      <c r="E52" s="175"/>
      <c r="F52" s="175"/>
      <c r="G52" s="175"/>
      <c r="H52" s="175"/>
      <c r="I52" s="175"/>
      <c r="J52" s="80"/>
      <c r="K52" s="175"/>
      <c r="L52" s="175"/>
      <c r="M52" s="175"/>
      <c r="N52" s="175"/>
      <c r="O52" s="175"/>
      <c r="P52" s="175"/>
      <c r="Q52" s="175"/>
      <c r="R52" s="175"/>
      <c r="S52" s="80"/>
      <c r="T52" s="175"/>
      <c r="U52" s="175"/>
      <c r="V52" s="175"/>
      <c r="W52" s="175"/>
      <c r="X52" s="175"/>
      <c r="Y52" s="175"/>
      <c r="Z52" s="175"/>
      <c r="AA52" s="175"/>
      <c r="AB52" s="80"/>
      <c r="AC52" s="175"/>
      <c r="AD52" s="175"/>
      <c r="AE52" s="175"/>
      <c r="AF52" s="175"/>
      <c r="AG52" s="175"/>
      <c r="AH52" s="175"/>
      <c r="AI52" s="175"/>
      <c r="AJ52" s="175"/>
      <c r="AK52" s="80"/>
      <c r="AL52" s="175"/>
      <c r="AM52" s="175"/>
      <c r="AN52" s="175"/>
      <c r="AO52" s="175"/>
      <c r="AP52" s="175"/>
      <c r="AQ52" s="175"/>
      <c r="AR52" s="175"/>
      <c r="AS52" s="175"/>
      <c r="AT52" s="80"/>
      <c r="AU52" s="175"/>
      <c r="AV52" s="175"/>
      <c r="AW52" s="175"/>
      <c r="AX52" s="175"/>
      <c r="AY52" s="175"/>
      <c r="AZ52" s="175"/>
      <c r="BA52" s="175"/>
      <c r="BB52" s="175"/>
      <c r="BC52" s="80"/>
      <c r="BD52" s="175"/>
      <c r="BE52" s="175"/>
      <c r="BF52" s="175"/>
      <c r="BG52" s="175"/>
      <c r="BH52" s="175"/>
      <c r="BI52" s="175"/>
      <c r="BJ52" s="175"/>
      <c r="BK52" s="175"/>
    </row>
    <row r="54" spans="1:63" ht="17.399999999999999">
      <c r="B54" s="72"/>
      <c r="K54" s="72"/>
      <c r="T54" s="72"/>
      <c r="AC54" s="72"/>
      <c r="AL54" s="72"/>
      <c r="AU54" s="72"/>
      <c r="BD54" s="72"/>
    </row>
    <row r="58" spans="1:63">
      <c r="J58" s="6"/>
      <c r="K58" s="6"/>
      <c r="L58" s="6"/>
      <c r="M58" s="6"/>
      <c r="N58" s="6"/>
      <c r="O58" s="6"/>
      <c r="P58" s="6"/>
      <c r="Q58" s="6"/>
      <c r="R58" s="6"/>
      <c r="AB58" s="6"/>
      <c r="AC58" s="6"/>
      <c r="AD58" s="6"/>
      <c r="AE58" s="6"/>
      <c r="AF58" s="6"/>
      <c r="AG58" s="6"/>
      <c r="AH58" s="6"/>
      <c r="AI58" s="6"/>
      <c r="AJ58" s="6"/>
      <c r="AT58" s="6"/>
      <c r="AU58" s="6"/>
      <c r="AV58" s="6"/>
      <c r="AW58" s="6"/>
      <c r="AX58" s="6"/>
      <c r="AY58" s="6"/>
      <c r="AZ58" s="6"/>
      <c r="BA58" s="6"/>
      <c r="BB58" s="6"/>
      <c r="BC58" s="6"/>
      <c r="BD58" s="6"/>
      <c r="BE58" s="6"/>
      <c r="BF58" s="6"/>
      <c r="BG58" s="6"/>
      <c r="BH58" s="6"/>
      <c r="BI58" s="6"/>
      <c r="BJ58" s="6"/>
      <c r="BK58" s="6"/>
    </row>
    <row r="59" spans="1:63">
      <c r="C59" s="6"/>
      <c r="D59" s="6"/>
      <c r="E59" s="6"/>
      <c r="F59" s="6"/>
      <c r="G59" s="6"/>
      <c r="H59" s="6"/>
      <c r="I59" s="6"/>
      <c r="J59" s="6"/>
      <c r="K59" s="6"/>
      <c r="L59" s="6"/>
      <c r="M59" s="6"/>
      <c r="N59" s="6"/>
      <c r="O59" s="6"/>
      <c r="P59" s="6"/>
      <c r="Q59" s="6"/>
      <c r="R59" s="6"/>
      <c r="U59" s="6"/>
      <c r="V59" s="6"/>
      <c r="W59" s="6"/>
      <c r="X59" s="6"/>
      <c r="Y59" s="6"/>
      <c r="Z59" s="6"/>
      <c r="AA59" s="6"/>
      <c r="AB59" s="6"/>
      <c r="AC59" s="6"/>
      <c r="AD59" s="6"/>
      <c r="AE59" s="6"/>
      <c r="AF59" s="6"/>
      <c r="AG59" s="6"/>
      <c r="AH59" s="6"/>
      <c r="AI59" s="6"/>
      <c r="AJ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row>
    <row r="60" spans="1:63">
      <c r="C60" s="6"/>
      <c r="D60" s="6"/>
      <c r="E60" s="6"/>
      <c r="F60" s="6"/>
      <c r="G60" s="6"/>
      <c r="H60" s="6"/>
      <c r="I60" s="6"/>
      <c r="J60" s="6"/>
      <c r="K60" s="6"/>
      <c r="L60" s="6"/>
      <c r="M60" s="6"/>
      <c r="N60" s="6"/>
      <c r="O60" s="6"/>
      <c r="P60" s="6"/>
      <c r="Q60" s="6"/>
      <c r="R60" s="6"/>
      <c r="U60" s="6"/>
      <c r="V60" s="6"/>
      <c r="W60" s="6"/>
      <c r="X60" s="6"/>
      <c r="Y60" s="6"/>
      <c r="Z60" s="6"/>
      <c r="AA60" s="6"/>
      <c r="AB60" s="6"/>
      <c r="AC60" s="6"/>
      <c r="AD60" s="6"/>
      <c r="AE60" s="6"/>
      <c r="AF60" s="6"/>
      <c r="AG60" s="6"/>
      <c r="AH60" s="6"/>
      <c r="AI60" s="6"/>
      <c r="AJ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row>
    <row r="61" spans="1:63">
      <c r="C61" s="6"/>
      <c r="D61" s="6"/>
      <c r="E61" s="6"/>
      <c r="F61" s="6"/>
      <c r="G61" s="6"/>
      <c r="H61" s="6"/>
      <c r="I61" s="6"/>
      <c r="J61" s="6"/>
      <c r="K61" s="6"/>
      <c r="L61" s="6"/>
      <c r="M61" s="6"/>
      <c r="N61" s="6"/>
      <c r="O61" s="6"/>
      <c r="P61" s="6"/>
      <c r="Q61" s="6"/>
      <c r="R61" s="6"/>
      <c r="U61" s="6"/>
      <c r="V61" s="6"/>
      <c r="W61" s="6"/>
      <c r="X61" s="6"/>
      <c r="Y61" s="6"/>
      <c r="Z61" s="6"/>
      <c r="AA61" s="6"/>
      <c r="AB61" s="6"/>
      <c r="AC61" s="6"/>
      <c r="AD61" s="6"/>
      <c r="AE61" s="6"/>
      <c r="AF61" s="6"/>
      <c r="AG61" s="6"/>
      <c r="AH61" s="6"/>
      <c r="AI61" s="6"/>
      <c r="AJ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row>
    <row r="62" spans="1:63">
      <c r="C62" s="6"/>
      <c r="D62" s="6"/>
      <c r="E62" s="6"/>
      <c r="F62" s="6"/>
      <c r="G62" s="6"/>
      <c r="H62" s="6"/>
      <c r="I62" s="6"/>
      <c r="J62" s="6"/>
      <c r="K62" s="6"/>
      <c r="L62" s="6"/>
      <c r="M62" s="6"/>
      <c r="N62" s="6"/>
      <c r="O62" s="6"/>
      <c r="P62" s="6"/>
      <c r="Q62" s="6"/>
      <c r="R62" s="6"/>
      <c r="U62" s="6"/>
      <c r="V62" s="6"/>
      <c r="W62" s="6"/>
      <c r="X62" s="6"/>
      <c r="Y62" s="6"/>
      <c r="Z62" s="6"/>
      <c r="AA62" s="6"/>
      <c r="AB62" s="6"/>
      <c r="AC62" s="6"/>
      <c r="AD62" s="6"/>
      <c r="AE62" s="6"/>
      <c r="AF62" s="6"/>
      <c r="AG62" s="6"/>
      <c r="AH62" s="6"/>
      <c r="AI62" s="6"/>
      <c r="AJ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row>
    <row r="63" spans="1:63">
      <c r="C63" s="6"/>
      <c r="D63" s="6"/>
      <c r="E63" s="6"/>
      <c r="F63" s="6"/>
      <c r="G63" s="6"/>
      <c r="H63" s="6"/>
      <c r="I63" s="6"/>
      <c r="J63" s="6"/>
      <c r="K63" s="6"/>
      <c r="L63" s="6"/>
      <c r="M63" s="6"/>
      <c r="N63" s="6"/>
      <c r="O63" s="6"/>
      <c r="P63" s="6"/>
      <c r="Q63" s="6"/>
      <c r="R63" s="6"/>
      <c r="U63" s="6"/>
      <c r="V63" s="6"/>
      <c r="W63" s="6"/>
      <c r="X63" s="6"/>
      <c r="Y63" s="6"/>
      <c r="Z63" s="6"/>
      <c r="AA63" s="6"/>
      <c r="AB63" s="6"/>
      <c r="AC63" s="6"/>
      <c r="AD63" s="6"/>
      <c r="AE63" s="6"/>
      <c r="AF63" s="6"/>
      <c r="AG63" s="6"/>
      <c r="AH63" s="6"/>
      <c r="AI63" s="6"/>
      <c r="AJ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row>
    <row r="64" spans="1:63">
      <c r="C64" s="6"/>
      <c r="D64" s="6"/>
      <c r="E64" s="6"/>
      <c r="F64" s="6"/>
      <c r="G64" s="6"/>
      <c r="H64" s="6"/>
      <c r="I64" s="6"/>
      <c r="J64" s="6"/>
      <c r="K64" s="6"/>
      <c r="L64" s="6"/>
      <c r="M64" s="6"/>
      <c r="N64" s="6"/>
      <c r="O64" s="6"/>
      <c r="P64" s="6"/>
      <c r="Q64" s="6"/>
      <c r="R64" s="6"/>
      <c r="U64" s="6"/>
      <c r="V64" s="6"/>
      <c r="W64" s="6"/>
      <c r="X64" s="6"/>
      <c r="Y64" s="6"/>
      <c r="Z64" s="6"/>
      <c r="AA64" s="6"/>
      <c r="AB64" s="6"/>
      <c r="AC64" s="6"/>
      <c r="AD64" s="6"/>
      <c r="AE64" s="6"/>
      <c r="AF64" s="6"/>
      <c r="AG64" s="6"/>
      <c r="AH64" s="6"/>
      <c r="AI64" s="6"/>
      <c r="AJ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row>
    <row r="65" spans="3:63">
      <c r="C65" s="6"/>
      <c r="D65" s="6"/>
      <c r="E65" s="6"/>
      <c r="F65" s="6"/>
      <c r="G65" s="6"/>
      <c r="H65" s="6"/>
      <c r="I65" s="6"/>
      <c r="J65" s="6"/>
      <c r="K65" s="6"/>
      <c r="L65" s="6"/>
      <c r="M65" s="6"/>
      <c r="N65" s="6"/>
      <c r="O65" s="6"/>
      <c r="P65" s="6"/>
      <c r="Q65" s="6"/>
      <c r="R65" s="6"/>
      <c r="U65" s="6"/>
      <c r="V65" s="6"/>
      <c r="W65" s="6"/>
      <c r="X65" s="6"/>
      <c r="Y65" s="6"/>
      <c r="Z65" s="6"/>
      <c r="AA65" s="6"/>
      <c r="AB65" s="6"/>
      <c r="AC65" s="6"/>
      <c r="AD65" s="6"/>
      <c r="AE65" s="6"/>
      <c r="AF65" s="6"/>
      <c r="AG65" s="6"/>
      <c r="AH65" s="6"/>
      <c r="AI65" s="6"/>
      <c r="AJ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row>
    <row r="66" spans="3:63">
      <c r="C66" s="6"/>
      <c r="D66" s="6"/>
      <c r="E66" s="6"/>
      <c r="F66" s="6"/>
      <c r="G66" s="6"/>
      <c r="H66" s="6"/>
      <c r="I66" s="6"/>
      <c r="J66" s="6"/>
      <c r="K66" s="6"/>
      <c r="L66" s="6"/>
      <c r="M66" s="6"/>
      <c r="N66" s="6"/>
      <c r="O66" s="6"/>
      <c r="P66" s="6"/>
      <c r="Q66" s="6"/>
      <c r="R66" s="6"/>
      <c r="U66" s="6"/>
      <c r="V66" s="6"/>
      <c r="W66" s="6"/>
      <c r="X66" s="6"/>
      <c r="Y66" s="6"/>
      <c r="Z66" s="6"/>
      <c r="AA66" s="6"/>
      <c r="AB66" s="6"/>
      <c r="AC66" s="6"/>
      <c r="AD66" s="6"/>
      <c r="AE66" s="6"/>
      <c r="AF66" s="6"/>
      <c r="AG66" s="6"/>
      <c r="AH66" s="6"/>
      <c r="AI66" s="6"/>
      <c r="AJ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row>
    <row r="67" spans="3:63">
      <c r="C67" s="6"/>
      <c r="D67" s="6"/>
      <c r="E67" s="6"/>
      <c r="F67" s="6"/>
      <c r="G67" s="6"/>
      <c r="H67" s="6"/>
      <c r="I67" s="6"/>
      <c r="J67" s="6"/>
      <c r="K67" s="6"/>
      <c r="L67" s="6"/>
      <c r="M67" s="6"/>
      <c r="N67" s="6"/>
      <c r="O67" s="6"/>
      <c r="P67" s="6"/>
      <c r="Q67" s="6"/>
      <c r="R67" s="6"/>
      <c r="U67" s="6"/>
      <c r="V67" s="6"/>
      <c r="W67" s="6"/>
      <c r="X67" s="6"/>
      <c r="Y67" s="6"/>
      <c r="Z67" s="6"/>
      <c r="AA67" s="6"/>
      <c r="AB67" s="6"/>
      <c r="AC67" s="6"/>
      <c r="AD67" s="6"/>
      <c r="AE67" s="6"/>
      <c r="AF67" s="6"/>
      <c r="AG67" s="6"/>
      <c r="AH67" s="6"/>
      <c r="AI67" s="6"/>
      <c r="AJ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row>
    <row r="68" spans="3:63">
      <c r="C68" s="6"/>
      <c r="D68" s="6"/>
      <c r="E68" s="6"/>
      <c r="F68" s="6"/>
      <c r="G68" s="6"/>
      <c r="H68" s="6"/>
      <c r="I68" s="6"/>
      <c r="J68" s="6"/>
      <c r="K68" s="6"/>
      <c r="L68" s="6"/>
      <c r="M68" s="6"/>
      <c r="N68" s="6"/>
      <c r="O68" s="6"/>
      <c r="P68" s="6"/>
      <c r="Q68" s="6"/>
      <c r="R68" s="6"/>
      <c r="U68" s="6"/>
      <c r="V68" s="6"/>
      <c r="W68" s="6"/>
      <c r="X68" s="6"/>
      <c r="Y68" s="6"/>
      <c r="Z68" s="6"/>
      <c r="AA68" s="6"/>
      <c r="AB68" s="6"/>
      <c r="AC68" s="6"/>
      <c r="AD68" s="6"/>
      <c r="AE68" s="6"/>
      <c r="AF68" s="6"/>
      <c r="AG68" s="6"/>
      <c r="AH68" s="6"/>
      <c r="AI68" s="6"/>
      <c r="AJ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row>
  </sheetData>
  <sheetProtection password="CC9B" sheet="1" objects="1" scenarios="1"/>
  <mergeCells count="246">
    <mergeCell ref="BD52:BK52"/>
    <mergeCell ref="T3:X3"/>
    <mergeCell ref="AC1:AG1"/>
    <mergeCell ref="AC3:AG3"/>
    <mergeCell ref="AA1:AA3"/>
    <mergeCell ref="AL1:AP1"/>
    <mergeCell ref="AL3:AP3"/>
    <mergeCell ref="AU21:AV21"/>
    <mergeCell ref="AL22:AM22"/>
    <mergeCell ref="AU22:AV22"/>
    <mergeCell ref="AC52:AJ52"/>
    <mergeCell ref="AL52:AS52"/>
    <mergeCell ref="AU52:BB52"/>
    <mergeCell ref="BD25:BE25"/>
    <mergeCell ref="AU29:AV29"/>
    <mergeCell ref="AL31:AM31"/>
    <mergeCell ref="AU31:AV31"/>
    <mergeCell ref="AL24:AM24"/>
    <mergeCell ref="AU24:AV24"/>
    <mergeCell ref="AL26:AM26"/>
    <mergeCell ref="AU26:AV26"/>
    <mergeCell ref="AU27:AV27"/>
    <mergeCell ref="AL25:AM25"/>
    <mergeCell ref="AU15:AV15"/>
    <mergeCell ref="B25:C25"/>
    <mergeCell ref="K25:L25"/>
    <mergeCell ref="T25:U25"/>
    <mergeCell ref="AC25:AD25"/>
    <mergeCell ref="AU25:AV25"/>
    <mergeCell ref="AL38:AM38"/>
    <mergeCell ref="B1:F1"/>
    <mergeCell ref="B3:F3"/>
    <mergeCell ref="K1:O1"/>
    <mergeCell ref="K3:O3"/>
    <mergeCell ref="I1:I3"/>
    <mergeCell ref="AU1:AY1"/>
    <mergeCell ref="AU3:AY3"/>
    <mergeCell ref="AS1:AS3"/>
    <mergeCell ref="AJ1:AJ3"/>
    <mergeCell ref="T1:X1"/>
    <mergeCell ref="AU38:AV38"/>
    <mergeCell ref="AL36:AM36"/>
    <mergeCell ref="AL37:AM37"/>
    <mergeCell ref="AU37:AV37"/>
    <mergeCell ref="AU36:AV36"/>
    <mergeCell ref="AL28:AM28"/>
    <mergeCell ref="AU28:AV28"/>
    <mergeCell ref="AL29:AM29"/>
    <mergeCell ref="AL15:AM15"/>
    <mergeCell ref="AL23:AM23"/>
    <mergeCell ref="AU23:AV23"/>
    <mergeCell ref="AL17:AM17"/>
    <mergeCell ref="AU17:AV17"/>
    <mergeCell ref="AU18:AV18"/>
    <mergeCell ref="AU19:AV19"/>
    <mergeCell ref="AL20:AM20"/>
    <mergeCell ref="AU20:AV20"/>
    <mergeCell ref="AL21:AM21"/>
    <mergeCell ref="AC16:AD16"/>
    <mergeCell ref="AC8:AD8"/>
    <mergeCell ref="T10:U10"/>
    <mergeCell ref="AC10:AD10"/>
    <mergeCell ref="AA4:AA5"/>
    <mergeCell ref="T11:U11"/>
    <mergeCell ref="AC11:AD11"/>
    <mergeCell ref="AL30:AM30"/>
    <mergeCell ref="AU30:AV30"/>
    <mergeCell ref="AJ4:AJ5"/>
    <mergeCell ref="T13:U13"/>
    <mergeCell ref="AC13:AD13"/>
    <mergeCell ref="AL16:AM16"/>
    <mergeCell ref="AL27:AM27"/>
    <mergeCell ref="T27:U27"/>
    <mergeCell ref="AC17:AD17"/>
    <mergeCell ref="AC18:AD18"/>
    <mergeCell ref="AU16:AV16"/>
    <mergeCell ref="AL11:AM11"/>
    <mergeCell ref="AU11:AV11"/>
    <mergeCell ref="AL12:AM12"/>
    <mergeCell ref="AU12:AV12"/>
    <mergeCell ref="AL13:AM13"/>
    <mergeCell ref="AU13:AV13"/>
    <mergeCell ref="AC37:AD37"/>
    <mergeCell ref="AC28:AD28"/>
    <mergeCell ref="T29:U29"/>
    <mergeCell ref="AC29:AD29"/>
    <mergeCell ref="T26:U26"/>
    <mergeCell ref="AC26:AD26"/>
    <mergeCell ref="AC23:AD23"/>
    <mergeCell ref="T38:U38"/>
    <mergeCell ref="AC38:AD38"/>
    <mergeCell ref="T30:U30"/>
    <mergeCell ref="AC30:AD30"/>
    <mergeCell ref="T35:U35"/>
    <mergeCell ref="AC35:AD35"/>
    <mergeCell ref="T34:U34"/>
    <mergeCell ref="T28:U28"/>
    <mergeCell ref="AC32:AD32"/>
    <mergeCell ref="AC24:AD24"/>
    <mergeCell ref="AC34:AD34"/>
    <mergeCell ref="T33:U33"/>
    <mergeCell ref="T31:U31"/>
    <mergeCell ref="AC31:AD31"/>
    <mergeCell ref="T32:U32"/>
    <mergeCell ref="AC36:AD36"/>
    <mergeCell ref="AC33:AD33"/>
    <mergeCell ref="T24:U24"/>
    <mergeCell ref="T17:U17"/>
    <mergeCell ref="AC19:AD19"/>
    <mergeCell ref="AC27:AD27"/>
    <mergeCell ref="T21:U21"/>
    <mergeCell ref="AC21:AD21"/>
    <mergeCell ref="T22:U22"/>
    <mergeCell ref="AC22:AD22"/>
    <mergeCell ref="T23:U23"/>
    <mergeCell ref="T20:U20"/>
    <mergeCell ref="AC20:AD20"/>
    <mergeCell ref="BD38:BE38"/>
    <mergeCell ref="BD37:BE37"/>
    <mergeCell ref="BD36:BE36"/>
    <mergeCell ref="BD27:BE27"/>
    <mergeCell ref="BD28:BE28"/>
    <mergeCell ref="BD29:BE29"/>
    <mergeCell ref="BD31:BE31"/>
    <mergeCell ref="BD35:BE35"/>
    <mergeCell ref="BD30:BE30"/>
    <mergeCell ref="BD33:BE33"/>
    <mergeCell ref="T5:X5"/>
    <mergeCell ref="AC5:AG5"/>
    <mergeCell ref="T8:U8"/>
    <mergeCell ref="AL32:AM32"/>
    <mergeCell ref="AU32:AV32"/>
    <mergeCell ref="AU34:AV34"/>
    <mergeCell ref="BD34:BE34"/>
    <mergeCell ref="AL33:AM33"/>
    <mergeCell ref="AU33:AV33"/>
    <mergeCell ref="AL34:AM34"/>
    <mergeCell ref="BD17:BE17"/>
    <mergeCell ref="BD18:BE18"/>
    <mergeCell ref="BD19:BE19"/>
    <mergeCell ref="AS4:AS5"/>
    <mergeCell ref="BB4:BB5"/>
    <mergeCell ref="T12:U12"/>
    <mergeCell ref="AC12:AD12"/>
    <mergeCell ref="T14:U14"/>
    <mergeCell ref="AC14:AD14"/>
    <mergeCell ref="T15:U15"/>
    <mergeCell ref="AC15:AD15"/>
    <mergeCell ref="T16:U16"/>
    <mergeCell ref="AL5:AP5"/>
    <mergeCell ref="AU5:AY5"/>
    <mergeCell ref="AL35:AM35"/>
    <mergeCell ref="AU35:AV35"/>
    <mergeCell ref="BD22:BE22"/>
    <mergeCell ref="BD23:BE23"/>
    <mergeCell ref="BD24:BE24"/>
    <mergeCell ref="BD26:BE26"/>
    <mergeCell ref="BD32:BE32"/>
    <mergeCell ref="BD3:BH3"/>
    <mergeCell ref="BD20:BE20"/>
    <mergeCell ref="BD21:BE21"/>
    <mergeCell ref="BD10:BE10"/>
    <mergeCell ref="BD11:BE11"/>
    <mergeCell ref="BD12:BE12"/>
    <mergeCell ref="BD13:BE13"/>
    <mergeCell ref="BD14:BE14"/>
    <mergeCell ref="BD15:BE15"/>
    <mergeCell ref="BD16:BE16"/>
    <mergeCell ref="BB1:BB3"/>
    <mergeCell ref="AL8:AM8"/>
    <mergeCell ref="AU8:AV8"/>
    <mergeCell ref="AL10:AM10"/>
    <mergeCell ref="AU10:AV10"/>
    <mergeCell ref="AL14:AM14"/>
    <mergeCell ref="AU14:AV14"/>
    <mergeCell ref="B15:C15"/>
    <mergeCell ref="B13:C13"/>
    <mergeCell ref="B24:C24"/>
    <mergeCell ref="B26:C26"/>
    <mergeCell ref="B16:C16"/>
    <mergeCell ref="BK1:BK3"/>
    <mergeCell ref="BK4:BK5"/>
    <mergeCell ref="BD5:BH5"/>
    <mergeCell ref="BD8:BE8"/>
    <mergeCell ref="BD1:BH1"/>
    <mergeCell ref="B5:F5"/>
    <mergeCell ref="B8:C8"/>
    <mergeCell ref="B10:C10"/>
    <mergeCell ref="B11:C11"/>
    <mergeCell ref="B12:C12"/>
    <mergeCell ref="B14:C14"/>
    <mergeCell ref="B17:C17"/>
    <mergeCell ref="B21:C21"/>
    <mergeCell ref="B22:C22"/>
    <mergeCell ref="B23:C23"/>
    <mergeCell ref="B20:C20"/>
    <mergeCell ref="K20:L20"/>
    <mergeCell ref="I4:I5"/>
    <mergeCell ref="K10:L10"/>
    <mergeCell ref="B28:C28"/>
    <mergeCell ref="B27:C27"/>
    <mergeCell ref="B37:C37"/>
    <mergeCell ref="B38:C38"/>
    <mergeCell ref="B29:C29"/>
    <mergeCell ref="B31:C31"/>
    <mergeCell ref="B32:C32"/>
    <mergeCell ref="B33:C33"/>
    <mergeCell ref="B30:C30"/>
    <mergeCell ref="B35:C35"/>
    <mergeCell ref="B36:C36"/>
    <mergeCell ref="B34:C34"/>
    <mergeCell ref="K11:L11"/>
    <mergeCell ref="K12:L12"/>
    <mergeCell ref="K14:L14"/>
    <mergeCell ref="K15:L15"/>
    <mergeCell ref="K21:L21"/>
    <mergeCell ref="R1:R3"/>
    <mergeCell ref="R4:R5"/>
    <mergeCell ref="K5:O5"/>
    <mergeCell ref="K8:L8"/>
    <mergeCell ref="K16:L16"/>
    <mergeCell ref="K17:L17"/>
    <mergeCell ref="K13:L13"/>
    <mergeCell ref="K18:L18"/>
    <mergeCell ref="K19:L19"/>
    <mergeCell ref="K22:L22"/>
    <mergeCell ref="K23:L23"/>
    <mergeCell ref="K28:L28"/>
    <mergeCell ref="K37:L37"/>
    <mergeCell ref="K24:L24"/>
    <mergeCell ref="K26:L26"/>
    <mergeCell ref="K27:L27"/>
    <mergeCell ref="K29:L29"/>
    <mergeCell ref="K30:L30"/>
    <mergeCell ref="B52:I52"/>
    <mergeCell ref="K52:R52"/>
    <mergeCell ref="T52:AA52"/>
    <mergeCell ref="K38:L38"/>
    <mergeCell ref="K31:L31"/>
    <mergeCell ref="K32:L32"/>
    <mergeCell ref="K33:L33"/>
    <mergeCell ref="K35:L35"/>
    <mergeCell ref="K34:L34"/>
    <mergeCell ref="K36:L36"/>
    <mergeCell ref="T36:U36"/>
    <mergeCell ref="T37:U37"/>
  </mergeCells>
  <phoneticPr fontId="2" type="noConversion"/>
  <pageMargins left="0.59055118110236227" right="0.59055118110236227" top="0.39370078740157483" bottom="0.39370078740157483" header="0" footer="0"/>
  <pageSetup paperSize="9" orientation="portrait" r:id="rId1"/>
  <headerFooter alignWithMargins="0"/>
  <ignoredErrors>
    <ignoredError sqref="BG30 BF34" 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indexed="22"/>
  </sheetPr>
  <dimension ref="A1:J62"/>
  <sheetViews>
    <sheetView showGridLines="0" zoomScale="99" zoomScaleNormal="99" workbookViewId="0">
      <selection activeCell="G51" sqref="G51"/>
    </sheetView>
  </sheetViews>
  <sheetFormatPr baseColWidth="10" defaultColWidth="8.109375" defaultRowHeight="13.2"/>
  <cols>
    <col min="1" max="1" width="4.6640625" style="7" customWidth="1"/>
    <col min="2" max="2" width="1.6640625" style="7" customWidth="1"/>
    <col min="3" max="3" width="22.88671875" style="7" customWidth="1"/>
    <col min="4" max="8" width="11.44140625" style="7" customWidth="1"/>
    <col min="9" max="16384" width="8.109375" style="7"/>
  </cols>
  <sheetData>
    <row r="1" spans="1:8" ht="17.399999999999999">
      <c r="A1"/>
      <c r="B1" s="236"/>
      <c r="C1" s="236"/>
      <c r="D1" s="236"/>
      <c r="E1" s="236"/>
      <c r="F1"/>
      <c r="G1"/>
      <c r="H1" s="182"/>
    </row>
    <row r="2" spans="1:8">
      <c r="A2"/>
      <c r="B2"/>
      <c r="C2"/>
      <c r="D2"/>
      <c r="E2"/>
      <c r="F2"/>
      <c r="G2"/>
      <c r="H2" s="182"/>
    </row>
    <row r="3" spans="1:8" ht="17.399999999999999">
      <c r="A3"/>
      <c r="B3" s="87"/>
      <c r="C3" s="88"/>
      <c r="D3" s="88"/>
      <c r="E3" s="88"/>
      <c r="F3"/>
      <c r="G3"/>
      <c r="H3" s="182"/>
    </row>
    <row r="4" spans="1:8" ht="12.75" customHeight="1"/>
    <row r="5" spans="1:8" ht="12.75" customHeight="1">
      <c r="A5"/>
      <c r="B5" s="243"/>
      <c r="C5" s="243"/>
      <c r="D5" s="243"/>
      <c r="E5"/>
      <c r="F5"/>
      <c r="G5"/>
      <c r="H5"/>
    </row>
    <row r="6" spans="1:8" ht="12.75" customHeight="1"/>
    <row r="7" spans="1:8" ht="12.75" customHeight="1">
      <c r="C7" s="11" t="s">
        <v>182</v>
      </c>
      <c r="D7" s="11"/>
      <c r="E7" s="11"/>
      <c r="F7" s="28" t="s">
        <v>55</v>
      </c>
      <c r="G7" s="28" t="s">
        <v>56</v>
      </c>
      <c r="H7" s="28" t="s">
        <v>57</v>
      </c>
    </row>
    <row r="8" spans="1:8" ht="12.75" customHeight="1">
      <c r="C8" s="16"/>
      <c r="D8" s="16"/>
      <c r="E8" s="16"/>
      <c r="F8" s="16"/>
      <c r="G8" s="16"/>
      <c r="H8" s="16"/>
    </row>
    <row r="9" spans="1:8" ht="12.75" customHeight="1">
      <c r="C9" s="11" t="s">
        <v>120</v>
      </c>
      <c r="D9" s="10"/>
      <c r="E9" s="10"/>
      <c r="F9" s="17">
        <f>F10+F19+F24-F26</f>
        <v>23310.833333333332</v>
      </c>
      <c r="G9" s="17">
        <f t="shared" ref="G9:H9" si="0">G10+G19+G24-G26</f>
        <v>21521.666666666668</v>
      </c>
      <c r="H9" s="17">
        <f t="shared" si="0"/>
        <v>19732.5</v>
      </c>
    </row>
    <row r="10" spans="1:8" ht="12.75" customHeight="1">
      <c r="C10" s="315" t="s">
        <v>126</v>
      </c>
      <c r="D10" s="315"/>
      <c r="E10" s="12"/>
      <c r="F10" s="67">
        <f>SUM(F11:F18)</f>
        <v>23100</v>
      </c>
      <c r="G10" s="67">
        <f>SUM(G11:G18)</f>
        <v>23100</v>
      </c>
      <c r="H10" s="67">
        <f>SUM(H11:H18)</f>
        <v>23100</v>
      </c>
    </row>
    <row r="11" spans="1:8" ht="12.75" customHeight="1">
      <c r="C11" s="316" t="s">
        <v>127</v>
      </c>
      <c r="D11" s="316"/>
      <c r="E11" s="14"/>
      <c r="F11" s="68">
        <f>'6. PEF2-3. INVERS. Y FINANC.'!F19</f>
        <v>0</v>
      </c>
      <c r="G11" s="68">
        <f>F11</f>
        <v>0</v>
      </c>
      <c r="H11" s="68">
        <f>G11</f>
        <v>0</v>
      </c>
    </row>
    <row r="12" spans="1:8" ht="12.75" customHeight="1">
      <c r="C12" s="316" t="s">
        <v>128</v>
      </c>
      <c r="D12" s="316"/>
      <c r="E12" s="14"/>
      <c r="F12" s="68">
        <f>'6. PEF2-3. INVERS. Y FINANC.'!F20</f>
        <v>15000</v>
      </c>
      <c r="G12" s="68">
        <f t="shared" ref="G12:H18" si="1">F12</f>
        <v>15000</v>
      </c>
      <c r="H12" s="68">
        <f t="shared" si="1"/>
        <v>15000</v>
      </c>
    </row>
    <row r="13" spans="1:8">
      <c r="C13" s="316" t="s">
        <v>129</v>
      </c>
      <c r="D13" s="316"/>
      <c r="E13" s="14"/>
      <c r="F13" s="68">
        <f>'6. PEF2-3. INVERS. Y FINANC.'!F21</f>
        <v>2500</v>
      </c>
      <c r="G13" s="68">
        <f t="shared" si="1"/>
        <v>2500</v>
      </c>
      <c r="H13" s="68">
        <f t="shared" si="1"/>
        <v>2500</v>
      </c>
    </row>
    <row r="14" spans="1:8" ht="12.75" customHeight="1">
      <c r="C14" s="316" t="s">
        <v>130</v>
      </c>
      <c r="D14" s="316"/>
      <c r="E14" s="14"/>
      <c r="F14" s="68">
        <f>'6. PEF2-3. INVERS. Y FINANC.'!F22</f>
        <v>500</v>
      </c>
      <c r="G14" s="68">
        <f t="shared" si="1"/>
        <v>500</v>
      </c>
      <c r="H14" s="68">
        <f t="shared" si="1"/>
        <v>500</v>
      </c>
    </row>
    <row r="15" spans="1:8">
      <c r="C15" s="316" t="s">
        <v>131</v>
      </c>
      <c r="D15" s="316"/>
      <c r="E15" s="14"/>
      <c r="F15" s="68">
        <f>'6. PEF2-3. INVERS. Y FINANC.'!F23</f>
        <v>2500</v>
      </c>
      <c r="G15" s="68">
        <f t="shared" si="1"/>
        <v>2500</v>
      </c>
      <c r="H15" s="68">
        <f t="shared" si="1"/>
        <v>2500</v>
      </c>
    </row>
    <row r="16" spans="1:8">
      <c r="C16" s="316" t="s">
        <v>132</v>
      </c>
      <c r="D16" s="316"/>
      <c r="E16" s="14"/>
      <c r="F16" s="68">
        <f>'6. PEF2-3. INVERS. Y FINANC.'!F24</f>
        <v>2500</v>
      </c>
      <c r="G16" s="68">
        <f t="shared" si="1"/>
        <v>2500</v>
      </c>
      <c r="H16" s="68">
        <f t="shared" si="1"/>
        <v>2500</v>
      </c>
    </row>
    <row r="17" spans="3:10">
      <c r="C17" s="316" t="s">
        <v>133</v>
      </c>
      <c r="D17" s="316"/>
      <c r="E17" s="14"/>
      <c r="F17" s="68">
        <f>'6. PEF2-3. INVERS. Y FINANC.'!F25</f>
        <v>0</v>
      </c>
      <c r="G17" s="68">
        <f t="shared" si="1"/>
        <v>0</v>
      </c>
      <c r="H17" s="68">
        <f t="shared" si="1"/>
        <v>0</v>
      </c>
    </row>
    <row r="18" spans="3:10">
      <c r="C18" s="316" t="s">
        <v>134</v>
      </c>
      <c r="D18" s="316"/>
      <c r="E18" s="14"/>
      <c r="F18" s="68">
        <f>'6. PEF2-3. INVERS. Y FINANC.'!F26</f>
        <v>100</v>
      </c>
      <c r="G18" s="68">
        <f t="shared" si="1"/>
        <v>100</v>
      </c>
      <c r="H18" s="68">
        <f t="shared" si="1"/>
        <v>100</v>
      </c>
    </row>
    <row r="19" spans="3:10" ht="12.75" customHeight="1">
      <c r="C19" s="315" t="s">
        <v>121</v>
      </c>
      <c r="D19" s="315"/>
      <c r="E19" s="12"/>
      <c r="F19" s="38">
        <f>SUM(F20:F23)</f>
        <v>500</v>
      </c>
      <c r="G19" s="38">
        <f>SUM(G20:G23)</f>
        <v>500</v>
      </c>
      <c r="H19" s="38">
        <f>SUM(H20:H23)</f>
        <v>500</v>
      </c>
    </row>
    <row r="20" spans="3:10">
      <c r="C20" s="316" t="s">
        <v>122</v>
      </c>
      <c r="D20" s="316"/>
      <c r="E20" s="14"/>
      <c r="F20" s="69">
        <f>'6. PEF2-3. INVERS. Y FINANC.'!F14</f>
        <v>200</v>
      </c>
      <c r="G20" s="69">
        <f>F20</f>
        <v>200</v>
      </c>
      <c r="H20" s="69">
        <f>G20</f>
        <v>200</v>
      </c>
    </row>
    <row r="21" spans="3:10" ht="12.75" customHeight="1">
      <c r="C21" s="316" t="s">
        <v>123</v>
      </c>
      <c r="D21" s="316"/>
      <c r="E21" s="14"/>
      <c r="F21" s="69">
        <f>'6. PEF2-3. INVERS. Y FINANC.'!F15</f>
        <v>0</v>
      </c>
      <c r="G21" s="69">
        <f t="shared" ref="G21:H23" si="2">F21</f>
        <v>0</v>
      </c>
      <c r="H21" s="69">
        <f t="shared" si="2"/>
        <v>0</v>
      </c>
    </row>
    <row r="22" spans="3:10" ht="12.75" customHeight="1">
      <c r="C22" s="316" t="s">
        <v>124</v>
      </c>
      <c r="D22" s="316"/>
      <c r="E22" s="14"/>
      <c r="F22" s="69">
        <f>'6. PEF2-3. INVERS. Y FINANC.'!F16</f>
        <v>300</v>
      </c>
      <c r="G22" s="69">
        <f t="shared" si="2"/>
        <v>300</v>
      </c>
      <c r="H22" s="69">
        <f t="shared" si="2"/>
        <v>300</v>
      </c>
    </row>
    <row r="23" spans="3:10" ht="12.75" customHeight="1">
      <c r="C23" s="316" t="s">
        <v>125</v>
      </c>
      <c r="D23" s="316"/>
      <c r="E23" s="14"/>
      <c r="F23" s="69">
        <f>'6. PEF2-3. INVERS. Y FINANC.'!F17</f>
        <v>0</v>
      </c>
      <c r="G23" s="69">
        <f t="shared" si="2"/>
        <v>0</v>
      </c>
      <c r="H23" s="69">
        <f t="shared" si="2"/>
        <v>0</v>
      </c>
    </row>
    <row r="24" spans="3:10">
      <c r="C24" s="315" t="s">
        <v>135</v>
      </c>
      <c r="D24" s="315"/>
      <c r="E24" s="12"/>
      <c r="F24" s="38">
        <f>SUM(F25)</f>
        <v>1500</v>
      </c>
      <c r="G24" s="38">
        <f>SUM(G25)</f>
        <v>1500</v>
      </c>
      <c r="H24" s="38">
        <f>SUM(H25)</f>
        <v>1500</v>
      </c>
    </row>
    <row r="25" spans="3:10">
      <c r="C25" s="316" t="s">
        <v>136</v>
      </c>
      <c r="D25" s="316"/>
      <c r="E25" s="14"/>
      <c r="F25" s="69">
        <f>'6. PEF2-3. INVERS. Y FINANC.'!F28</f>
        <v>1500</v>
      </c>
      <c r="G25" s="69">
        <f>F25</f>
        <v>1500</v>
      </c>
      <c r="H25" s="69">
        <f>F25</f>
        <v>1500</v>
      </c>
    </row>
    <row r="26" spans="3:10">
      <c r="C26" s="169" t="s">
        <v>205</v>
      </c>
      <c r="D26" s="169"/>
      <c r="E26" s="170"/>
      <c r="F26" s="24">
        <f>'6.PEF6. EXPLOTACION'!BF25</f>
        <v>1789.1666666666663</v>
      </c>
      <c r="G26" s="24">
        <f>'6.PEF6. EXPLOTACION'!BG25+F26</f>
        <v>3578.3333333333326</v>
      </c>
      <c r="H26" s="24">
        <f>'6.PEF6. EXPLOTACION'!BH25+G26</f>
        <v>5367.4999999999991</v>
      </c>
    </row>
    <row r="27" spans="3:10">
      <c r="C27" s="27"/>
      <c r="D27" s="27"/>
      <c r="E27" s="14"/>
      <c r="F27" s="15"/>
      <c r="G27" s="15"/>
      <c r="H27" s="15"/>
    </row>
    <row r="28" spans="3:10">
      <c r="C28" s="11" t="s">
        <v>137</v>
      </c>
      <c r="D28" s="10"/>
      <c r="E28" s="10"/>
      <c r="F28" s="17">
        <f>F29+F30+F33</f>
        <v>31388.629906796719</v>
      </c>
      <c r="G28" s="17">
        <f>G29+G30+G33</f>
        <v>48813.923672425932</v>
      </c>
      <c r="H28" s="17">
        <f>H29+H30+H33</f>
        <v>70561.982754211058</v>
      </c>
    </row>
    <row r="29" spans="3:10">
      <c r="C29" s="315" t="s">
        <v>138</v>
      </c>
      <c r="D29" s="315"/>
      <c r="E29" s="12"/>
      <c r="F29" s="38">
        <f>'6. PEF2-3. INVERS. Y FINANC.'!F34</f>
        <v>3000</v>
      </c>
      <c r="G29" s="38">
        <f>F29</f>
        <v>3000</v>
      </c>
      <c r="H29" s="38">
        <f>F29</f>
        <v>3000</v>
      </c>
    </row>
    <row r="30" spans="3:10">
      <c r="C30" s="315" t="s">
        <v>139</v>
      </c>
      <c r="D30" s="315"/>
      <c r="E30" s="12"/>
      <c r="F30" s="38">
        <f>SUM(F31:F32)</f>
        <v>10689</v>
      </c>
      <c r="G30" s="38">
        <f>SUM(G31:G32)</f>
        <v>16812.599999999999</v>
      </c>
      <c r="H30" s="38">
        <f>SUM(H31:H32)</f>
        <v>24160.92</v>
      </c>
    </row>
    <row r="31" spans="3:10">
      <c r="C31" s="316" t="s">
        <v>140</v>
      </c>
      <c r="D31" s="316"/>
      <c r="E31" s="14"/>
      <c r="F31" s="69">
        <f>'6. PEF2-3. INVERS. Y FINANC.'!F36</f>
        <v>0</v>
      </c>
      <c r="G31" s="69">
        <f>F31</f>
        <v>0</v>
      </c>
      <c r="H31" s="69">
        <f>G31</f>
        <v>0</v>
      </c>
    </row>
    <row r="32" spans="3:10">
      <c r="C32" s="316" t="s">
        <v>468</v>
      </c>
      <c r="D32" s="316"/>
      <c r="E32" s="14"/>
      <c r="F32" s="69">
        <f>'6. PEF8-9. TESORERIA'!BF30-'6. PEF8-9. TESORERIA'!BF36</f>
        <v>10689</v>
      </c>
      <c r="G32" s="69">
        <f>'6. PEF8-9. TESORERIA'!BG30-'6. PEF8-9. TESORERIA'!BG36</f>
        <v>16812.599999999999</v>
      </c>
      <c r="H32" s="69">
        <f>'6. PEF8-9. TESORERIA'!BH30-'6. PEF8-9. TESORERIA'!BH36</f>
        <v>24160.92</v>
      </c>
      <c r="J32" s="173"/>
    </row>
    <row r="33" spans="3:8">
      <c r="C33" s="315" t="s">
        <v>142</v>
      </c>
      <c r="D33" s="315"/>
      <c r="E33" s="12"/>
      <c r="F33" s="38">
        <f>'6. PEF8-9. TESORERIA'!BF38</f>
        <v>17699.629906796719</v>
      </c>
      <c r="G33" s="38">
        <f>'6. PEF8-9. TESORERIA'!BG38</f>
        <v>29001.323672425933</v>
      </c>
      <c r="H33" s="38">
        <f>'6. PEF8-9. TESORERIA'!BH38</f>
        <v>43401.06275421106</v>
      </c>
    </row>
    <row r="34" spans="3:8">
      <c r="C34" s="12"/>
      <c r="D34" s="12"/>
      <c r="E34" s="12"/>
      <c r="F34" s="15"/>
      <c r="G34" s="15"/>
      <c r="H34" s="15"/>
    </row>
    <row r="35" spans="3:8">
      <c r="C35" s="11" t="s">
        <v>183</v>
      </c>
      <c r="D35" s="11"/>
      <c r="E35" s="11"/>
      <c r="F35" s="17">
        <f>F9+F28</f>
        <v>54699.463240130048</v>
      </c>
      <c r="G35" s="17">
        <f>G9+G28</f>
        <v>70335.590339092596</v>
      </c>
      <c r="H35" s="17">
        <f>H9+H28</f>
        <v>90294.482754211058</v>
      </c>
    </row>
    <row r="37" spans="3:8">
      <c r="C37" s="11" t="s">
        <v>184</v>
      </c>
      <c r="D37" s="11"/>
      <c r="E37" s="11"/>
      <c r="F37" s="28" t="s">
        <v>55</v>
      </c>
      <c r="G37" s="28" t="s">
        <v>56</v>
      </c>
      <c r="H37" s="28" t="s">
        <v>57</v>
      </c>
    </row>
    <row r="38" spans="3:8">
      <c r="C38" s="16"/>
      <c r="D38" s="16"/>
      <c r="E38" s="16"/>
      <c r="F38" s="29"/>
      <c r="G38" s="29"/>
      <c r="H38" s="29"/>
    </row>
    <row r="39" spans="3:8" ht="12.75" customHeight="1">
      <c r="C39" s="11" t="s">
        <v>185</v>
      </c>
      <c r="D39" s="11"/>
      <c r="E39" s="10"/>
      <c r="F39" s="11"/>
      <c r="G39" s="11"/>
      <c r="H39" s="11"/>
    </row>
    <row r="40" spans="3:8">
      <c r="C40" s="315" t="s">
        <v>197</v>
      </c>
      <c r="D40" s="315"/>
      <c r="E40" s="12"/>
      <c r="F40" s="67">
        <f>SUM(F41:F42)</f>
        <v>29160.00842350251</v>
      </c>
      <c r="G40" s="67">
        <f>SUM(G41:G42)</f>
        <v>48235.7208985373</v>
      </c>
      <c r="H40" s="67">
        <f>SUM(H41:H42)</f>
        <v>71714.498873101576</v>
      </c>
    </row>
    <row r="41" spans="3:8">
      <c r="C41" s="316" t="s">
        <v>186</v>
      </c>
      <c r="D41" s="316"/>
      <c r="E41" s="14"/>
      <c r="F41" s="69">
        <f>'6. PEF2-3. INVERS. Y FINANC.'!N12</f>
        <v>14000</v>
      </c>
      <c r="G41" s="69">
        <f>F41</f>
        <v>14000</v>
      </c>
      <c r="H41" s="69">
        <f>F41</f>
        <v>14000</v>
      </c>
    </row>
    <row r="42" spans="3:8">
      <c r="C42" s="316" t="s">
        <v>465</v>
      </c>
      <c r="D42" s="316"/>
      <c r="E42" s="14"/>
      <c r="F42" s="69">
        <f>'6.PEF6. EXPLOTACION'!BF30</f>
        <v>15160.00842350251</v>
      </c>
      <c r="G42" s="69">
        <f>'6.PEF6. EXPLOTACION'!BG30+F42</f>
        <v>34235.7208985373</v>
      </c>
      <c r="H42" s="69">
        <f>'6.PEF6. EXPLOTACION'!BH30+G42</f>
        <v>57714.498873101576</v>
      </c>
    </row>
    <row r="43" spans="3:8">
      <c r="C43" s="315" t="s">
        <v>448</v>
      </c>
      <c r="D43" s="315"/>
      <c r="E43" s="12"/>
      <c r="F43" s="67">
        <f>SUM(F44:F47)</f>
        <v>15741.298615543701</v>
      </c>
      <c r="G43" s="67">
        <f>SUM(G44:G47)</f>
        <v>10753.724556254725</v>
      </c>
      <c r="H43" s="67">
        <f>SUM(H44:H47)</f>
        <v>5510.9767422668228</v>
      </c>
    </row>
    <row r="44" spans="3:8">
      <c r="C44" s="316" t="s">
        <v>187</v>
      </c>
      <c r="D44" s="316"/>
      <c r="E44" s="14"/>
      <c r="F44" s="69">
        <f>'AMORTIZ. PTMO.'!F3-'AMORTIZ. PTMO.'!E35</f>
        <v>15741.298615543701</v>
      </c>
      <c r="G44" s="69">
        <f>'AMORTIZ. PTMO.'!F3-'AMORTIZ. PTMO.'!E47</f>
        <v>10753.724556254725</v>
      </c>
      <c r="H44" s="69">
        <f>'AMORTIZ. PTMO.'!F3-'AMORTIZ. PTMO.'!E59</f>
        <v>5510.9767422668228</v>
      </c>
    </row>
    <row r="45" spans="3:8">
      <c r="C45" s="316" t="s">
        <v>148</v>
      </c>
      <c r="D45" s="316"/>
      <c r="E45" s="14"/>
      <c r="F45" s="69">
        <v>0</v>
      </c>
      <c r="G45" s="69">
        <f t="shared" ref="G45:H47" si="3">F45</f>
        <v>0</v>
      </c>
      <c r="H45" s="69">
        <f t="shared" si="3"/>
        <v>0</v>
      </c>
    </row>
    <row r="46" spans="3:8">
      <c r="C46" s="316" t="s">
        <v>149</v>
      </c>
      <c r="D46" s="316"/>
      <c r="E46" s="14"/>
      <c r="F46" s="69">
        <v>0</v>
      </c>
      <c r="G46" s="69">
        <f t="shared" si="3"/>
        <v>0</v>
      </c>
      <c r="H46" s="69">
        <f t="shared" si="3"/>
        <v>0</v>
      </c>
    </row>
    <row r="47" spans="3:8">
      <c r="C47" s="316" t="s">
        <v>451</v>
      </c>
      <c r="D47" s="316"/>
      <c r="E47" s="14"/>
      <c r="F47" s="69">
        <v>0</v>
      </c>
      <c r="G47" s="69">
        <f t="shared" si="3"/>
        <v>0</v>
      </c>
      <c r="H47" s="69">
        <f t="shared" si="3"/>
        <v>0</v>
      </c>
    </row>
    <row r="48" spans="3:8">
      <c r="C48" s="315" t="s">
        <v>449</v>
      </c>
      <c r="D48" s="315"/>
      <c r="E48" s="13"/>
      <c r="F48" s="67">
        <f>SUM(F49:F53)</f>
        <v>9798.1562010838425</v>
      </c>
      <c r="G48" s="67">
        <f>SUM(G49:G53)</f>
        <v>11346.144884300573</v>
      </c>
      <c r="H48" s="67">
        <f>SUM(H49:H53)</f>
        <v>13069.007138842655</v>
      </c>
    </row>
    <row r="49" spans="1:8">
      <c r="C49" s="316" t="s">
        <v>151</v>
      </c>
      <c r="D49" s="316"/>
      <c r="E49" s="14"/>
      <c r="F49" s="69">
        <v>0</v>
      </c>
      <c r="G49" s="69">
        <v>0</v>
      </c>
      <c r="H49" s="69">
        <v>0</v>
      </c>
    </row>
    <row r="50" spans="1:8">
      <c r="C50" s="316" t="s">
        <v>152</v>
      </c>
      <c r="D50" s="316"/>
      <c r="E50" s="14"/>
      <c r="F50" s="69">
        <v>0</v>
      </c>
      <c r="G50" s="69">
        <f t="shared" ref="G50:H53" si="4">F50</f>
        <v>0</v>
      </c>
      <c r="H50" s="69">
        <f t="shared" si="4"/>
        <v>0</v>
      </c>
    </row>
    <row r="51" spans="1:8">
      <c r="C51" s="316" t="s">
        <v>153</v>
      </c>
      <c r="D51" s="316"/>
      <c r="E51" s="14"/>
      <c r="F51" s="69">
        <f>SUM('AMORTIZ. PTMO.'!D24:D35)</f>
        <v>4744.8200599163383</v>
      </c>
      <c r="G51" s="69">
        <f>SUM('AMORTIZ. PTMO.'!D36:D47)</f>
        <v>4987.5740592889761</v>
      </c>
      <c r="H51" s="69">
        <f>SUM('AMORTIZ. PTMO.'!D48:D59)</f>
        <v>5242.7478139879004</v>
      </c>
    </row>
    <row r="52" spans="1:8">
      <c r="C52" s="316" t="s">
        <v>469</v>
      </c>
      <c r="D52" s="316"/>
      <c r="E52" s="14"/>
      <c r="F52" s="69">
        <f>'6.PEF6. EXPLOTACION'!BF29</f>
        <v>5053.3361411675032</v>
      </c>
      <c r="G52" s="69">
        <f>'6.PEF6. EXPLOTACION'!BG29</f>
        <v>6358.5708250115968</v>
      </c>
      <c r="H52" s="69">
        <f>'6.PEF6. EXPLOTACION'!BH29</f>
        <v>7826.2593248547555</v>
      </c>
    </row>
    <row r="53" spans="1:8">
      <c r="C53" s="316" t="s">
        <v>450</v>
      </c>
      <c r="D53" s="316"/>
      <c r="E53" s="14"/>
      <c r="F53" s="69">
        <v>0</v>
      </c>
      <c r="G53" s="69">
        <f t="shared" si="4"/>
        <v>0</v>
      </c>
      <c r="H53" s="69">
        <f t="shared" si="4"/>
        <v>0</v>
      </c>
    </row>
    <row r="54" spans="1:8">
      <c r="C54" s="11" t="s">
        <v>188</v>
      </c>
      <c r="D54" s="11"/>
      <c r="E54" s="11"/>
      <c r="F54" s="17">
        <f>F40+F43+F48</f>
        <v>54699.463240130048</v>
      </c>
      <c r="G54" s="17">
        <f>G40+G43+G48</f>
        <v>70335.590339092596</v>
      </c>
      <c r="H54" s="17">
        <f>H40+H43+H48</f>
        <v>90294.482754211058</v>
      </c>
    </row>
    <row r="55" spans="1:8" ht="12.75" customHeight="1">
      <c r="C55" s="256" t="s">
        <v>189</v>
      </c>
      <c r="D55" s="256"/>
      <c r="E55" s="11"/>
      <c r="F55" s="17">
        <f>F35-F54</f>
        <v>0</v>
      </c>
      <c r="G55" s="17">
        <f>G35-G54</f>
        <v>0</v>
      </c>
      <c r="H55" s="17">
        <f>H35-H54</f>
        <v>0</v>
      </c>
    </row>
    <row r="57" spans="1:8">
      <c r="A57"/>
      <c r="B57" s="73"/>
      <c r="C57" s="73"/>
      <c r="D57" s="73"/>
      <c r="E57" s="73"/>
      <c r="F57" s="73"/>
      <c r="G57" s="73"/>
      <c r="H57" s="73"/>
    </row>
    <row r="58" spans="1:8">
      <c r="A58" s="80"/>
      <c r="B58" s="168"/>
      <c r="C58" s="168"/>
      <c r="D58" s="168"/>
      <c r="E58" s="168"/>
      <c r="F58" s="168"/>
      <c r="G58" s="168"/>
      <c r="H58" s="168"/>
    </row>
    <row r="59" spans="1:8">
      <c r="A59"/>
      <c r="B59"/>
      <c r="C59"/>
      <c r="D59"/>
      <c r="E59"/>
      <c r="F59"/>
      <c r="G59"/>
      <c r="H59"/>
    </row>
    <row r="60" spans="1:8" ht="17.399999999999999">
      <c r="A60"/>
      <c r="B60" s="72"/>
      <c r="C60"/>
      <c r="D60"/>
      <c r="E60"/>
      <c r="F60"/>
      <c r="G60"/>
      <c r="H60"/>
    </row>
    <row r="61" spans="1:8">
      <c r="A61"/>
      <c r="B61"/>
      <c r="C61"/>
      <c r="D61"/>
      <c r="E61"/>
      <c r="F61"/>
      <c r="G61"/>
      <c r="H61"/>
    </row>
    <row r="62" spans="1:8" ht="2.5499999999999998" customHeight="1">
      <c r="A62"/>
      <c r="B62"/>
      <c r="C62"/>
      <c r="D62"/>
      <c r="E62"/>
      <c r="F62"/>
      <c r="G62"/>
      <c r="H62"/>
    </row>
  </sheetData>
  <sheetProtection password="CC9B" sheet="1" objects="1" scenarios="1"/>
  <mergeCells count="39">
    <mergeCell ref="C15:D15"/>
    <mergeCell ref="C16:D16"/>
    <mergeCell ref="B5:D5"/>
    <mergeCell ref="C10:D10"/>
    <mergeCell ref="C11:D11"/>
    <mergeCell ref="C12:D12"/>
    <mergeCell ref="C13:D13"/>
    <mergeCell ref="H1:H3"/>
    <mergeCell ref="C50:D50"/>
    <mergeCell ref="C51:D51"/>
    <mergeCell ref="C18:D18"/>
    <mergeCell ref="C19:D19"/>
    <mergeCell ref="C20:D20"/>
    <mergeCell ref="C21:D21"/>
    <mergeCell ref="C44:D44"/>
    <mergeCell ref="C22:D22"/>
    <mergeCell ref="C14:D14"/>
    <mergeCell ref="C42:D42"/>
    <mergeCell ref="B1:E1"/>
    <mergeCell ref="C17:D17"/>
    <mergeCell ref="C23:D23"/>
    <mergeCell ref="C25:D25"/>
    <mergeCell ref="C31:D31"/>
    <mergeCell ref="C55:D55"/>
    <mergeCell ref="C24:D24"/>
    <mergeCell ref="C29:D29"/>
    <mergeCell ref="C30:D30"/>
    <mergeCell ref="C33:D33"/>
    <mergeCell ref="C40:D40"/>
    <mergeCell ref="C43:D43"/>
    <mergeCell ref="C32:D32"/>
    <mergeCell ref="C41:D41"/>
    <mergeCell ref="C52:D52"/>
    <mergeCell ref="C53:D53"/>
    <mergeCell ref="C45:D45"/>
    <mergeCell ref="C46:D46"/>
    <mergeCell ref="C47:D47"/>
    <mergeCell ref="C49:D49"/>
    <mergeCell ref="C48:D48"/>
  </mergeCells>
  <phoneticPr fontId="2" type="noConversion"/>
  <pageMargins left="0.59055118110236227" right="0.59055118110236227" top="0.39370078740157483" bottom="0.39370078740157483" header="0" footer="0"/>
  <pageSetup paperSize="9" orientation="portrait" r:id="rId1"/>
  <headerFooter alignWithMargins="0"/>
  <ignoredErrors>
    <ignoredError sqref="G19:H24 G30" formula="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indexed="22"/>
  </sheetPr>
  <dimension ref="A1:H48"/>
  <sheetViews>
    <sheetView showGridLines="0" zoomScaleNormal="100" workbookViewId="0">
      <selection activeCell="H45" sqref="H45"/>
    </sheetView>
  </sheetViews>
  <sheetFormatPr baseColWidth="10" defaultColWidth="11.44140625" defaultRowHeight="13.2"/>
  <cols>
    <col min="1" max="2" width="4.6640625" customWidth="1"/>
    <col min="4" max="4" width="28.88671875" customWidth="1"/>
    <col min="5" max="5" width="12.33203125" style="51" bestFit="1" customWidth="1"/>
    <col min="6" max="6" width="13.33203125" style="51" customWidth="1"/>
    <col min="7" max="7" width="12.5546875" style="152" customWidth="1"/>
  </cols>
  <sheetData>
    <row r="1" spans="1:7" s="7" customFormat="1" ht="17.399999999999999">
      <c r="B1" s="87"/>
      <c r="C1" s="88"/>
      <c r="D1" s="151"/>
      <c r="E1"/>
      <c r="F1"/>
      <c r="G1" s="182"/>
    </row>
    <row r="2" spans="1:7" s="7" customFormat="1">
      <c r="C2"/>
      <c r="D2"/>
      <c r="E2"/>
      <c r="F2"/>
      <c r="G2" s="182"/>
    </row>
    <row r="3" spans="1:7" s="7" customFormat="1" ht="17.399999999999999">
      <c r="B3" s="87"/>
      <c r="C3" s="88"/>
      <c r="D3" s="151"/>
      <c r="E3"/>
      <c r="F3"/>
      <c r="G3" s="182"/>
    </row>
    <row r="4" spans="1:7" s="7" customFormat="1" ht="15.75" customHeight="1">
      <c r="B4" s="1"/>
      <c r="C4"/>
      <c r="E4"/>
      <c r="F4"/>
      <c r="G4"/>
    </row>
    <row r="5" spans="1:7" s="7" customFormat="1" ht="12.75" customHeight="1">
      <c r="A5"/>
      <c r="B5" s="243"/>
      <c r="C5" s="243"/>
      <c r="D5" s="243"/>
      <c r="E5"/>
      <c r="F5"/>
      <c r="G5"/>
    </row>
    <row r="7" spans="1:7" ht="15.75" customHeight="1">
      <c r="B7" s="317" t="s">
        <v>219</v>
      </c>
      <c r="C7" s="317"/>
      <c r="D7" s="317" t="s">
        <v>222</v>
      </c>
      <c r="E7" s="153" t="s">
        <v>220</v>
      </c>
      <c r="F7" s="154" t="s">
        <v>223</v>
      </c>
      <c r="G7" s="155" t="s">
        <v>221</v>
      </c>
    </row>
    <row r="8" spans="1:7">
      <c r="B8" s="317"/>
      <c r="C8" s="317"/>
      <c r="D8" s="317"/>
      <c r="E8" s="156">
        <f>'6. PEF10. BALANCE 3 AÑOS'!F28</f>
        <v>31388.629906796719</v>
      </c>
      <c r="F8" s="156">
        <f>'6. PEF10. BALANCE 3 AÑOS'!F48</f>
        <v>9798.1562010838425</v>
      </c>
      <c r="G8" s="152">
        <f>E8/F8</f>
        <v>3.2035241388910092</v>
      </c>
    </row>
    <row r="9" spans="1:7" ht="15" customHeight="1">
      <c r="D9" s="157"/>
      <c r="E9" s="318" t="str">
        <f>"Valor óptimo entre 1,5 y 2"</f>
        <v>Valor óptimo entre 1,5 y 2</v>
      </c>
      <c r="F9" s="318"/>
      <c r="G9" s="318"/>
    </row>
    <row r="10" spans="1:7" ht="15" customHeight="1">
      <c r="D10" s="157"/>
      <c r="E10" s="158"/>
      <c r="F10" s="158"/>
      <c r="G10" s="158"/>
    </row>
    <row r="11" spans="1:7" ht="15.75" customHeight="1">
      <c r="B11" s="317" t="s">
        <v>224</v>
      </c>
      <c r="C11" s="317"/>
      <c r="D11" s="319" t="s">
        <v>321</v>
      </c>
      <c r="E11" s="154" t="s">
        <v>220</v>
      </c>
      <c r="F11" s="154" t="s">
        <v>225</v>
      </c>
      <c r="G11" s="155" t="s">
        <v>221</v>
      </c>
    </row>
    <row r="12" spans="1:7">
      <c r="B12" s="317"/>
      <c r="C12" s="317"/>
      <c r="D12" s="319"/>
      <c r="E12" s="156">
        <f>'6. PEF10. BALANCE 3 AÑOS'!F28</f>
        <v>31388.629906796719</v>
      </c>
      <c r="F12" s="156">
        <f>'6. PEF10. BALANCE 3 AÑOS'!F48</f>
        <v>9798.1562010838425</v>
      </c>
      <c r="G12" s="156">
        <f>E12-F12</f>
        <v>21590.473705712877</v>
      </c>
    </row>
    <row r="13" spans="1:7">
      <c r="D13" s="157"/>
      <c r="E13" s="318" t="str">
        <f>IF(G12&lt;0,"Situación de insolvencia", "FM positivo Liquidez")</f>
        <v>FM positivo Liquidez</v>
      </c>
      <c r="F13" s="318"/>
      <c r="G13" s="318"/>
    </row>
    <row r="14" spans="1:7">
      <c r="D14" s="157"/>
      <c r="E14" s="158"/>
      <c r="F14" s="158"/>
      <c r="G14" s="158"/>
    </row>
    <row r="15" spans="1:7" ht="12.75" customHeight="1">
      <c r="B15" s="317" t="s">
        <v>226</v>
      </c>
      <c r="C15" s="317"/>
      <c r="D15" s="317" t="s">
        <v>320</v>
      </c>
      <c r="E15" s="154" t="s">
        <v>227</v>
      </c>
      <c r="F15" s="154" t="s">
        <v>225</v>
      </c>
      <c r="G15" s="155" t="s">
        <v>221</v>
      </c>
    </row>
    <row r="16" spans="1:7">
      <c r="B16" s="317"/>
      <c r="C16" s="317"/>
      <c r="D16" s="317"/>
      <c r="E16" s="156">
        <f>SUM('6. PEF10. BALANCE 3 AÑOS'!F31+'6. PEF10. BALANCE 3 AÑOS'!F33)</f>
        <v>17699.629906796719</v>
      </c>
      <c r="F16" s="156">
        <f>'6. PEF10. BALANCE 3 AÑOS'!F48</f>
        <v>9798.1562010838425</v>
      </c>
      <c r="G16" s="152">
        <f>E16/F16</f>
        <v>1.8064245500432867</v>
      </c>
    </row>
    <row r="17" spans="2:7">
      <c r="D17" s="157"/>
      <c r="E17" s="318" t="str">
        <f>IF(G16&gt;1," No se maximiza beneficio","Posible suspensión de pagos")</f>
        <v xml:space="preserve"> No se maximiza beneficio</v>
      </c>
      <c r="F17" s="318"/>
      <c r="G17" s="318"/>
    </row>
    <row r="18" spans="2:7">
      <c r="D18" s="157"/>
      <c r="E18" s="158"/>
      <c r="F18" s="158"/>
      <c r="G18" s="158"/>
    </row>
    <row r="19" spans="2:7" ht="15.75" customHeight="1">
      <c r="B19" s="317" t="s">
        <v>228</v>
      </c>
      <c r="C19" s="317"/>
      <c r="D19" s="317" t="s">
        <v>319</v>
      </c>
      <c r="E19" s="154" t="s">
        <v>245</v>
      </c>
      <c r="F19" s="154" t="s">
        <v>229</v>
      </c>
      <c r="G19" s="155" t="s">
        <v>221</v>
      </c>
    </row>
    <row r="20" spans="2:7">
      <c r="B20" s="317"/>
      <c r="C20" s="317"/>
      <c r="D20" s="317"/>
      <c r="E20" s="156">
        <f>('6. PEF10. BALANCE 3 AÑOS'!F43+'6. PEF10. BALANCE 3 AÑOS'!F48)</f>
        <v>25539.454816627542</v>
      </c>
      <c r="F20" s="156">
        <f>'6. PEF10. BALANCE 3 AÑOS'!F54</f>
        <v>54699.463240130048</v>
      </c>
      <c r="G20" s="152">
        <f>E20/F20</f>
        <v>0.46690503532931599</v>
      </c>
    </row>
    <row r="21" spans="2:7">
      <c r="D21" s="157"/>
      <c r="E21" s="318" t="s">
        <v>230</v>
      </c>
      <c r="F21" s="318"/>
      <c r="G21" s="318"/>
    </row>
    <row r="22" spans="2:7">
      <c r="D22" s="157"/>
      <c r="E22" s="158"/>
      <c r="F22" s="158"/>
      <c r="G22" s="158"/>
    </row>
    <row r="23" spans="2:7" ht="12.75" customHeight="1">
      <c r="B23" s="317" t="s">
        <v>232</v>
      </c>
      <c r="C23" s="317"/>
      <c r="D23" s="317" t="s">
        <v>234</v>
      </c>
      <c r="E23" s="154" t="s">
        <v>444</v>
      </c>
      <c r="F23" s="154" t="s">
        <v>235</v>
      </c>
      <c r="G23" s="155" t="s">
        <v>221</v>
      </c>
    </row>
    <row r="24" spans="2:7" ht="23.25" customHeight="1">
      <c r="B24" s="317"/>
      <c r="C24" s="317"/>
      <c r="D24" s="317"/>
      <c r="E24" s="159">
        <f>'6.PEF6. EXPLOTACION'!BF28</f>
        <v>20213.344564670013</v>
      </c>
      <c r="F24" s="159">
        <f>'6. PEF10. BALANCE 3 AÑOS'!F35</f>
        <v>54699.463240130048</v>
      </c>
      <c r="G24" s="160">
        <f>E24*100/F24</f>
        <v>36.953460541164091</v>
      </c>
    </row>
    <row r="25" spans="2:7">
      <c r="D25" s="157"/>
    </row>
    <row r="26" spans="2:7" ht="12.75" customHeight="1">
      <c r="B26" s="317" t="s">
        <v>233</v>
      </c>
      <c r="C26" s="317"/>
      <c r="D26" s="317" t="s">
        <v>236</v>
      </c>
      <c r="E26" s="154" t="s">
        <v>445</v>
      </c>
      <c r="F26" s="154" t="s">
        <v>231</v>
      </c>
      <c r="G26" s="155" t="s">
        <v>221</v>
      </c>
    </row>
    <row r="27" spans="2:7" ht="28.5" customHeight="1">
      <c r="B27" s="317"/>
      <c r="C27" s="317"/>
      <c r="D27" s="317"/>
      <c r="E27" s="159">
        <f>'6.PEF6. EXPLOTACION'!BF30</f>
        <v>15160.00842350251</v>
      </c>
      <c r="F27" s="159">
        <f>'6. PEF10. BALANCE 3 AÑOS'!F41</f>
        <v>14000</v>
      </c>
      <c r="G27" s="159">
        <f>E27*100/F27</f>
        <v>108.28577445358935</v>
      </c>
    </row>
    <row r="28" spans="2:7" ht="12.75" customHeight="1">
      <c r="D28" s="157"/>
    </row>
    <row r="29" spans="2:7" ht="12.75" customHeight="1">
      <c r="B29" s="317" t="s">
        <v>237</v>
      </c>
      <c r="C29" s="317"/>
      <c r="D29" s="317" t="s">
        <v>238</v>
      </c>
      <c r="E29" s="161" t="s">
        <v>239</v>
      </c>
      <c r="F29" s="161" t="s">
        <v>240</v>
      </c>
      <c r="G29" s="162" t="s">
        <v>241</v>
      </c>
    </row>
    <row r="30" spans="2:7" ht="40.5" customHeight="1">
      <c r="B30" s="317"/>
      <c r="C30" s="317"/>
      <c r="D30" s="317"/>
      <c r="E30" s="163">
        <f>'6. PEF5. VENTAS Y COSTES'!F11</f>
        <v>87500</v>
      </c>
      <c r="F30" s="163">
        <f>'6. PEF5. VENTAS Y COSTES'!F13+'6. PEF5. VENTAS Y COSTES'!F20+'6. PEF5. VENTAS Y COSTES'!F34</f>
        <v>65839.166666666672</v>
      </c>
      <c r="G30" s="164" t="str">
        <f>IF(E30&gt;F30,"Alcanzado el punto muerto","No se alcanza el punto muerto")</f>
        <v>Alcanzado el punto muerto</v>
      </c>
    </row>
    <row r="31" spans="2:7">
      <c r="D31" s="157"/>
    </row>
    <row r="32" spans="2:7" ht="12.75" customHeight="1">
      <c r="B32" s="317" t="s">
        <v>242</v>
      </c>
      <c r="C32" s="317"/>
      <c r="D32" s="317" t="s">
        <v>317</v>
      </c>
      <c r="E32" s="154" t="s">
        <v>244</v>
      </c>
      <c r="F32" s="154" t="s">
        <v>243</v>
      </c>
      <c r="G32" s="155" t="s">
        <v>246</v>
      </c>
    </row>
    <row r="33" spans="1:8" ht="33" customHeight="1">
      <c r="B33" s="317"/>
      <c r="C33" s="317"/>
      <c r="D33" s="317"/>
      <c r="E33" s="163">
        <f>'6.PEF6. EXPLOTACION'!BF30+'6.PEF6. EXPLOTACION'!BF25</f>
        <v>16949.175090169178</v>
      </c>
      <c r="F33" s="163">
        <f>E20</f>
        <v>25539.454816627542</v>
      </c>
      <c r="G33" s="164">
        <f>E33/F33</f>
        <v>0.66364670709941564</v>
      </c>
    </row>
    <row r="34" spans="1:8">
      <c r="D34" s="157"/>
    </row>
    <row r="35" spans="1:8" ht="12.75" customHeight="1">
      <c r="B35" s="317" t="s">
        <v>247</v>
      </c>
      <c r="C35" s="317"/>
      <c r="D35" s="317" t="s">
        <v>318</v>
      </c>
      <c r="E35" s="165" t="s">
        <v>249</v>
      </c>
      <c r="F35" s="154" t="s">
        <v>250</v>
      </c>
      <c r="G35" s="155" t="s">
        <v>55</v>
      </c>
    </row>
    <row r="36" spans="1:8" ht="33.75" customHeight="1">
      <c r="B36" s="317"/>
      <c r="C36" s="317"/>
      <c r="D36" s="317"/>
      <c r="E36" s="163">
        <f>'6.PEF6. EXPLOTACION'!BF30</f>
        <v>15160.00842350251</v>
      </c>
      <c r="F36" s="163">
        <f>'6.PEF6. EXPLOTACION'!BF25</f>
        <v>1789.1666666666663</v>
      </c>
      <c r="G36" s="163">
        <f>E36+F36</f>
        <v>16949.175090169178</v>
      </c>
    </row>
    <row r="37" spans="1:8">
      <c r="E37" s="165" t="s">
        <v>252</v>
      </c>
      <c r="F37" s="154" t="s">
        <v>251</v>
      </c>
      <c r="G37" s="154" t="s">
        <v>56</v>
      </c>
    </row>
    <row r="38" spans="1:8" ht="33.75" customHeight="1">
      <c r="E38" s="163">
        <f>'6.PEF6. EXPLOTACION'!BG30</f>
        <v>19075.712475034794</v>
      </c>
      <c r="F38" s="163">
        <f>'6.PEF6. EXPLOTACION'!BG25</f>
        <v>1789.1666666666663</v>
      </c>
      <c r="G38" s="163">
        <f>E38+F38</f>
        <v>20864.879141701462</v>
      </c>
    </row>
    <row r="39" spans="1:8">
      <c r="E39" s="154" t="s">
        <v>248</v>
      </c>
    </row>
    <row r="40" spans="1:8" ht="33.75" customHeight="1">
      <c r="E40" s="163">
        <f>(G38-G36)/G38</f>
        <v>0.18766962535173215</v>
      </c>
      <c r="F40" s="163"/>
      <c r="G40" s="163"/>
    </row>
    <row r="43" spans="1:8">
      <c r="B43" s="73"/>
      <c r="C43" s="73"/>
      <c r="D43" s="73"/>
      <c r="E43" s="73"/>
      <c r="F43" s="73"/>
      <c r="G43" s="73"/>
    </row>
    <row r="44" spans="1:8">
      <c r="A44" s="80"/>
      <c r="B44" s="80"/>
      <c r="C44" s="80"/>
      <c r="D44" s="80"/>
      <c r="E44" s="80"/>
      <c r="F44" s="80"/>
      <c r="G44" s="80"/>
      <c r="H44" s="80"/>
    </row>
    <row r="45" spans="1:8">
      <c r="E45"/>
      <c r="F45"/>
      <c r="G45"/>
    </row>
    <row r="46" spans="1:8">
      <c r="E46"/>
      <c r="F46"/>
      <c r="G46"/>
    </row>
    <row r="47" spans="1:8">
      <c r="E47"/>
      <c r="F47"/>
      <c r="G47"/>
    </row>
    <row r="48" spans="1:8">
      <c r="E48"/>
      <c r="F48"/>
      <c r="G48"/>
    </row>
  </sheetData>
  <sheetProtection password="CC9B" sheet="1" objects="1" scenarios="1"/>
  <mergeCells count="24">
    <mergeCell ref="G1:G3"/>
    <mergeCell ref="B7:C8"/>
    <mergeCell ref="B11:C12"/>
    <mergeCell ref="B15:C16"/>
    <mergeCell ref="B19:C20"/>
    <mergeCell ref="E13:G13"/>
    <mergeCell ref="E17:G17"/>
    <mergeCell ref="D15:D16"/>
    <mergeCell ref="D19:D20"/>
    <mergeCell ref="B35:C36"/>
    <mergeCell ref="B5:D5"/>
    <mergeCell ref="E9:G9"/>
    <mergeCell ref="B23:C24"/>
    <mergeCell ref="B26:C27"/>
    <mergeCell ref="B29:C30"/>
    <mergeCell ref="B32:C33"/>
    <mergeCell ref="D7:D8"/>
    <mergeCell ref="D11:D12"/>
    <mergeCell ref="E21:G21"/>
    <mergeCell ref="D35:D36"/>
    <mergeCell ref="D23:D24"/>
    <mergeCell ref="D32:D33"/>
    <mergeCell ref="D29:D30"/>
    <mergeCell ref="D26:D27"/>
  </mergeCells>
  <phoneticPr fontId="2" type="noConversion"/>
  <pageMargins left="0.59055118110236227" right="0.59055118110236227" top="0.39370078740157483" bottom="0.39370078740157483" header="0" footer="0"/>
  <pageSetup paperSize="9" orientation="portrait" horizontalDpi="300" verticalDpi="2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indexed="22"/>
  </sheetPr>
  <dimension ref="A1:F236"/>
  <sheetViews>
    <sheetView showGridLines="0" topLeftCell="A6" zoomScaleNormal="100" workbookViewId="0">
      <selection activeCell="F7" sqref="F7"/>
    </sheetView>
  </sheetViews>
  <sheetFormatPr baseColWidth="10" defaultRowHeight="13.2"/>
  <cols>
    <col min="1" max="1" width="12.88671875" customWidth="1"/>
    <col min="2" max="6" width="14.6640625" customWidth="1"/>
  </cols>
  <sheetData>
    <row r="1" spans="1:6" ht="21">
      <c r="A1" s="321"/>
      <c r="B1" s="321"/>
      <c r="C1" s="321"/>
      <c r="D1" s="321"/>
      <c r="E1" s="321"/>
      <c r="F1" s="321"/>
    </row>
    <row r="2" spans="1:6">
      <c r="A2" s="61"/>
      <c r="B2" s="61"/>
      <c r="C2" s="61"/>
      <c r="D2" s="61"/>
      <c r="E2" s="61"/>
      <c r="F2" s="61"/>
    </row>
    <row r="3" spans="1:6">
      <c r="C3" s="62"/>
      <c r="D3" s="320" t="s">
        <v>431</v>
      </c>
      <c r="E3" s="320"/>
      <c r="F3" s="79">
        <f>'6. PEF2-3. INVERS. Y FINANC.'!$N$14</f>
        <v>25000</v>
      </c>
    </row>
    <row r="4" spans="1:6">
      <c r="C4" s="63"/>
      <c r="D4" s="320" t="s">
        <v>432</v>
      </c>
      <c r="E4" s="320"/>
      <c r="F4" s="63">
        <f>'6.PEF4. AMORTIZACIÓN'!$E$10</f>
        <v>0.05</v>
      </c>
    </row>
    <row r="5" spans="1:6">
      <c r="C5" s="92" t="str">
        <f>IF(F5&gt;10,"Máximo 10 años. Sólo calculará los 10 primeros años","")</f>
        <v/>
      </c>
      <c r="D5" s="320" t="s">
        <v>439</v>
      </c>
      <c r="E5" s="320"/>
      <c r="F5" s="74">
        <f>'6.PEF4. AMORTIZACIÓN'!$D$10</f>
        <v>5</v>
      </c>
    </row>
    <row r="6" spans="1:6">
      <c r="C6" s="64"/>
      <c r="D6" s="320" t="s">
        <v>440</v>
      </c>
      <c r="E6" s="320"/>
      <c r="F6" s="166">
        <v>12</v>
      </c>
    </row>
    <row r="7" spans="1:6">
      <c r="C7" s="64"/>
      <c r="D7" s="320" t="s">
        <v>433</v>
      </c>
      <c r="E7" s="320"/>
      <c r="F7" s="167">
        <v>0</v>
      </c>
    </row>
    <row r="8" spans="1:6">
      <c r="A8" s="61"/>
      <c r="B8" s="64"/>
      <c r="C8" s="64"/>
      <c r="D8" s="61"/>
      <c r="E8" s="61"/>
      <c r="F8" s="61"/>
    </row>
    <row r="9" spans="1:6">
      <c r="A9" s="61"/>
      <c r="B9" s="61"/>
      <c r="C9" s="61"/>
      <c r="D9" s="61"/>
      <c r="E9" s="61"/>
      <c r="F9" s="61"/>
    </row>
    <row r="10" spans="1:6" ht="39.6">
      <c r="A10" s="91" t="s">
        <v>434</v>
      </c>
      <c r="B10" s="91" t="s">
        <v>435</v>
      </c>
      <c r="C10" s="91" t="s">
        <v>340</v>
      </c>
      <c r="D10" s="91" t="s">
        <v>436</v>
      </c>
      <c r="E10" s="91" t="s">
        <v>437</v>
      </c>
      <c r="F10" s="91" t="s">
        <v>438</v>
      </c>
    </row>
    <row r="11" spans="1:6">
      <c r="A11" s="65">
        <v>0</v>
      </c>
      <c r="B11" s="75"/>
      <c r="C11" s="75"/>
      <c r="D11" s="75"/>
      <c r="E11" s="75"/>
      <c r="F11" s="75">
        <f>F3</f>
        <v>25000</v>
      </c>
    </row>
    <row r="12" spans="1:6">
      <c r="A12" s="59">
        <f t="shared" ref="A12:A43" si="0">IF(A11&lt;$F$5*$F$6,A11+1,"")</f>
        <v>1</v>
      </c>
      <c r="B12" s="76">
        <f t="shared" ref="B12:B35" si="1">IF(A12="","",-PMT($F$4/$F$6,$F$5*$F$6,$F$3,,$F$7))</f>
        <v>471.78084110027339</v>
      </c>
      <c r="C12" s="76">
        <f t="shared" ref="C12:C35" si="2">IF(A12="","",$F$4/$F$6*F11)</f>
        <v>104.16666666666667</v>
      </c>
      <c r="D12" s="76">
        <f t="shared" ref="D12:D35" si="3">IF(A12="","",B12-C12)</f>
        <v>367.61417443360671</v>
      </c>
      <c r="E12" s="76">
        <f>IF(A12="","",D12+E11)</f>
        <v>367.61417443360671</v>
      </c>
      <c r="F12" s="76">
        <f>IF(A12="","",$F$11-E12)</f>
        <v>24632.385825566394</v>
      </c>
    </row>
    <row r="13" spans="1:6">
      <c r="A13" s="59">
        <f t="shared" si="0"/>
        <v>2</v>
      </c>
      <c r="B13" s="76">
        <f t="shared" si="1"/>
        <v>471.78084110027339</v>
      </c>
      <c r="C13" s="76">
        <f t="shared" si="2"/>
        <v>102.63494093985997</v>
      </c>
      <c r="D13" s="76">
        <f t="shared" si="3"/>
        <v>369.14590016041342</v>
      </c>
      <c r="E13" s="76">
        <f t="shared" ref="E13:E34" si="4">IF(A13="","",D13+E12)</f>
        <v>736.76007459402013</v>
      </c>
      <c r="F13" s="76">
        <f t="shared" ref="F13:F35" si="5">IF(A13="","",$F$11-E13)</f>
        <v>24263.239925405978</v>
      </c>
    </row>
    <row r="14" spans="1:6">
      <c r="A14" s="59">
        <f t="shared" si="0"/>
        <v>3</v>
      </c>
      <c r="B14" s="76">
        <f t="shared" si="1"/>
        <v>471.78084110027339</v>
      </c>
      <c r="C14" s="76">
        <f t="shared" si="2"/>
        <v>101.0968330225249</v>
      </c>
      <c r="D14" s="76">
        <f t="shared" si="3"/>
        <v>370.6840080777485</v>
      </c>
      <c r="E14" s="76">
        <f t="shared" si="4"/>
        <v>1107.4440826717687</v>
      </c>
      <c r="F14" s="76">
        <f t="shared" si="5"/>
        <v>23892.555917328231</v>
      </c>
    </row>
    <row r="15" spans="1:6">
      <c r="A15" s="59">
        <f t="shared" si="0"/>
        <v>4</v>
      </c>
      <c r="B15" s="76">
        <f t="shared" si="1"/>
        <v>471.78084110027339</v>
      </c>
      <c r="C15" s="76">
        <f t="shared" si="2"/>
        <v>99.552316322200966</v>
      </c>
      <c r="D15" s="76">
        <f t="shared" si="3"/>
        <v>372.22852477807243</v>
      </c>
      <c r="E15" s="76">
        <f t="shared" si="4"/>
        <v>1479.6726074498411</v>
      </c>
      <c r="F15" s="76">
        <f t="shared" si="5"/>
        <v>23520.32739255016</v>
      </c>
    </row>
    <row r="16" spans="1:6">
      <c r="A16" s="59">
        <f t="shared" si="0"/>
        <v>5</v>
      </c>
      <c r="B16" s="76">
        <f t="shared" si="1"/>
        <v>471.78084110027339</v>
      </c>
      <c r="C16" s="76">
        <f t="shared" si="2"/>
        <v>98.001364135625664</v>
      </c>
      <c r="D16" s="76">
        <f t="shared" si="3"/>
        <v>373.77947696464776</v>
      </c>
      <c r="E16" s="76">
        <f t="shared" si="4"/>
        <v>1853.4520844144888</v>
      </c>
      <c r="F16" s="76">
        <f t="shared" si="5"/>
        <v>23146.54791558551</v>
      </c>
    </row>
    <row r="17" spans="1:6">
      <c r="A17" s="59">
        <f t="shared" si="0"/>
        <v>6</v>
      </c>
      <c r="B17" s="76">
        <f t="shared" si="1"/>
        <v>471.78084110027339</v>
      </c>
      <c r="C17" s="76">
        <f t="shared" si="2"/>
        <v>96.443949648272962</v>
      </c>
      <c r="D17" s="76">
        <f t="shared" si="3"/>
        <v>375.33689145200043</v>
      </c>
      <c r="E17" s="76">
        <f t="shared" si="4"/>
        <v>2228.7889758664892</v>
      </c>
      <c r="F17" s="76">
        <f t="shared" si="5"/>
        <v>22771.21102413351</v>
      </c>
    </row>
    <row r="18" spans="1:6">
      <c r="A18" s="59">
        <f t="shared" si="0"/>
        <v>7</v>
      </c>
      <c r="B18" s="76">
        <f t="shared" si="1"/>
        <v>471.78084110027339</v>
      </c>
      <c r="C18" s="76">
        <f t="shared" si="2"/>
        <v>94.880045933889619</v>
      </c>
      <c r="D18" s="76">
        <f t="shared" si="3"/>
        <v>376.90079516638377</v>
      </c>
      <c r="E18" s="76">
        <f t="shared" si="4"/>
        <v>2605.6897710328731</v>
      </c>
      <c r="F18" s="76">
        <f t="shared" si="5"/>
        <v>22394.310228967126</v>
      </c>
    </row>
    <row r="19" spans="1:6">
      <c r="A19" s="59">
        <f t="shared" si="0"/>
        <v>8</v>
      </c>
      <c r="B19" s="76">
        <f t="shared" si="1"/>
        <v>471.78084110027339</v>
      </c>
      <c r="C19" s="76">
        <f t="shared" si="2"/>
        <v>93.309625954029684</v>
      </c>
      <c r="D19" s="76">
        <f t="shared" si="3"/>
        <v>378.47121514624371</v>
      </c>
      <c r="E19" s="76">
        <f t="shared" si="4"/>
        <v>2984.1609861791167</v>
      </c>
      <c r="F19" s="76">
        <f t="shared" si="5"/>
        <v>22015.839013820885</v>
      </c>
    </row>
    <row r="20" spans="1:6">
      <c r="A20" s="59">
        <f t="shared" si="0"/>
        <v>9</v>
      </c>
      <c r="B20" s="76">
        <f t="shared" si="1"/>
        <v>471.78084110027339</v>
      </c>
      <c r="C20" s="76">
        <f t="shared" si="2"/>
        <v>91.73266255758702</v>
      </c>
      <c r="D20" s="76">
        <f t="shared" si="3"/>
        <v>380.0481785426864</v>
      </c>
      <c r="E20" s="76">
        <f t="shared" si="4"/>
        <v>3364.2091647218031</v>
      </c>
      <c r="F20" s="76">
        <f t="shared" si="5"/>
        <v>21635.790835278196</v>
      </c>
    </row>
    <row r="21" spans="1:6">
      <c r="A21" s="59">
        <f t="shared" si="0"/>
        <v>10</v>
      </c>
      <c r="B21" s="76">
        <f t="shared" si="1"/>
        <v>471.78084110027339</v>
      </c>
      <c r="C21" s="76">
        <f t="shared" si="2"/>
        <v>90.149128480325814</v>
      </c>
      <c r="D21" s="76">
        <f t="shared" si="3"/>
        <v>381.63171261994756</v>
      </c>
      <c r="E21" s="76">
        <f t="shared" si="4"/>
        <v>3745.8408773417505</v>
      </c>
      <c r="F21" s="76">
        <f t="shared" si="5"/>
        <v>21254.15912265825</v>
      </c>
    </row>
    <row r="22" spans="1:6">
      <c r="A22" s="59">
        <f t="shared" si="0"/>
        <v>11</v>
      </c>
      <c r="B22" s="76">
        <f t="shared" si="1"/>
        <v>471.78084110027339</v>
      </c>
      <c r="C22" s="76">
        <f t="shared" si="2"/>
        <v>88.558996344409366</v>
      </c>
      <c r="D22" s="76">
        <f t="shared" si="3"/>
        <v>383.22184475586403</v>
      </c>
      <c r="E22" s="76">
        <f t="shared" si="4"/>
        <v>4129.0627220976148</v>
      </c>
      <c r="F22" s="76">
        <f t="shared" si="5"/>
        <v>20870.937277902383</v>
      </c>
    </row>
    <row r="23" spans="1:6">
      <c r="A23" s="59">
        <f t="shared" si="0"/>
        <v>12</v>
      </c>
      <c r="B23" s="77">
        <f t="shared" si="1"/>
        <v>471.78084110027339</v>
      </c>
      <c r="C23" s="77">
        <f t="shared" si="2"/>
        <v>86.962238657926591</v>
      </c>
      <c r="D23" s="77">
        <f t="shared" si="3"/>
        <v>384.81860244234679</v>
      </c>
      <c r="E23" s="77">
        <f t="shared" si="4"/>
        <v>4513.8813245399615</v>
      </c>
      <c r="F23" s="77">
        <f t="shared" si="5"/>
        <v>20486.118675460039</v>
      </c>
    </row>
    <row r="24" spans="1:6">
      <c r="A24" s="59">
        <f t="shared" si="0"/>
        <v>13</v>
      </c>
      <c r="B24" s="76">
        <f t="shared" si="1"/>
        <v>471.78084110027339</v>
      </c>
      <c r="C24" s="76">
        <f t="shared" si="2"/>
        <v>85.358827814416827</v>
      </c>
      <c r="D24" s="76">
        <f t="shared" si="3"/>
        <v>386.42201328585656</v>
      </c>
      <c r="E24" s="76">
        <f t="shared" si="4"/>
        <v>4900.3033378258178</v>
      </c>
      <c r="F24" s="76">
        <f t="shared" si="5"/>
        <v>20099.696662174181</v>
      </c>
    </row>
    <row r="25" spans="1:6">
      <c r="A25" s="59">
        <f t="shared" si="0"/>
        <v>14</v>
      </c>
      <c r="B25" s="76">
        <f t="shared" si="1"/>
        <v>471.78084110027339</v>
      </c>
      <c r="C25" s="76">
        <f t="shared" si="2"/>
        <v>83.74873609239242</v>
      </c>
      <c r="D25" s="76">
        <f t="shared" si="3"/>
        <v>388.032105007881</v>
      </c>
      <c r="E25" s="76">
        <f t="shared" si="4"/>
        <v>5288.3354428336988</v>
      </c>
      <c r="F25" s="76">
        <f t="shared" si="5"/>
        <v>19711.664557166303</v>
      </c>
    </row>
    <row r="26" spans="1:6">
      <c r="A26" s="59">
        <f t="shared" si="0"/>
        <v>15</v>
      </c>
      <c r="B26" s="76">
        <f t="shared" si="1"/>
        <v>471.78084110027339</v>
      </c>
      <c r="C26" s="76">
        <f t="shared" si="2"/>
        <v>82.131935654859589</v>
      </c>
      <c r="D26" s="76">
        <f t="shared" si="3"/>
        <v>389.64890544541379</v>
      </c>
      <c r="E26" s="76">
        <f t="shared" si="4"/>
        <v>5677.984348279113</v>
      </c>
      <c r="F26" s="76">
        <f t="shared" si="5"/>
        <v>19322.015651720889</v>
      </c>
    </row>
    <row r="27" spans="1:6">
      <c r="A27" s="59">
        <f t="shared" si="0"/>
        <v>16</v>
      </c>
      <c r="B27" s="76">
        <f t="shared" si="1"/>
        <v>471.78084110027339</v>
      </c>
      <c r="C27" s="76">
        <f t="shared" si="2"/>
        <v>80.508398548837036</v>
      </c>
      <c r="D27" s="76">
        <f t="shared" si="3"/>
        <v>391.27244255143637</v>
      </c>
      <c r="E27" s="76">
        <f t="shared" si="4"/>
        <v>6069.2567908305491</v>
      </c>
      <c r="F27" s="76">
        <f t="shared" si="5"/>
        <v>18930.74320916945</v>
      </c>
    </row>
    <row r="28" spans="1:6">
      <c r="A28" s="59">
        <f t="shared" si="0"/>
        <v>17</v>
      </c>
      <c r="B28" s="76">
        <f t="shared" si="1"/>
        <v>471.78084110027339</v>
      </c>
      <c r="C28" s="76">
        <f t="shared" si="2"/>
        <v>78.878096704872704</v>
      </c>
      <c r="D28" s="76">
        <f t="shared" si="3"/>
        <v>392.9027443954007</v>
      </c>
      <c r="E28" s="76">
        <f t="shared" si="4"/>
        <v>6462.1595352259501</v>
      </c>
      <c r="F28" s="76">
        <f t="shared" si="5"/>
        <v>18537.84046477405</v>
      </c>
    </row>
    <row r="29" spans="1:6">
      <c r="A29" s="59">
        <f t="shared" si="0"/>
        <v>18</v>
      </c>
      <c r="B29" s="76">
        <f t="shared" si="1"/>
        <v>471.78084110027339</v>
      </c>
      <c r="C29" s="76">
        <f t="shared" si="2"/>
        <v>77.241001936558547</v>
      </c>
      <c r="D29" s="76">
        <f t="shared" si="3"/>
        <v>394.53983916371487</v>
      </c>
      <c r="E29" s="76">
        <f t="shared" si="4"/>
        <v>6856.6993743896646</v>
      </c>
      <c r="F29" s="76">
        <f t="shared" si="5"/>
        <v>18143.300625610336</v>
      </c>
    </row>
    <row r="30" spans="1:6">
      <c r="A30" s="59">
        <f t="shared" si="0"/>
        <v>19</v>
      </c>
      <c r="B30" s="76">
        <f t="shared" si="1"/>
        <v>471.78084110027339</v>
      </c>
      <c r="C30" s="76">
        <f t="shared" si="2"/>
        <v>75.597085940043073</v>
      </c>
      <c r="D30" s="76">
        <f t="shared" si="3"/>
        <v>396.18375516023031</v>
      </c>
      <c r="E30" s="76">
        <f t="shared" si="4"/>
        <v>7252.8831295498949</v>
      </c>
      <c r="F30" s="76">
        <f t="shared" si="5"/>
        <v>17747.116870450103</v>
      </c>
    </row>
    <row r="31" spans="1:6">
      <c r="A31" s="59">
        <f t="shared" si="0"/>
        <v>20</v>
      </c>
      <c r="B31" s="76">
        <f t="shared" si="1"/>
        <v>471.78084110027339</v>
      </c>
      <c r="C31" s="76">
        <f t="shared" si="2"/>
        <v>73.946320293542101</v>
      </c>
      <c r="D31" s="76">
        <f t="shared" si="3"/>
        <v>397.83452080673129</v>
      </c>
      <c r="E31" s="76">
        <f t="shared" si="4"/>
        <v>7650.7176503566261</v>
      </c>
      <c r="F31" s="76">
        <f t="shared" si="5"/>
        <v>17349.282349643374</v>
      </c>
    </row>
    <row r="32" spans="1:6">
      <c r="A32" s="59">
        <f t="shared" si="0"/>
        <v>21</v>
      </c>
      <c r="B32" s="76">
        <f t="shared" si="1"/>
        <v>471.78084110027339</v>
      </c>
      <c r="C32" s="76">
        <f t="shared" si="2"/>
        <v>72.288676456847384</v>
      </c>
      <c r="D32" s="76">
        <f t="shared" si="3"/>
        <v>399.49216464342601</v>
      </c>
      <c r="E32" s="76">
        <f t="shared" si="4"/>
        <v>8050.209815000052</v>
      </c>
      <c r="F32" s="76">
        <f t="shared" si="5"/>
        <v>16949.790184999947</v>
      </c>
    </row>
    <row r="33" spans="1:6">
      <c r="A33" s="59">
        <f t="shared" si="0"/>
        <v>22</v>
      </c>
      <c r="B33" s="76">
        <f t="shared" si="1"/>
        <v>471.78084110027339</v>
      </c>
      <c r="C33" s="76">
        <f t="shared" si="2"/>
        <v>70.624125770833118</v>
      </c>
      <c r="D33" s="76">
        <f t="shared" si="3"/>
        <v>401.15671532944026</v>
      </c>
      <c r="E33" s="76">
        <f t="shared" si="4"/>
        <v>8451.3665303294929</v>
      </c>
      <c r="F33" s="76">
        <f t="shared" si="5"/>
        <v>16548.633469670509</v>
      </c>
    </row>
    <row r="34" spans="1:6">
      <c r="A34" s="59">
        <f t="shared" si="0"/>
        <v>23</v>
      </c>
      <c r="B34" s="76">
        <f t="shared" si="1"/>
        <v>471.78084110027339</v>
      </c>
      <c r="C34" s="76">
        <f t="shared" si="2"/>
        <v>68.952639456960455</v>
      </c>
      <c r="D34" s="76">
        <f t="shared" si="3"/>
        <v>402.82820164331292</v>
      </c>
      <c r="E34" s="76">
        <f t="shared" si="4"/>
        <v>8854.194731972806</v>
      </c>
      <c r="F34" s="76">
        <f t="shared" si="5"/>
        <v>16145.805268027194</v>
      </c>
    </row>
    <row r="35" spans="1:6">
      <c r="A35" s="59">
        <f t="shared" si="0"/>
        <v>24</v>
      </c>
      <c r="B35" s="77">
        <f t="shared" si="1"/>
        <v>471.78084110027339</v>
      </c>
      <c r="C35" s="77">
        <f t="shared" si="2"/>
        <v>67.274188616779981</v>
      </c>
      <c r="D35" s="77">
        <f t="shared" si="3"/>
        <v>404.50665248349344</v>
      </c>
      <c r="E35" s="77">
        <f>IF(A35="","",D35+E34)</f>
        <v>9258.7013844562989</v>
      </c>
      <c r="F35" s="77">
        <f t="shared" si="5"/>
        <v>15741.298615543701</v>
      </c>
    </row>
    <row r="36" spans="1:6">
      <c r="A36" s="59">
        <f t="shared" si="0"/>
        <v>25</v>
      </c>
      <c r="B36" s="76">
        <f t="shared" ref="B36:B67" si="6">IF(A36&lt;=$F$5*$F$6,-PMT($F$4/$F$6,$F$5*$F$6,$F$3,,$F$7),"")</f>
        <v>471.78084110027339</v>
      </c>
      <c r="C36" s="76">
        <f t="shared" ref="C36:C67" si="7">IF(A36&lt;=$F$5*$F$6,-IPMT($F$4/$F$6,A36,$F$5*$F$6,$F$3,,$F$7),"")</f>
        <v>65.588744231432088</v>
      </c>
      <c r="D36" s="76">
        <f t="shared" ref="D36:D67" si="8">IF(A36&lt;=$F$5*$F$6,-PPMT($F$4/$F$6,A36,$F$5*$F$6,$F$3,,$F$7),"")</f>
        <v>406.19209686884125</v>
      </c>
      <c r="E36" s="76">
        <f>IF(A36&lt;=$F$5*$F$6,SUM($D$12:D36),"")</f>
        <v>9664.8934813251399</v>
      </c>
      <c r="F36" s="76">
        <f t="shared" ref="F36:F67" si="9">IF(A36&lt;=$F$5*$F$6,$F$3-E36,"")</f>
        <v>15335.10651867486</v>
      </c>
    </row>
    <row r="37" spans="1:6">
      <c r="A37" s="59">
        <f t="shared" si="0"/>
        <v>26</v>
      </c>
      <c r="B37" s="76">
        <f t="shared" si="6"/>
        <v>471.78084110027339</v>
      </c>
      <c r="C37" s="76">
        <f t="shared" si="7"/>
        <v>63.89627716114525</v>
      </c>
      <c r="D37" s="76">
        <f t="shared" si="8"/>
        <v>407.88456393912816</v>
      </c>
      <c r="E37" s="76">
        <f>IF(A37&lt;=$F$5*$F$6,SUM($D$12:D37),"")</f>
        <v>10072.778045264267</v>
      </c>
      <c r="F37" s="76">
        <f t="shared" si="9"/>
        <v>14927.221954735733</v>
      </c>
    </row>
    <row r="38" spans="1:6">
      <c r="A38" s="59">
        <f t="shared" si="0"/>
        <v>27</v>
      </c>
      <c r="B38" s="76">
        <f t="shared" si="6"/>
        <v>471.78084110027339</v>
      </c>
      <c r="C38" s="76">
        <f t="shared" si="7"/>
        <v>62.196758144732229</v>
      </c>
      <c r="D38" s="76">
        <f t="shared" si="8"/>
        <v>409.58408295554113</v>
      </c>
      <c r="E38" s="76">
        <f>IF(A38&lt;=$F$5*$F$6,SUM($D$12:D38),"")</f>
        <v>10482.362128219809</v>
      </c>
      <c r="F38" s="76">
        <f t="shared" si="9"/>
        <v>14517.637871780191</v>
      </c>
    </row>
    <row r="39" spans="1:6">
      <c r="A39" s="59">
        <f t="shared" si="0"/>
        <v>28</v>
      </c>
      <c r="B39" s="76">
        <f t="shared" si="6"/>
        <v>471.78084110027339</v>
      </c>
      <c r="C39" s="76">
        <f t="shared" si="7"/>
        <v>60.490157799084123</v>
      </c>
      <c r="D39" s="76">
        <f t="shared" si="8"/>
        <v>411.29068330118929</v>
      </c>
      <c r="E39" s="76">
        <f>IF(A39&lt;=$F$5*$F$6,SUM($D$12:D39),"")</f>
        <v>10893.652811520999</v>
      </c>
      <c r="F39" s="76">
        <f t="shared" si="9"/>
        <v>14106.347188479001</v>
      </c>
    </row>
    <row r="40" spans="1:6">
      <c r="A40" s="59">
        <f t="shared" si="0"/>
        <v>29</v>
      </c>
      <c r="B40" s="76">
        <f t="shared" si="6"/>
        <v>471.78084110027339</v>
      </c>
      <c r="C40" s="76">
        <f t="shared" si="7"/>
        <v>58.776446618662504</v>
      </c>
      <c r="D40" s="76">
        <f t="shared" si="8"/>
        <v>413.00439448161092</v>
      </c>
      <c r="E40" s="76">
        <f>IF(A40&lt;=$F$5*$F$6,SUM($D$12:D40),"")</f>
        <v>11306.65720600261</v>
      </c>
      <c r="F40" s="76">
        <f t="shared" si="9"/>
        <v>13693.34279399739</v>
      </c>
    </row>
    <row r="41" spans="1:6">
      <c r="A41" s="59">
        <f t="shared" si="0"/>
        <v>30</v>
      </c>
      <c r="B41" s="76">
        <f t="shared" si="6"/>
        <v>471.78084110027339</v>
      </c>
      <c r="C41" s="76">
        <f t="shared" si="7"/>
        <v>57.055594974989141</v>
      </c>
      <c r="D41" s="76">
        <f t="shared" si="8"/>
        <v>414.72524612528423</v>
      </c>
      <c r="E41" s="76">
        <f>IF(A41&lt;=$F$5*$F$6,SUM($D$12:D41),"")</f>
        <v>11721.382452127895</v>
      </c>
      <c r="F41" s="76">
        <f t="shared" si="9"/>
        <v>13278.617547872105</v>
      </c>
    </row>
    <row r="42" spans="1:6">
      <c r="A42" s="59">
        <f t="shared" si="0"/>
        <v>31</v>
      </c>
      <c r="B42" s="76">
        <f t="shared" si="6"/>
        <v>471.78084110027339</v>
      </c>
      <c r="C42" s="76">
        <f t="shared" si="7"/>
        <v>55.327573116133777</v>
      </c>
      <c r="D42" s="76">
        <f t="shared" si="8"/>
        <v>416.45326798413959</v>
      </c>
      <c r="E42" s="76">
        <f>IF(A42&lt;=$F$5*$F$6,SUM($D$12:D42),"")</f>
        <v>12137.835720112034</v>
      </c>
      <c r="F42" s="76">
        <f t="shared" si="9"/>
        <v>12862.164279887966</v>
      </c>
    </row>
    <row r="43" spans="1:6">
      <c r="A43" s="59">
        <f t="shared" si="0"/>
        <v>32</v>
      </c>
      <c r="B43" s="76">
        <f t="shared" si="6"/>
        <v>471.78084110027339</v>
      </c>
      <c r="C43" s="76">
        <f t="shared" si="7"/>
        <v>53.592351166199869</v>
      </c>
      <c r="D43" s="76">
        <f t="shared" si="8"/>
        <v>418.18848993407352</v>
      </c>
      <c r="E43" s="76">
        <f>IF(A43&lt;=$F$5*$F$6,SUM($D$12:D43),"")</f>
        <v>12556.024210046107</v>
      </c>
      <c r="F43" s="76">
        <f t="shared" si="9"/>
        <v>12443.975789953893</v>
      </c>
    </row>
    <row r="44" spans="1:6">
      <c r="A44" s="59">
        <f t="shared" ref="A44:A75" si="10">IF(A43&lt;$F$5*$F$6,A43+1,"")</f>
        <v>33</v>
      </c>
      <c r="B44" s="76">
        <f t="shared" si="6"/>
        <v>471.78084110027339</v>
      </c>
      <c r="C44" s="76">
        <f t="shared" si="7"/>
        <v>51.849899124807898</v>
      </c>
      <c r="D44" s="76">
        <f t="shared" si="8"/>
        <v>419.93094197546549</v>
      </c>
      <c r="E44" s="76">
        <f>IF(A44&lt;=$F$5*$F$6,SUM($D$12:D44),"")</f>
        <v>12975.955152021574</v>
      </c>
      <c r="F44" s="76">
        <f t="shared" si="9"/>
        <v>12024.044847978426</v>
      </c>
    </row>
    <row r="45" spans="1:6">
      <c r="A45" s="59">
        <f t="shared" si="10"/>
        <v>34</v>
      </c>
      <c r="B45" s="76">
        <f t="shared" si="6"/>
        <v>471.78084110027339</v>
      </c>
      <c r="C45" s="76">
        <f t="shared" si="7"/>
        <v>50.100186866576792</v>
      </c>
      <c r="D45" s="76">
        <f t="shared" si="8"/>
        <v>421.6806542336966</v>
      </c>
      <c r="E45" s="76">
        <f>IF(A45&lt;=$F$5*$F$6,SUM($D$12:D45),"")</f>
        <v>13397.63580625527</v>
      </c>
      <c r="F45" s="76">
        <f t="shared" si="9"/>
        <v>11602.36419374473</v>
      </c>
    </row>
    <row r="46" spans="1:6">
      <c r="A46" s="59">
        <f t="shared" si="10"/>
        <v>35</v>
      </c>
      <c r="B46" s="76">
        <f t="shared" si="6"/>
        <v>471.78084110027339</v>
      </c>
      <c r="C46" s="76">
        <f t="shared" si="7"/>
        <v>48.34318414060305</v>
      </c>
      <c r="D46" s="76">
        <f t="shared" si="8"/>
        <v>423.43765695967039</v>
      </c>
      <c r="E46" s="76">
        <f>IF(A46&lt;=$F$5*$F$6,SUM($D$12:D46),"")</f>
        <v>13821.07346321494</v>
      </c>
      <c r="F46" s="76">
        <f t="shared" si="9"/>
        <v>11178.92653678506</v>
      </c>
    </row>
    <row r="47" spans="1:6">
      <c r="A47" s="59">
        <f t="shared" si="10"/>
        <v>36</v>
      </c>
      <c r="B47" s="77">
        <f t="shared" si="6"/>
        <v>471.78084110027339</v>
      </c>
      <c r="C47" s="77">
        <f t="shared" si="7"/>
        <v>46.578860569937767</v>
      </c>
      <c r="D47" s="77">
        <f t="shared" si="8"/>
        <v>425.20198053033562</v>
      </c>
      <c r="E47" s="77">
        <f>IF(A47&lt;=$F$5*$F$6,SUM($D$12:D47),"")</f>
        <v>14246.275443745275</v>
      </c>
      <c r="F47" s="77">
        <f t="shared" si="9"/>
        <v>10753.724556254725</v>
      </c>
    </row>
    <row r="48" spans="1:6">
      <c r="A48" s="59">
        <f t="shared" si="10"/>
        <v>37</v>
      </c>
      <c r="B48" s="76">
        <f t="shared" si="6"/>
        <v>471.78084110027339</v>
      </c>
      <c r="C48" s="76">
        <f t="shared" si="7"/>
        <v>44.80718565106136</v>
      </c>
      <c r="D48" s="76">
        <f t="shared" si="8"/>
        <v>426.97365544921206</v>
      </c>
      <c r="E48" s="76">
        <f>IF(A48&lt;=$F$5*$F$6,SUM($D$12:D48),"")</f>
        <v>14673.249099194487</v>
      </c>
      <c r="F48" s="76">
        <f t="shared" si="9"/>
        <v>10326.750900805513</v>
      </c>
    </row>
    <row r="49" spans="1:6">
      <c r="A49" s="59">
        <f t="shared" si="10"/>
        <v>38</v>
      </c>
      <c r="B49" s="76">
        <f t="shared" si="6"/>
        <v>471.78084110027339</v>
      </c>
      <c r="C49" s="76">
        <f t="shared" si="7"/>
        <v>43.028128753356313</v>
      </c>
      <c r="D49" s="76">
        <f t="shared" si="8"/>
        <v>428.75271234691706</v>
      </c>
      <c r="E49" s="76">
        <f>IF(A49&lt;=$F$5*$F$6,SUM($D$12:D49),"")</f>
        <v>15102.001811541404</v>
      </c>
      <c r="F49" s="76">
        <f t="shared" si="9"/>
        <v>9897.9981884585959</v>
      </c>
    </row>
    <row r="50" spans="1:6">
      <c r="A50" s="59">
        <f t="shared" si="10"/>
        <v>39</v>
      </c>
      <c r="B50" s="76">
        <f t="shared" si="6"/>
        <v>471.78084110027339</v>
      </c>
      <c r="C50" s="76">
        <f t="shared" si="7"/>
        <v>41.241659118577488</v>
      </c>
      <c r="D50" s="76">
        <f t="shared" si="8"/>
        <v>430.53918198169589</v>
      </c>
      <c r="E50" s="76">
        <f>IF(A50&lt;=$F$5*$F$6,SUM($D$12:D50),"")</f>
        <v>15532.5409935231</v>
      </c>
      <c r="F50" s="76">
        <f t="shared" si="9"/>
        <v>9467.4590064769</v>
      </c>
    </row>
    <row r="51" spans="1:6">
      <c r="A51" s="59">
        <f t="shared" si="10"/>
        <v>40</v>
      </c>
      <c r="B51" s="76">
        <f t="shared" si="6"/>
        <v>471.78084110027339</v>
      </c>
      <c r="C51" s="76">
        <f t="shared" si="7"/>
        <v>39.447745860320424</v>
      </c>
      <c r="D51" s="76">
        <f t="shared" si="8"/>
        <v>432.33309523995297</v>
      </c>
      <c r="E51" s="76">
        <f>IF(A51&lt;=$F$5*$F$6,SUM($D$12:D51),"")</f>
        <v>15964.874088763054</v>
      </c>
      <c r="F51" s="76">
        <f t="shared" si="9"/>
        <v>9035.1259112369462</v>
      </c>
    </row>
    <row r="52" spans="1:6">
      <c r="A52" s="59">
        <f t="shared" si="10"/>
        <v>41</v>
      </c>
      <c r="B52" s="76">
        <f t="shared" si="6"/>
        <v>471.78084110027339</v>
      </c>
      <c r="C52" s="76">
        <f t="shared" si="7"/>
        <v>37.646357963487283</v>
      </c>
      <c r="D52" s="76">
        <f t="shared" si="8"/>
        <v>434.13448313678612</v>
      </c>
      <c r="E52" s="76">
        <f>IF(A52&lt;=$F$5*$F$6,SUM($D$12:D52),"")</f>
        <v>16399.008571899842</v>
      </c>
      <c r="F52" s="76">
        <f t="shared" si="9"/>
        <v>8600.9914281001584</v>
      </c>
    </row>
    <row r="53" spans="1:6">
      <c r="A53" s="59">
        <f t="shared" si="10"/>
        <v>42</v>
      </c>
      <c r="B53" s="76">
        <f t="shared" si="6"/>
        <v>471.78084110027339</v>
      </c>
      <c r="C53" s="76">
        <f t="shared" si="7"/>
        <v>35.837464283750684</v>
      </c>
      <c r="D53" s="76">
        <f t="shared" si="8"/>
        <v>435.94337681652274</v>
      </c>
      <c r="E53" s="76">
        <f>IF(A53&lt;=$F$5*$F$6,SUM($D$12:D53),"")</f>
        <v>16834.951948716363</v>
      </c>
      <c r="F53" s="76">
        <f t="shared" si="9"/>
        <v>8165.0480512836366</v>
      </c>
    </row>
    <row r="54" spans="1:6">
      <c r="A54" s="59">
        <f t="shared" si="10"/>
        <v>43</v>
      </c>
      <c r="B54" s="76">
        <f t="shared" si="6"/>
        <v>471.78084110027339</v>
      </c>
      <c r="C54" s="76">
        <f t="shared" si="7"/>
        <v>34.021033547015165</v>
      </c>
      <c r="D54" s="76">
        <f t="shared" si="8"/>
        <v>437.75980755325821</v>
      </c>
      <c r="E54" s="76">
        <f>IF(A54&lt;=$F$5*$F$6,SUM($D$12:D54),"")</f>
        <v>17272.711756269622</v>
      </c>
      <c r="F54" s="76">
        <f t="shared" si="9"/>
        <v>7727.2882437303779</v>
      </c>
    </row>
    <row r="55" spans="1:6">
      <c r="A55" s="59">
        <f t="shared" si="10"/>
        <v>44</v>
      </c>
      <c r="B55" s="76">
        <f t="shared" si="6"/>
        <v>471.78084110027339</v>
      </c>
      <c r="C55" s="76">
        <f t="shared" si="7"/>
        <v>32.197034348876599</v>
      </c>
      <c r="D55" s="76">
        <f t="shared" si="8"/>
        <v>439.58380675139682</v>
      </c>
      <c r="E55" s="76">
        <f>IF(A55&lt;=$F$5*$F$6,SUM($D$12:D55),"")</f>
        <v>17712.29556302102</v>
      </c>
      <c r="F55" s="76">
        <f t="shared" si="9"/>
        <v>7287.7044369789801</v>
      </c>
    </row>
    <row r="56" spans="1:6">
      <c r="A56" s="59">
        <f t="shared" si="10"/>
        <v>45</v>
      </c>
      <c r="B56" s="76">
        <f t="shared" si="6"/>
        <v>471.78084110027339</v>
      </c>
      <c r="C56" s="76">
        <f t="shared" si="7"/>
        <v>30.365435154079108</v>
      </c>
      <c r="D56" s="76">
        <f t="shared" si="8"/>
        <v>441.41540594619426</v>
      </c>
      <c r="E56" s="76">
        <f>IF(A56&lt;=$F$5*$F$6,SUM($D$12:D56),"")</f>
        <v>18153.710968967214</v>
      </c>
      <c r="F56" s="76">
        <f t="shared" si="9"/>
        <v>6846.2890310327857</v>
      </c>
    </row>
    <row r="57" spans="1:6">
      <c r="A57" s="59">
        <f t="shared" si="10"/>
        <v>46</v>
      </c>
      <c r="B57" s="76">
        <f t="shared" si="6"/>
        <v>471.78084110027339</v>
      </c>
      <c r="C57" s="76">
        <f t="shared" si="7"/>
        <v>28.526204295969961</v>
      </c>
      <c r="D57" s="76">
        <f t="shared" si="8"/>
        <v>443.2546368043034</v>
      </c>
      <c r="E57" s="76">
        <f>IF(A57&lt;=$F$5*$F$6,SUM($D$12:D57),"")</f>
        <v>18596.965605771518</v>
      </c>
      <c r="F57" s="76">
        <f t="shared" si="9"/>
        <v>6403.0343942284817</v>
      </c>
    </row>
    <row r="58" spans="1:6">
      <c r="A58" s="59">
        <f t="shared" si="10"/>
        <v>47</v>
      </c>
      <c r="B58" s="76">
        <f t="shared" si="6"/>
        <v>471.78084110027339</v>
      </c>
      <c r="C58" s="76">
        <f t="shared" si="7"/>
        <v>26.679309975952037</v>
      </c>
      <c r="D58" s="76">
        <f t="shared" si="8"/>
        <v>445.10153112432135</v>
      </c>
      <c r="E58" s="76">
        <f>IF(A58&lt;=$F$5*$F$6,SUM($D$12:D58),"")</f>
        <v>19042.067136895839</v>
      </c>
      <c r="F58" s="76">
        <f t="shared" si="9"/>
        <v>5957.9328631041608</v>
      </c>
    </row>
    <row r="59" spans="1:6">
      <c r="A59" s="59">
        <f t="shared" si="10"/>
        <v>48</v>
      </c>
      <c r="B59" s="76">
        <f t="shared" si="6"/>
        <v>471.78084110027339</v>
      </c>
      <c r="C59" s="76">
        <f t="shared" si="7"/>
        <v>24.824720262934029</v>
      </c>
      <c r="D59" s="76">
        <f t="shared" si="8"/>
        <v>446.95612083733937</v>
      </c>
      <c r="E59" s="76">
        <f>IF(A59&lt;=$F$5*$F$6,SUM($D$12:D59),"")</f>
        <v>19489.023257733177</v>
      </c>
      <c r="F59" s="76">
        <f t="shared" si="9"/>
        <v>5510.9767422668228</v>
      </c>
    </row>
    <row r="60" spans="1:6">
      <c r="A60" s="59">
        <f t="shared" si="10"/>
        <v>49</v>
      </c>
      <c r="B60" s="76">
        <f t="shared" si="6"/>
        <v>471.78084110027339</v>
      </c>
      <c r="C60" s="76">
        <f t="shared" si="7"/>
        <v>22.962403092778452</v>
      </c>
      <c r="D60" s="76">
        <f t="shared" si="8"/>
        <v>448.81843800749493</v>
      </c>
      <c r="E60" s="76">
        <f>IF(A60&lt;=$F$5*$F$6,SUM($D$12:D60),"")</f>
        <v>19937.841695740673</v>
      </c>
      <c r="F60" s="76">
        <f t="shared" si="9"/>
        <v>5062.1583042593265</v>
      </c>
    </row>
    <row r="61" spans="1:6">
      <c r="A61" s="59">
        <f t="shared" si="10"/>
        <v>50</v>
      </c>
      <c r="B61" s="76">
        <f t="shared" si="6"/>
        <v>471.78084110027339</v>
      </c>
      <c r="C61" s="76">
        <f t="shared" si="7"/>
        <v>21.092326267747225</v>
      </c>
      <c r="D61" s="76">
        <f t="shared" si="8"/>
        <v>450.68851483252621</v>
      </c>
      <c r="E61" s="76">
        <f>IF(A61&lt;=$F$5*$F$6,SUM($D$12:D61),"")</f>
        <v>20388.530210573201</v>
      </c>
      <c r="F61" s="76">
        <f t="shared" si="9"/>
        <v>4611.4697894267993</v>
      </c>
    </row>
    <row r="62" spans="1:6">
      <c r="A62" s="59">
        <f t="shared" si="10"/>
        <v>51</v>
      </c>
      <c r="B62" s="76">
        <f t="shared" si="6"/>
        <v>471.78084110027339</v>
      </c>
      <c r="C62" s="76">
        <f t="shared" si="7"/>
        <v>19.214457455945027</v>
      </c>
      <c r="D62" s="76">
        <f t="shared" si="8"/>
        <v>452.56638364432831</v>
      </c>
      <c r="E62" s="76">
        <f>IF(A62&lt;=$F$5*$F$6,SUM($D$12:D62),"")</f>
        <v>20841.096594217528</v>
      </c>
      <c r="F62" s="76">
        <f t="shared" si="9"/>
        <v>4158.903405782472</v>
      </c>
    </row>
    <row r="63" spans="1:6">
      <c r="A63" s="59">
        <f t="shared" si="10"/>
        <v>52</v>
      </c>
      <c r="B63" s="76">
        <f t="shared" si="6"/>
        <v>471.78084110027339</v>
      </c>
      <c r="C63" s="76">
        <f t="shared" si="7"/>
        <v>17.328764190760324</v>
      </c>
      <c r="D63" s="76">
        <f t="shared" si="8"/>
        <v>454.45207690951298</v>
      </c>
      <c r="E63" s="76">
        <f>IF(A63&lt;=$F$5*$F$6,SUM($D$12:D63),"")</f>
        <v>21295.548671127042</v>
      </c>
      <c r="F63" s="76">
        <f t="shared" si="9"/>
        <v>3704.4513288729577</v>
      </c>
    </row>
    <row r="64" spans="1:6">
      <c r="A64" s="59">
        <f t="shared" si="10"/>
        <v>53</v>
      </c>
      <c r="B64" s="76">
        <f t="shared" si="6"/>
        <v>471.78084110027339</v>
      </c>
      <c r="C64" s="76">
        <f t="shared" si="7"/>
        <v>15.435213870304024</v>
      </c>
      <c r="D64" s="76">
        <f t="shared" si="8"/>
        <v>456.34562722996935</v>
      </c>
      <c r="E64" s="76">
        <f>IF(A64&lt;=$F$5*$F$6,SUM($D$12:D64),"")</f>
        <v>21751.894298357012</v>
      </c>
      <c r="F64" s="76">
        <f t="shared" si="9"/>
        <v>3248.1057016429877</v>
      </c>
    </row>
    <row r="65" spans="1:6">
      <c r="A65" s="59">
        <f t="shared" si="10"/>
        <v>54</v>
      </c>
      <c r="B65" s="76">
        <f t="shared" si="6"/>
        <v>471.78084110027339</v>
      </c>
      <c r="C65" s="76">
        <f t="shared" si="7"/>
        <v>13.53377375684582</v>
      </c>
      <c r="D65" s="76">
        <f t="shared" si="8"/>
        <v>458.2470673434276</v>
      </c>
      <c r="E65" s="76">
        <f>IF(A65&lt;=$F$5*$F$6,SUM($D$12:D65),"")</f>
        <v>22210.141365700441</v>
      </c>
      <c r="F65" s="76">
        <f t="shared" si="9"/>
        <v>2789.8586342995586</v>
      </c>
    </row>
    <row r="66" spans="1:6">
      <c r="A66" s="59">
        <f t="shared" si="10"/>
        <v>55</v>
      </c>
      <c r="B66" s="76">
        <f t="shared" si="6"/>
        <v>471.78084110027339</v>
      </c>
      <c r="C66" s="76">
        <f t="shared" si="7"/>
        <v>11.624410976248205</v>
      </c>
      <c r="D66" s="76">
        <f t="shared" si="8"/>
        <v>460.15643012402518</v>
      </c>
      <c r="E66" s="76">
        <f>IF(A66&lt;=$F$5*$F$6,SUM($D$12:D66),"")</f>
        <v>22670.297795824466</v>
      </c>
      <c r="F66" s="76">
        <f t="shared" si="9"/>
        <v>2329.7022041755336</v>
      </c>
    </row>
    <row r="67" spans="1:6">
      <c r="A67" s="59">
        <f t="shared" si="10"/>
        <v>56</v>
      </c>
      <c r="B67" s="76">
        <f t="shared" si="6"/>
        <v>471.78084110027339</v>
      </c>
      <c r="C67" s="76">
        <f t="shared" si="7"/>
        <v>9.7070925173980989</v>
      </c>
      <c r="D67" s="76">
        <f t="shared" si="8"/>
        <v>462.07374858287528</v>
      </c>
      <c r="E67" s="76">
        <f>IF(A67&lt;=$F$5*$F$6,SUM($D$12:D67),"")</f>
        <v>23132.371544407342</v>
      </c>
      <c r="F67" s="76">
        <f t="shared" si="9"/>
        <v>1867.6284555926577</v>
      </c>
    </row>
    <row r="68" spans="1:6">
      <c r="A68" s="59">
        <f t="shared" si="10"/>
        <v>57</v>
      </c>
      <c r="B68" s="76">
        <f t="shared" ref="B68:B99" si="11">IF(A68&lt;=$F$5*$F$6,-PMT($F$4/$F$6,$F$5*$F$6,$F$3,,$F$7),"")</f>
        <v>471.78084110027339</v>
      </c>
      <c r="C68" s="76">
        <f t="shared" ref="C68:C99" si="12">IF(A68&lt;=$F$5*$F$6,-IPMT($F$4/$F$6,A68,$F$5*$F$6,$F$3,,$F$7),"")</f>
        <v>7.7817852316361185</v>
      </c>
      <c r="D68" s="76">
        <f t="shared" ref="D68:D99" si="13">IF(A68&lt;=$F$5*$F$6,-PPMT($F$4/$F$6,A68,$F$5*$F$6,$F$3,,$F$7),"")</f>
        <v>463.99905586863724</v>
      </c>
      <c r="E68" s="76">
        <f>IF(A68&lt;=$F$5*$F$6,SUM($D$12:D68),"")</f>
        <v>23596.370600275979</v>
      </c>
      <c r="F68" s="76">
        <f t="shared" ref="F68:F99" si="14">IF(A68&lt;=$F$5*$F$6,$F$3-E68,"")</f>
        <v>1403.6293997240209</v>
      </c>
    </row>
    <row r="69" spans="1:6">
      <c r="A69" s="59">
        <f t="shared" si="10"/>
        <v>58</v>
      </c>
      <c r="B69" s="76">
        <f t="shared" si="11"/>
        <v>471.78084110027339</v>
      </c>
      <c r="C69" s="76">
        <f t="shared" si="12"/>
        <v>5.8484558321834639</v>
      </c>
      <c r="D69" s="76">
        <f t="shared" si="13"/>
        <v>465.93238526808989</v>
      </c>
      <c r="E69" s="76">
        <f>IF(A69&lt;=$F$5*$F$6,SUM($D$12:D69),"")</f>
        <v>24062.302985544069</v>
      </c>
      <c r="F69" s="76">
        <f t="shared" si="14"/>
        <v>937.69701445593091</v>
      </c>
    </row>
    <row r="70" spans="1:6">
      <c r="A70" s="59">
        <f t="shared" si="10"/>
        <v>59</v>
      </c>
      <c r="B70" s="76">
        <f t="shared" si="11"/>
        <v>471.78084110027339</v>
      </c>
      <c r="C70" s="76">
        <f t="shared" si="12"/>
        <v>3.9070708935664236</v>
      </c>
      <c r="D70" s="76">
        <f t="shared" si="13"/>
        <v>467.87377020670698</v>
      </c>
      <c r="E70" s="76">
        <f>IF(A70&lt;=$F$5*$F$6,SUM($D$12:D70),"")</f>
        <v>24530.176755750777</v>
      </c>
      <c r="F70" s="76">
        <f t="shared" si="14"/>
        <v>469.82324424922263</v>
      </c>
    </row>
    <row r="71" spans="1:6">
      <c r="A71" s="59">
        <f t="shared" si="10"/>
        <v>60</v>
      </c>
      <c r="B71" s="76">
        <f t="shared" si="11"/>
        <v>471.78084110027339</v>
      </c>
      <c r="C71" s="76">
        <f t="shared" si="12"/>
        <v>1.9575968510384782</v>
      </c>
      <c r="D71" s="76">
        <f t="shared" si="13"/>
        <v>469.8232442492349</v>
      </c>
      <c r="E71" s="76">
        <f>IF(A71&lt;=$F$5*$F$6,SUM($D$12:D71),"")</f>
        <v>25000.000000000011</v>
      </c>
      <c r="F71" s="76">
        <f t="shared" si="14"/>
        <v>-1.0913936421275139E-11</v>
      </c>
    </row>
    <row r="72" spans="1:6">
      <c r="A72" s="59" t="str">
        <f t="shared" si="10"/>
        <v/>
      </c>
      <c r="B72" s="76" t="str">
        <f t="shared" si="11"/>
        <v/>
      </c>
      <c r="C72" s="76" t="str">
        <f t="shared" si="12"/>
        <v/>
      </c>
      <c r="D72" s="76" t="str">
        <f t="shared" si="13"/>
        <v/>
      </c>
      <c r="E72" s="76" t="str">
        <f>IF(A72&lt;=$F$5*$F$6,SUM($D$12:D72),"")</f>
        <v/>
      </c>
      <c r="F72" s="76" t="str">
        <f t="shared" si="14"/>
        <v/>
      </c>
    </row>
    <row r="73" spans="1:6">
      <c r="A73" s="59" t="str">
        <f t="shared" si="10"/>
        <v/>
      </c>
      <c r="B73" s="76" t="str">
        <f t="shared" si="11"/>
        <v/>
      </c>
      <c r="C73" s="76" t="str">
        <f t="shared" si="12"/>
        <v/>
      </c>
      <c r="D73" s="76" t="str">
        <f t="shared" si="13"/>
        <v/>
      </c>
      <c r="E73" s="76" t="str">
        <f>IF(A73&lt;=$F$5*$F$6,SUM($D$12:D73),"")</f>
        <v/>
      </c>
      <c r="F73" s="76" t="str">
        <f t="shared" si="14"/>
        <v/>
      </c>
    </row>
    <row r="74" spans="1:6">
      <c r="A74" s="59" t="str">
        <f t="shared" si="10"/>
        <v/>
      </c>
      <c r="B74" s="76" t="str">
        <f t="shared" si="11"/>
        <v/>
      </c>
      <c r="C74" s="76" t="str">
        <f t="shared" si="12"/>
        <v/>
      </c>
      <c r="D74" s="76" t="str">
        <f t="shared" si="13"/>
        <v/>
      </c>
      <c r="E74" s="76" t="str">
        <f>IF(A74&lt;=$F$5*$F$6,SUM($D$12:D74),"")</f>
        <v/>
      </c>
      <c r="F74" s="76" t="str">
        <f t="shared" si="14"/>
        <v/>
      </c>
    </row>
    <row r="75" spans="1:6">
      <c r="A75" s="59" t="str">
        <f t="shared" si="10"/>
        <v/>
      </c>
      <c r="B75" s="76" t="str">
        <f t="shared" si="11"/>
        <v/>
      </c>
      <c r="C75" s="76" t="str">
        <f t="shared" si="12"/>
        <v/>
      </c>
      <c r="D75" s="76" t="str">
        <f t="shared" si="13"/>
        <v/>
      </c>
      <c r="E75" s="76" t="str">
        <f>IF(A75&lt;=$F$5*$F$6,SUM($D$12:D75),"")</f>
        <v/>
      </c>
      <c r="F75" s="76" t="str">
        <f t="shared" si="14"/>
        <v/>
      </c>
    </row>
    <row r="76" spans="1:6">
      <c r="A76" s="59" t="str">
        <f t="shared" ref="A76:A107" si="15">IF(A75&lt;$F$5*$F$6,A75+1,"")</f>
        <v/>
      </c>
      <c r="B76" s="76" t="str">
        <f t="shared" si="11"/>
        <v/>
      </c>
      <c r="C76" s="76" t="str">
        <f t="shared" si="12"/>
        <v/>
      </c>
      <c r="D76" s="76" t="str">
        <f t="shared" si="13"/>
        <v/>
      </c>
      <c r="E76" s="76" t="str">
        <f>IF(A76&lt;=$F$5*$F$6,SUM($D$12:D76),"")</f>
        <v/>
      </c>
      <c r="F76" s="76" t="str">
        <f t="shared" si="14"/>
        <v/>
      </c>
    </row>
    <row r="77" spans="1:6">
      <c r="A77" s="59" t="str">
        <f t="shared" si="15"/>
        <v/>
      </c>
      <c r="B77" s="76" t="str">
        <f t="shared" si="11"/>
        <v/>
      </c>
      <c r="C77" s="76" t="str">
        <f t="shared" si="12"/>
        <v/>
      </c>
      <c r="D77" s="76" t="str">
        <f t="shared" si="13"/>
        <v/>
      </c>
      <c r="E77" s="76" t="str">
        <f>IF(A77&lt;=$F$5*$F$6,SUM($D$12:D77),"")</f>
        <v/>
      </c>
      <c r="F77" s="76" t="str">
        <f t="shared" si="14"/>
        <v/>
      </c>
    </row>
    <row r="78" spans="1:6">
      <c r="A78" s="59" t="str">
        <f t="shared" si="15"/>
        <v/>
      </c>
      <c r="B78" s="76" t="str">
        <f t="shared" si="11"/>
        <v/>
      </c>
      <c r="C78" s="76" t="str">
        <f t="shared" si="12"/>
        <v/>
      </c>
      <c r="D78" s="76" t="str">
        <f t="shared" si="13"/>
        <v/>
      </c>
      <c r="E78" s="76" t="str">
        <f>IF(A78&lt;=$F$5*$F$6,SUM($D$12:D78),"")</f>
        <v/>
      </c>
      <c r="F78" s="76" t="str">
        <f t="shared" si="14"/>
        <v/>
      </c>
    </row>
    <row r="79" spans="1:6">
      <c r="A79" s="59" t="str">
        <f t="shared" si="15"/>
        <v/>
      </c>
      <c r="B79" s="76" t="str">
        <f t="shared" si="11"/>
        <v/>
      </c>
      <c r="C79" s="76" t="str">
        <f t="shared" si="12"/>
        <v/>
      </c>
      <c r="D79" s="76" t="str">
        <f t="shared" si="13"/>
        <v/>
      </c>
      <c r="E79" s="76" t="str">
        <f>IF(A79&lt;=$F$5*$F$6,SUM($D$12:D79),"")</f>
        <v/>
      </c>
      <c r="F79" s="76" t="str">
        <f t="shared" si="14"/>
        <v/>
      </c>
    </row>
    <row r="80" spans="1:6">
      <c r="A80" s="59" t="str">
        <f t="shared" si="15"/>
        <v/>
      </c>
      <c r="B80" s="76" t="str">
        <f t="shared" si="11"/>
        <v/>
      </c>
      <c r="C80" s="76" t="str">
        <f t="shared" si="12"/>
        <v/>
      </c>
      <c r="D80" s="76" t="str">
        <f t="shared" si="13"/>
        <v/>
      </c>
      <c r="E80" s="76" t="str">
        <f>IF(A80&lt;=$F$5*$F$6,SUM($D$12:D80),"")</f>
        <v/>
      </c>
      <c r="F80" s="76" t="str">
        <f t="shared" si="14"/>
        <v/>
      </c>
    </row>
    <row r="81" spans="1:6">
      <c r="A81" s="59" t="str">
        <f t="shared" si="15"/>
        <v/>
      </c>
      <c r="B81" s="76" t="str">
        <f t="shared" si="11"/>
        <v/>
      </c>
      <c r="C81" s="76" t="str">
        <f t="shared" si="12"/>
        <v/>
      </c>
      <c r="D81" s="76" t="str">
        <f t="shared" si="13"/>
        <v/>
      </c>
      <c r="E81" s="76" t="str">
        <f>IF(A81&lt;=$F$5*$F$6,SUM($D$12:D81),"")</f>
        <v/>
      </c>
      <c r="F81" s="76" t="str">
        <f t="shared" si="14"/>
        <v/>
      </c>
    </row>
    <row r="82" spans="1:6">
      <c r="A82" s="59" t="str">
        <f t="shared" si="15"/>
        <v/>
      </c>
      <c r="B82" s="76" t="str">
        <f t="shared" si="11"/>
        <v/>
      </c>
      <c r="C82" s="76" t="str">
        <f t="shared" si="12"/>
        <v/>
      </c>
      <c r="D82" s="76" t="str">
        <f t="shared" si="13"/>
        <v/>
      </c>
      <c r="E82" s="76" t="str">
        <f>IF(A82&lt;=$F$5*$F$6,SUM($D$12:D82),"")</f>
        <v/>
      </c>
      <c r="F82" s="76" t="str">
        <f t="shared" si="14"/>
        <v/>
      </c>
    </row>
    <row r="83" spans="1:6">
      <c r="A83" s="59" t="str">
        <f t="shared" si="15"/>
        <v/>
      </c>
      <c r="B83" s="76" t="str">
        <f t="shared" si="11"/>
        <v/>
      </c>
      <c r="C83" s="76" t="str">
        <f t="shared" si="12"/>
        <v/>
      </c>
      <c r="D83" s="76" t="str">
        <f t="shared" si="13"/>
        <v/>
      </c>
      <c r="E83" s="76" t="str">
        <f>IF(A83&lt;=$F$5*$F$6,SUM($D$12:D83),"")</f>
        <v/>
      </c>
      <c r="F83" s="76" t="str">
        <f t="shared" si="14"/>
        <v/>
      </c>
    </row>
    <row r="84" spans="1:6">
      <c r="A84" s="59" t="str">
        <f t="shared" si="15"/>
        <v/>
      </c>
      <c r="B84" s="76" t="str">
        <f t="shared" si="11"/>
        <v/>
      </c>
      <c r="C84" s="76" t="str">
        <f t="shared" si="12"/>
        <v/>
      </c>
      <c r="D84" s="76" t="str">
        <f t="shared" si="13"/>
        <v/>
      </c>
      <c r="E84" s="76" t="str">
        <f>IF(A84&lt;=$F$5*$F$6,SUM($D$12:D84),"")</f>
        <v/>
      </c>
      <c r="F84" s="76" t="str">
        <f t="shared" si="14"/>
        <v/>
      </c>
    </row>
    <row r="85" spans="1:6">
      <c r="A85" s="59" t="str">
        <f t="shared" si="15"/>
        <v/>
      </c>
      <c r="B85" s="76" t="str">
        <f t="shared" si="11"/>
        <v/>
      </c>
      <c r="C85" s="76" t="str">
        <f t="shared" si="12"/>
        <v/>
      </c>
      <c r="D85" s="76" t="str">
        <f t="shared" si="13"/>
        <v/>
      </c>
      <c r="E85" s="76" t="str">
        <f>IF(A85&lt;=$F$5*$F$6,SUM($D$12:D85),"")</f>
        <v/>
      </c>
      <c r="F85" s="76" t="str">
        <f t="shared" si="14"/>
        <v/>
      </c>
    </row>
    <row r="86" spans="1:6">
      <c r="A86" s="59" t="str">
        <f t="shared" si="15"/>
        <v/>
      </c>
      <c r="B86" s="76" t="str">
        <f t="shared" si="11"/>
        <v/>
      </c>
      <c r="C86" s="76" t="str">
        <f t="shared" si="12"/>
        <v/>
      </c>
      <c r="D86" s="76" t="str">
        <f t="shared" si="13"/>
        <v/>
      </c>
      <c r="E86" s="76" t="str">
        <f>IF(A86&lt;=$F$5*$F$6,SUM($D$12:D86),"")</f>
        <v/>
      </c>
      <c r="F86" s="76" t="str">
        <f t="shared" si="14"/>
        <v/>
      </c>
    </row>
    <row r="87" spans="1:6">
      <c r="A87" s="59" t="str">
        <f t="shared" si="15"/>
        <v/>
      </c>
      <c r="B87" s="76" t="str">
        <f t="shared" si="11"/>
        <v/>
      </c>
      <c r="C87" s="76" t="str">
        <f t="shared" si="12"/>
        <v/>
      </c>
      <c r="D87" s="76" t="str">
        <f t="shared" si="13"/>
        <v/>
      </c>
      <c r="E87" s="76" t="str">
        <f>IF(A87&lt;=$F$5*$F$6,SUM($D$12:D87),"")</f>
        <v/>
      </c>
      <c r="F87" s="76" t="str">
        <f t="shared" si="14"/>
        <v/>
      </c>
    </row>
    <row r="88" spans="1:6">
      <c r="A88" s="59" t="str">
        <f t="shared" si="15"/>
        <v/>
      </c>
      <c r="B88" s="76" t="str">
        <f t="shared" si="11"/>
        <v/>
      </c>
      <c r="C88" s="76" t="str">
        <f t="shared" si="12"/>
        <v/>
      </c>
      <c r="D88" s="76" t="str">
        <f t="shared" si="13"/>
        <v/>
      </c>
      <c r="E88" s="76" t="str">
        <f>IF(A88&lt;=$F$5*$F$6,SUM($D$12:D88),"")</f>
        <v/>
      </c>
      <c r="F88" s="76" t="str">
        <f t="shared" si="14"/>
        <v/>
      </c>
    </row>
    <row r="89" spans="1:6">
      <c r="A89" s="59" t="str">
        <f t="shared" si="15"/>
        <v/>
      </c>
      <c r="B89" s="76" t="str">
        <f t="shared" si="11"/>
        <v/>
      </c>
      <c r="C89" s="76" t="str">
        <f t="shared" si="12"/>
        <v/>
      </c>
      <c r="D89" s="76" t="str">
        <f t="shared" si="13"/>
        <v/>
      </c>
      <c r="E89" s="76" t="str">
        <f>IF(A89&lt;=$F$5*$F$6,SUM($D$12:D89),"")</f>
        <v/>
      </c>
      <c r="F89" s="76" t="str">
        <f t="shared" si="14"/>
        <v/>
      </c>
    </row>
    <row r="90" spans="1:6">
      <c r="A90" s="59" t="str">
        <f t="shared" si="15"/>
        <v/>
      </c>
      <c r="B90" s="76" t="str">
        <f t="shared" si="11"/>
        <v/>
      </c>
      <c r="C90" s="76" t="str">
        <f t="shared" si="12"/>
        <v/>
      </c>
      <c r="D90" s="76" t="str">
        <f t="shared" si="13"/>
        <v/>
      </c>
      <c r="E90" s="76" t="str">
        <f>IF(A90&lt;=$F$5*$F$6,SUM($D$12:D90),"")</f>
        <v/>
      </c>
      <c r="F90" s="76" t="str">
        <f t="shared" si="14"/>
        <v/>
      </c>
    </row>
    <row r="91" spans="1:6">
      <c r="A91" s="59" t="str">
        <f t="shared" si="15"/>
        <v/>
      </c>
      <c r="B91" s="76" t="str">
        <f t="shared" si="11"/>
        <v/>
      </c>
      <c r="C91" s="76" t="str">
        <f t="shared" si="12"/>
        <v/>
      </c>
      <c r="D91" s="76" t="str">
        <f t="shared" si="13"/>
        <v/>
      </c>
      <c r="E91" s="76" t="str">
        <f>IF(A91&lt;=$F$5*$F$6,SUM($D$12:D91),"")</f>
        <v/>
      </c>
      <c r="F91" s="76" t="str">
        <f t="shared" si="14"/>
        <v/>
      </c>
    </row>
    <row r="92" spans="1:6">
      <c r="A92" s="59" t="str">
        <f t="shared" si="15"/>
        <v/>
      </c>
      <c r="B92" s="76" t="str">
        <f t="shared" si="11"/>
        <v/>
      </c>
      <c r="C92" s="76" t="str">
        <f t="shared" si="12"/>
        <v/>
      </c>
      <c r="D92" s="76" t="str">
        <f t="shared" si="13"/>
        <v/>
      </c>
      <c r="E92" s="76" t="str">
        <f>IF(A92&lt;=$F$5*$F$6,SUM($D$12:D92),"")</f>
        <v/>
      </c>
      <c r="F92" s="76" t="str">
        <f t="shared" si="14"/>
        <v/>
      </c>
    </row>
    <row r="93" spans="1:6">
      <c r="A93" s="59" t="str">
        <f t="shared" si="15"/>
        <v/>
      </c>
      <c r="B93" s="76" t="str">
        <f t="shared" si="11"/>
        <v/>
      </c>
      <c r="C93" s="76" t="str">
        <f t="shared" si="12"/>
        <v/>
      </c>
      <c r="D93" s="76" t="str">
        <f t="shared" si="13"/>
        <v/>
      </c>
      <c r="E93" s="76" t="str">
        <f>IF(A93&lt;=$F$5*$F$6,SUM($D$12:D93),"")</f>
        <v/>
      </c>
      <c r="F93" s="76" t="str">
        <f t="shared" si="14"/>
        <v/>
      </c>
    </row>
    <row r="94" spans="1:6">
      <c r="A94" s="59" t="str">
        <f t="shared" si="15"/>
        <v/>
      </c>
      <c r="B94" s="76" t="str">
        <f t="shared" si="11"/>
        <v/>
      </c>
      <c r="C94" s="76" t="str">
        <f t="shared" si="12"/>
        <v/>
      </c>
      <c r="D94" s="76" t="str">
        <f t="shared" si="13"/>
        <v/>
      </c>
      <c r="E94" s="76" t="str">
        <f>IF(A94&lt;=$F$5*$F$6,SUM($D$12:D94),"")</f>
        <v/>
      </c>
      <c r="F94" s="76" t="str">
        <f t="shared" si="14"/>
        <v/>
      </c>
    </row>
    <row r="95" spans="1:6">
      <c r="A95" s="59" t="str">
        <f t="shared" si="15"/>
        <v/>
      </c>
      <c r="B95" s="76" t="str">
        <f t="shared" si="11"/>
        <v/>
      </c>
      <c r="C95" s="76" t="str">
        <f t="shared" si="12"/>
        <v/>
      </c>
      <c r="D95" s="76" t="str">
        <f t="shared" si="13"/>
        <v/>
      </c>
      <c r="E95" s="76" t="str">
        <f>IF(A95&lt;=$F$5*$F$6,SUM($D$12:D95),"")</f>
        <v/>
      </c>
      <c r="F95" s="76" t="str">
        <f t="shared" si="14"/>
        <v/>
      </c>
    </row>
    <row r="96" spans="1:6">
      <c r="A96" s="59" t="str">
        <f t="shared" si="15"/>
        <v/>
      </c>
      <c r="B96" s="76" t="str">
        <f t="shared" si="11"/>
        <v/>
      </c>
      <c r="C96" s="76" t="str">
        <f t="shared" si="12"/>
        <v/>
      </c>
      <c r="D96" s="76" t="str">
        <f t="shared" si="13"/>
        <v/>
      </c>
      <c r="E96" s="76" t="str">
        <f>IF(A96&lt;=$F$5*$F$6,SUM($D$12:D96),"")</f>
        <v/>
      </c>
      <c r="F96" s="76" t="str">
        <f t="shared" si="14"/>
        <v/>
      </c>
    </row>
    <row r="97" spans="1:6">
      <c r="A97" s="59" t="str">
        <f t="shared" si="15"/>
        <v/>
      </c>
      <c r="B97" s="76" t="str">
        <f t="shared" si="11"/>
        <v/>
      </c>
      <c r="C97" s="76" t="str">
        <f t="shared" si="12"/>
        <v/>
      </c>
      <c r="D97" s="76" t="str">
        <f t="shared" si="13"/>
        <v/>
      </c>
      <c r="E97" s="76" t="str">
        <f>IF(A97&lt;=$F$5*$F$6,SUM($D$12:D97),"")</f>
        <v/>
      </c>
      <c r="F97" s="76" t="str">
        <f t="shared" si="14"/>
        <v/>
      </c>
    </row>
    <row r="98" spans="1:6">
      <c r="A98" s="59" t="str">
        <f t="shared" si="15"/>
        <v/>
      </c>
      <c r="B98" s="76" t="str">
        <f t="shared" si="11"/>
        <v/>
      </c>
      <c r="C98" s="76" t="str">
        <f t="shared" si="12"/>
        <v/>
      </c>
      <c r="D98" s="76" t="str">
        <f t="shared" si="13"/>
        <v/>
      </c>
      <c r="E98" s="76" t="str">
        <f>IF(A98&lt;=$F$5*$F$6,SUM($D$12:D98),"")</f>
        <v/>
      </c>
      <c r="F98" s="76" t="str">
        <f t="shared" si="14"/>
        <v/>
      </c>
    </row>
    <row r="99" spans="1:6">
      <c r="A99" s="59" t="str">
        <f t="shared" si="15"/>
        <v/>
      </c>
      <c r="B99" s="76" t="str">
        <f t="shared" si="11"/>
        <v/>
      </c>
      <c r="C99" s="76" t="str">
        <f t="shared" si="12"/>
        <v/>
      </c>
      <c r="D99" s="76" t="str">
        <f t="shared" si="13"/>
        <v/>
      </c>
      <c r="E99" s="76" t="str">
        <f>IF(A99&lt;=$F$5*$F$6,SUM($D$12:D99),"")</f>
        <v/>
      </c>
      <c r="F99" s="76" t="str">
        <f t="shared" si="14"/>
        <v/>
      </c>
    </row>
    <row r="100" spans="1:6">
      <c r="A100" s="59" t="str">
        <f t="shared" si="15"/>
        <v/>
      </c>
      <c r="B100" s="76" t="str">
        <f t="shared" ref="B100:B131" si="16">IF(A100&lt;=$F$5*$F$6,-PMT($F$4/$F$6,$F$5*$F$6,$F$3,,$F$7),"")</f>
        <v/>
      </c>
      <c r="C100" s="76" t="str">
        <f t="shared" ref="C100:C131" si="17">IF(A100&lt;=$F$5*$F$6,-IPMT($F$4/$F$6,A100,$F$5*$F$6,$F$3,,$F$7),"")</f>
        <v/>
      </c>
      <c r="D100" s="76" t="str">
        <f t="shared" ref="D100:D131" si="18">IF(A100&lt;=$F$5*$F$6,-PPMT($F$4/$F$6,A100,$F$5*$F$6,$F$3,,$F$7),"")</f>
        <v/>
      </c>
      <c r="E100" s="76" t="str">
        <f>IF(A100&lt;=$F$5*$F$6,SUM($D$12:D100),"")</f>
        <v/>
      </c>
      <c r="F100" s="76" t="str">
        <f t="shared" ref="F100:F131" si="19">IF(A100&lt;=$F$5*$F$6,$F$3-E100,"")</f>
        <v/>
      </c>
    </row>
    <row r="101" spans="1:6">
      <c r="A101" s="59" t="str">
        <f t="shared" si="15"/>
        <v/>
      </c>
      <c r="B101" s="76" t="str">
        <f t="shared" si="16"/>
        <v/>
      </c>
      <c r="C101" s="76" t="str">
        <f t="shared" si="17"/>
        <v/>
      </c>
      <c r="D101" s="76" t="str">
        <f t="shared" si="18"/>
        <v/>
      </c>
      <c r="E101" s="76" t="str">
        <f>IF(A101&lt;=$F$5*$F$6,SUM($D$12:D101),"")</f>
        <v/>
      </c>
      <c r="F101" s="76" t="str">
        <f t="shared" si="19"/>
        <v/>
      </c>
    </row>
    <row r="102" spans="1:6">
      <c r="A102" s="59" t="str">
        <f t="shared" si="15"/>
        <v/>
      </c>
      <c r="B102" s="76" t="str">
        <f t="shared" si="16"/>
        <v/>
      </c>
      <c r="C102" s="76" t="str">
        <f t="shared" si="17"/>
        <v/>
      </c>
      <c r="D102" s="76" t="str">
        <f t="shared" si="18"/>
        <v/>
      </c>
      <c r="E102" s="76" t="str">
        <f>IF(A102&lt;=$F$5*$F$6,SUM($D$12:D102),"")</f>
        <v/>
      </c>
      <c r="F102" s="76" t="str">
        <f t="shared" si="19"/>
        <v/>
      </c>
    </row>
    <row r="103" spans="1:6">
      <c r="A103" s="59" t="str">
        <f t="shared" si="15"/>
        <v/>
      </c>
      <c r="B103" s="76" t="str">
        <f t="shared" si="16"/>
        <v/>
      </c>
      <c r="C103" s="76" t="str">
        <f t="shared" si="17"/>
        <v/>
      </c>
      <c r="D103" s="76" t="str">
        <f t="shared" si="18"/>
        <v/>
      </c>
      <c r="E103" s="76" t="str">
        <f>IF(A103&lt;=$F$5*$F$6,SUM($D$12:D103),"")</f>
        <v/>
      </c>
      <c r="F103" s="76" t="str">
        <f t="shared" si="19"/>
        <v/>
      </c>
    </row>
    <row r="104" spans="1:6">
      <c r="A104" s="59" t="str">
        <f t="shared" si="15"/>
        <v/>
      </c>
      <c r="B104" s="76" t="str">
        <f t="shared" si="16"/>
        <v/>
      </c>
      <c r="C104" s="76" t="str">
        <f t="shared" si="17"/>
        <v/>
      </c>
      <c r="D104" s="76" t="str">
        <f t="shared" si="18"/>
        <v/>
      </c>
      <c r="E104" s="76" t="str">
        <f>IF(A104&lt;=$F$5*$F$6,SUM($D$12:D104),"")</f>
        <v/>
      </c>
      <c r="F104" s="76" t="str">
        <f t="shared" si="19"/>
        <v/>
      </c>
    </row>
    <row r="105" spans="1:6">
      <c r="A105" s="59" t="str">
        <f t="shared" si="15"/>
        <v/>
      </c>
      <c r="B105" s="76" t="str">
        <f t="shared" si="16"/>
        <v/>
      </c>
      <c r="C105" s="76" t="str">
        <f t="shared" si="17"/>
        <v/>
      </c>
      <c r="D105" s="76" t="str">
        <f t="shared" si="18"/>
        <v/>
      </c>
      <c r="E105" s="76" t="str">
        <f>IF(A105&lt;=$F$5*$F$6,SUM($D$12:D105),"")</f>
        <v/>
      </c>
      <c r="F105" s="76" t="str">
        <f t="shared" si="19"/>
        <v/>
      </c>
    </row>
    <row r="106" spans="1:6">
      <c r="A106" s="59" t="str">
        <f t="shared" si="15"/>
        <v/>
      </c>
      <c r="B106" s="76" t="str">
        <f t="shared" si="16"/>
        <v/>
      </c>
      <c r="C106" s="76" t="str">
        <f t="shared" si="17"/>
        <v/>
      </c>
      <c r="D106" s="76" t="str">
        <f t="shared" si="18"/>
        <v/>
      </c>
      <c r="E106" s="76" t="str">
        <f>IF(A106&lt;=$F$5*$F$6,SUM($D$12:D106),"")</f>
        <v/>
      </c>
      <c r="F106" s="76" t="str">
        <f t="shared" si="19"/>
        <v/>
      </c>
    </row>
    <row r="107" spans="1:6">
      <c r="A107" s="59" t="str">
        <f t="shared" si="15"/>
        <v/>
      </c>
      <c r="B107" s="76" t="str">
        <f t="shared" si="16"/>
        <v/>
      </c>
      <c r="C107" s="76" t="str">
        <f t="shared" si="17"/>
        <v/>
      </c>
      <c r="D107" s="76" t="str">
        <f t="shared" si="18"/>
        <v/>
      </c>
      <c r="E107" s="76" t="str">
        <f>IF(A107&lt;=$F$5*$F$6,SUM($D$12:D107),"")</f>
        <v/>
      </c>
      <c r="F107" s="76" t="str">
        <f t="shared" si="19"/>
        <v/>
      </c>
    </row>
    <row r="108" spans="1:6">
      <c r="A108" s="59" t="str">
        <f t="shared" ref="A108:A131" si="20">IF(A107&lt;$F$5*$F$6,A107+1,"")</f>
        <v/>
      </c>
      <c r="B108" s="76" t="str">
        <f t="shared" si="16"/>
        <v/>
      </c>
      <c r="C108" s="76" t="str">
        <f t="shared" si="17"/>
        <v/>
      </c>
      <c r="D108" s="76" t="str">
        <f t="shared" si="18"/>
        <v/>
      </c>
      <c r="E108" s="76" t="str">
        <f>IF(A108&lt;=$F$5*$F$6,SUM($D$12:D108),"")</f>
        <v/>
      </c>
      <c r="F108" s="76" t="str">
        <f t="shared" si="19"/>
        <v/>
      </c>
    </row>
    <row r="109" spans="1:6">
      <c r="A109" s="59" t="str">
        <f t="shared" si="20"/>
        <v/>
      </c>
      <c r="B109" s="76" t="str">
        <f t="shared" si="16"/>
        <v/>
      </c>
      <c r="C109" s="76" t="str">
        <f t="shared" si="17"/>
        <v/>
      </c>
      <c r="D109" s="76" t="str">
        <f t="shared" si="18"/>
        <v/>
      </c>
      <c r="E109" s="76" t="str">
        <f>IF(A109&lt;=$F$5*$F$6,SUM($D$12:D109),"")</f>
        <v/>
      </c>
      <c r="F109" s="76" t="str">
        <f t="shared" si="19"/>
        <v/>
      </c>
    </row>
    <row r="110" spans="1:6">
      <c r="A110" s="59" t="str">
        <f t="shared" si="20"/>
        <v/>
      </c>
      <c r="B110" s="76" t="str">
        <f t="shared" si="16"/>
        <v/>
      </c>
      <c r="C110" s="76" t="str">
        <f t="shared" si="17"/>
        <v/>
      </c>
      <c r="D110" s="76" t="str">
        <f t="shared" si="18"/>
        <v/>
      </c>
      <c r="E110" s="76" t="str">
        <f>IF(A110&lt;=$F$5*$F$6,SUM($D$12:D110),"")</f>
        <v/>
      </c>
      <c r="F110" s="76" t="str">
        <f t="shared" si="19"/>
        <v/>
      </c>
    </row>
    <row r="111" spans="1:6">
      <c r="A111" s="59" t="str">
        <f t="shared" si="20"/>
        <v/>
      </c>
      <c r="B111" s="76" t="str">
        <f t="shared" si="16"/>
        <v/>
      </c>
      <c r="C111" s="76" t="str">
        <f t="shared" si="17"/>
        <v/>
      </c>
      <c r="D111" s="76" t="str">
        <f t="shared" si="18"/>
        <v/>
      </c>
      <c r="E111" s="76" t="str">
        <f>IF(A111&lt;=$F$5*$F$6,SUM($D$12:D111),"")</f>
        <v/>
      </c>
      <c r="F111" s="76" t="str">
        <f t="shared" si="19"/>
        <v/>
      </c>
    </row>
    <row r="112" spans="1:6">
      <c r="A112" s="59" t="str">
        <f t="shared" si="20"/>
        <v/>
      </c>
      <c r="B112" s="76" t="str">
        <f t="shared" si="16"/>
        <v/>
      </c>
      <c r="C112" s="76" t="str">
        <f t="shared" si="17"/>
        <v/>
      </c>
      <c r="D112" s="76" t="str">
        <f t="shared" si="18"/>
        <v/>
      </c>
      <c r="E112" s="76" t="str">
        <f>IF(A112&lt;=$F$5*$F$6,SUM($D$12:D112),"")</f>
        <v/>
      </c>
      <c r="F112" s="76" t="str">
        <f t="shared" si="19"/>
        <v/>
      </c>
    </row>
    <row r="113" spans="1:6">
      <c r="A113" s="59" t="str">
        <f t="shared" si="20"/>
        <v/>
      </c>
      <c r="B113" s="76" t="str">
        <f t="shared" si="16"/>
        <v/>
      </c>
      <c r="C113" s="76" t="str">
        <f t="shared" si="17"/>
        <v/>
      </c>
      <c r="D113" s="76" t="str">
        <f t="shared" si="18"/>
        <v/>
      </c>
      <c r="E113" s="76" t="str">
        <f>IF(A113&lt;=$F$5*$F$6,SUM($D$12:D113),"")</f>
        <v/>
      </c>
      <c r="F113" s="76" t="str">
        <f t="shared" si="19"/>
        <v/>
      </c>
    </row>
    <row r="114" spans="1:6">
      <c r="A114" s="59" t="str">
        <f t="shared" si="20"/>
        <v/>
      </c>
      <c r="B114" s="76" t="str">
        <f t="shared" si="16"/>
        <v/>
      </c>
      <c r="C114" s="76" t="str">
        <f t="shared" si="17"/>
        <v/>
      </c>
      <c r="D114" s="76" t="str">
        <f t="shared" si="18"/>
        <v/>
      </c>
      <c r="E114" s="76" t="str">
        <f>IF(A114&lt;=$F$5*$F$6,SUM($D$12:D114),"")</f>
        <v/>
      </c>
      <c r="F114" s="76" t="str">
        <f t="shared" si="19"/>
        <v/>
      </c>
    </row>
    <row r="115" spans="1:6">
      <c r="A115" s="59" t="str">
        <f t="shared" si="20"/>
        <v/>
      </c>
      <c r="B115" s="76" t="str">
        <f t="shared" si="16"/>
        <v/>
      </c>
      <c r="C115" s="76" t="str">
        <f t="shared" si="17"/>
        <v/>
      </c>
      <c r="D115" s="76" t="str">
        <f t="shared" si="18"/>
        <v/>
      </c>
      <c r="E115" s="76" t="str">
        <f>IF(A115&lt;=$F$5*$F$6,SUM($D$12:D115),"")</f>
        <v/>
      </c>
      <c r="F115" s="76" t="str">
        <f t="shared" si="19"/>
        <v/>
      </c>
    </row>
    <row r="116" spans="1:6">
      <c r="A116" s="59" t="str">
        <f t="shared" si="20"/>
        <v/>
      </c>
      <c r="B116" s="76" t="str">
        <f t="shared" si="16"/>
        <v/>
      </c>
      <c r="C116" s="76" t="str">
        <f t="shared" si="17"/>
        <v/>
      </c>
      <c r="D116" s="76" t="str">
        <f t="shared" si="18"/>
        <v/>
      </c>
      <c r="E116" s="76" t="str">
        <f>IF(A116&lt;=$F$5*$F$6,SUM($D$12:D116),"")</f>
        <v/>
      </c>
      <c r="F116" s="76" t="str">
        <f t="shared" si="19"/>
        <v/>
      </c>
    </row>
    <row r="117" spans="1:6">
      <c r="A117" s="59" t="str">
        <f t="shared" si="20"/>
        <v/>
      </c>
      <c r="B117" s="76" t="str">
        <f t="shared" si="16"/>
        <v/>
      </c>
      <c r="C117" s="76" t="str">
        <f t="shared" si="17"/>
        <v/>
      </c>
      <c r="D117" s="76" t="str">
        <f t="shared" si="18"/>
        <v/>
      </c>
      <c r="E117" s="76" t="str">
        <f>IF(A117&lt;=$F$5*$F$6,SUM($D$12:D117),"")</f>
        <v/>
      </c>
      <c r="F117" s="76" t="str">
        <f t="shared" si="19"/>
        <v/>
      </c>
    </row>
    <row r="118" spans="1:6">
      <c r="A118" s="59" t="str">
        <f t="shared" si="20"/>
        <v/>
      </c>
      <c r="B118" s="76" t="str">
        <f t="shared" si="16"/>
        <v/>
      </c>
      <c r="C118" s="76" t="str">
        <f t="shared" si="17"/>
        <v/>
      </c>
      <c r="D118" s="76" t="str">
        <f t="shared" si="18"/>
        <v/>
      </c>
      <c r="E118" s="76" t="str">
        <f>IF(A118&lt;=$F$5*$F$6,SUM($D$12:D118),"")</f>
        <v/>
      </c>
      <c r="F118" s="76" t="str">
        <f t="shared" si="19"/>
        <v/>
      </c>
    </row>
    <row r="119" spans="1:6">
      <c r="A119" s="59" t="str">
        <f t="shared" si="20"/>
        <v/>
      </c>
      <c r="B119" s="76" t="str">
        <f t="shared" si="16"/>
        <v/>
      </c>
      <c r="C119" s="76" t="str">
        <f t="shared" si="17"/>
        <v/>
      </c>
      <c r="D119" s="76" t="str">
        <f t="shared" si="18"/>
        <v/>
      </c>
      <c r="E119" s="76" t="str">
        <f>IF(A119&lt;=$F$5*$F$6,SUM($D$12:D119),"")</f>
        <v/>
      </c>
      <c r="F119" s="76" t="str">
        <f t="shared" si="19"/>
        <v/>
      </c>
    </row>
    <row r="120" spans="1:6">
      <c r="A120" s="59" t="str">
        <f t="shared" si="20"/>
        <v/>
      </c>
      <c r="B120" s="76" t="str">
        <f t="shared" si="16"/>
        <v/>
      </c>
      <c r="C120" s="76" t="str">
        <f t="shared" si="17"/>
        <v/>
      </c>
      <c r="D120" s="76" t="str">
        <f t="shared" si="18"/>
        <v/>
      </c>
      <c r="E120" s="76" t="str">
        <f>IF(A120&lt;=$F$5*$F$6,SUM($D$12:D120),"")</f>
        <v/>
      </c>
      <c r="F120" s="76" t="str">
        <f t="shared" si="19"/>
        <v/>
      </c>
    </row>
    <row r="121" spans="1:6">
      <c r="A121" s="59" t="str">
        <f t="shared" si="20"/>
        <v/>
      </c>
      <c r="B121" s="76" t="str">
        <f t="shared" si="16"/>
        <v/>
      </c>
      <c r="C121" s="76" t="str">
        <f t="shared" si="17"/>
        <v/>
      </c>
      <c r="D121" s="76" t="str">
        <f t="shared" si="18"/>
        <v/>
      </c>
      <c r="E121" s="76" t="str">
        <f>IF(A121&lt;=$F$5*$F$6,SUM($D$12:D121),"")</f>
        <v/>
      </c>
      <c r="F121" s="76" t="str">
        <f t="shared" si="19"/>
        <v/>
      </c>
    </row>
    <row r="122" spans="1:6">
      <c r="A122" s="59" t="str">
        <f t="shared" si="20"/>
        <v/>
      </c>
      <c r="B122" s="76" t="str">
        <f t="shared" si="16"/>
        <v/>
      </c>
      <c r="C122" s="76" t="str">
        <f t="shared" si="17"/>
        <v/>
      </c>
      <c r="D122" s="76" t="str">
        <f t="shared" si="18"/>
        <v/>
      </c>
      <c r="E122" s="76" t="str">
        <f>IF(A122&lt;=$F$5*$F$6,SUM($D$12:D122),"")</f>
        <v/>
      </c>
      <c r="F122" s="76" t="str">
        <f t="shared" si="19"/>
        <v/>
      </c>
    </row>
    <row r="123" spans="1:6">
      <c r="A123" s="59" t="str">
        <f t="shared" si="20"/>
        <v/>
      </c>
      <c r="B123" s="76" t="str">
        <f t="shared" si="16"/>
        <v/>
      </c>
      <c r="C123" s="76" t="str">
        <f t="shared" si="17"/>
        <v/>
      </c>
      <c r="D123" s="76" t="str">
        <f t="shared" si="18"/>
        <v/>
      </c>
      <c r="E123" s="76" t="str">
        <f>IF(A123&lt;=$F$5*$F$6,SUM($D$12:D123),"")</f>
        <v/>
      </c>
      <c r="F123" s="76" t="str">
        <f t="shared" si="19"/>
        <v/>
      </c>
    </row>
    <row r="124" spans="1:6">
      <c r="A124" s="59" t="str">
        <f t="shared" si="20"/>
        <v/>
      </c>
      <c r="B124" s="76" t="str">
        <f t="shared" si="16"/>
        <v/>
      </c>
      <c r="C124" s="76" t="str">
        <f t="shared" si="17"/>
        <v/>
      </c>
      <c r="D124" s="76" t="str">
        <f t="shared" si="18"/>
        <v/>
      </c>
      <c r="E124" s="76" t="str">
        <f>IF(A124&lt;=$F$5*$F$6,SUM($D$12:D124),"")</f>
        <v/>
      </c>
      <c r="F124" s="76" t="str">
        <f t="shared" si="19"/>
        <v/>
      </c>
    </row>
    <row r="125" spans="1:6">
      <c r="A125" s="59" t="str">
        <f t="shared" si="20"/>
        <v/>
      </c>
      <c r="B125" s="76" t="str">
        <f t="shared" si="16"/>
        <v/>
      </c>
      <c r="C125" s="76" t="str">
        <f t="shared" si="17"/>
        <v/>
      </c>
      <c r="D125" s="76" t="str">
        <f t="shared" si="18"/>
        <v/>
      </c>
      <c r="E125" s="76" t="str">
        <f>IF(A125&lt;=$F$5*$F$6,SUM($D$12:D125),"")</f>
        <v/>
      </c>
      <c r="F125" s="76" t="str">
        <f t="shared" si="19"/>
        <v/>
      </c>
    </row>
    <row r="126" spans="1:6">
      <c r="A126" s="59" t="str">
        <f t="shared" si="20"/>
        <v/>
      </c>
      <c r="B126" s="76" t="str">
        <f t="shared" si="16"/>
        <v/>
      </c>
      <c r="C126" s="76" t="str">
        <f t="shared" si="17"/>
        <v/>
      </c>
      <c r="D126" s="76" t="str">
        <f t="shared" si="18"/>
        <v/>
      </c>
      <c r="E126" s="76" t="str">
        <f>IF(A126&lt;=$F$5*$F$6,SUM($D$12:D126),"")</f>
        <v/>
      </c>
      <c r="F126" s="76" t="str">
        <f t="shared" si="19"/>
        <v/>
      </c>
    </row>
    <row r="127" spans="1:6">
      <c r="A127" s="59" t="str">
        <f t="shared" si="20"/>
        <v/>
      </c>
      <c r="B127" s="76" t="str">
        <f t="shared" si="16"/>
        <v/>
      </c>
      <c r="C127" s="76" t="str">
        <f t="shared" si="17"/>
        <v/>
      </c>
      <c r="D127" s="76" t="str">
        <f t="shared" si="18"/>
        <v/>
      </c>
      <c r="E127" s="76" t="str">
        <f>IF(A127&lt;=$F$5*$F$6,SUM($D$12:D127),"")</f>
        <v/>
      </c>
      <c r="F127" s="76" t="str">
        <f t="shared" si="19"/>
        <v/>
      </c>
    </row>
    <row r="128" spans="1:6">
      <c r="A128" s="59" t="str">
        <f t="shared" si="20"/>
        <v/>
      </c>
      <c r="B128" s="76" t="str">
        <f t="shared" si="16"/>
        <v/>
      </c>
      <c r="C128" s="76" t="str">
        <f t="shared" si="17"/>
        <v/>
      </c>
      <c r="D128" s="76" t="str">
        <f t="shared" si="18"/>
        <v/>
      </c>
      <c r="E128" s="76" t="str">
        <f>IF(A128&lt;=$F$5*$F$6,SUM($D$12:D128),"")</f>
        <v/>
      </c>
      <c r="F128" s="76" t="str">
        <f t="shared" si="19"/>
        <v/>
      </c>
    </row>
    <row r="129" spans="1:6">
      <c r="A129" s="59" t="str">
        <f t="shared" si="20"/>
        <v/>
      </c>
      <c r="B129" s="76" t="str">
        <f t="shared" si="16"/>
        <v/>
      </c>
      <c r="C129" s="76" t="str">
        <f t="shared" si="17"/>
        <v/>
      </c>
      <c r="D129" s="76" t="str">
        <f t="shared" si="18"/>
        <v/>
      </c>
      <c r="E129" s="76" t="str">
        <f>IF(A129&lt;=$F$5*$F$6,SUM($D$12:D129),"")</f>
        <v/>
      </c>
      <c r="F129" s="76" t="str">
        <f t="shared" si="19"/>
        <v/>
      </c>
    </row>
    <row r="130" spans="1:6">
      <c r="A130" s="59" t="str">
        <f t="shared" si="20"/>
        <v/>
      </c>
      <c r="B130" s="76" t="str">
        <f t="shared" si="16"/>
        <v/>
      </c>
      <c r="C130" s="76" t="str">
        <f t="shared" si="17"/>
        <v/>
      </c>
      <c r="D130" s="76" t="str">
        <f t="shared" si="18"/>
        <v/>
      </c>
      <c r="E130" s="76" t="str">
        <f>IF(A130&lt;=$F$5*$F$6,SUM($D$12:D130),"")</f>
        <v/>
      </c>
      <c r="F130" s="76" t="str">
        <f t="shared" si="19"/>
        <v/>
      </c>
    </row>
    <row r="131" spans="1:6">
      <c r="A131" s="59" t="str">
        <f t="shared" si="20"/>
        <v/>
      </c>
      <c r="B131" s="76" t="str">
        <f t="shared" si="16"/>
        <v/>
      </c>
      <c r="C131" s="76" t="str">
        <f t="shared" si="17"/>
        <v/>
      </c>
      <c r="D131" s="76" t="str">
        <f t="shared" si="18"/>
        <v/>
      </c>
      <c r="E131" s="76" t="str">
        <f>IF(A131&lt;=$F$5*$F$6,SUM($D$12:D131),"")</f>
        <v/>
      </c>
      <c r="F131" s="76" t="str">
        <f t="shared" si="19"/>
        <v/>
      </c>
    </row>
    <row r="132" spans="1:6">
      <c r="B132" s="78"/>
      <c r="C132" s="78"/>
      <c r="D132" s="78"/>
      <c r="E132" s="78"/>
      <c r="F132" s="78"/>
    </row>
    <row r="133" spans="1:6">
      <c r="B133" s="78"/>
      <c r="C133" s="78"/>
      <c r="D133" s="78"/>
      <c r="E133" s="78"/>
      <c r="F133" s="78"/>
    </row>
    <row r="134" spans="1:6">
      <c r="B134" s="78"/>
      <c r="C134" s="78"/>
      <c r="D134" s="78"/>
      <c r="E134" s="78"/>
      <c r="F134" s="78"/>
    </row>
    <row r="135" spans="1:6">
      <c r="B135" s="78"/>
      <c r="C135" s="78"/>
      <c r="D135" s="78"/>
      <c r="E135" s="78"/>
      <c r="F135" s="78"/>
    </row>
    <row r="136" spans="1:6">
      <c r="B136" s="78"/>
      <c r="C136" s="78"/>
      <c r="D136" s="78"/>
      <c r="E136" s="78"/>
      <c r="F136" s="78"/>
    </row>
    <row r="137" spans="1:6">
      <c r="B137" s="78"/>
      <c r="C137" s="78"/>
      <c r="D137" s="78"/>
      <c r="E137" s="78"/>
      <c r="F137" s="78"/>
    </row>
    <row r="138" spans="1:6">
      <c r="B138" s="78"/>
      <c r="C138" s="78"/>
      <c r="D138" s="78"/>
      <c r="E138" s="78"/>
      <c r="F138" s="78"/>
    </row>
    <row r="139" spans="1:6">
      <c r="B139" s="78"/>
      <c r="C139" s="78"/>
      <c r="D139" s="78"/>
      <c r="E139" s="78"/>
      <c r="F139" s="78"/>
    </row>
    <row r="140" spans="1:6">
      <c r="B140" s="78"/>
      <c r="C140" s="78"/>
      <c r="D140" s="78"/>
      <c r="E140" s="78"/>
      <c r="F140" s="78"/>
    </row>
    <row r="141" spans="1:6">
      <c r="B141" s="78"/>
      <c r="C141" s="78"/>
      <c r="D141" s="78"/>
      <c r="E141" s="78"/>
      <c r="F141" s="78"/>
    </row>
    <row r="142" spans="1:6">
      <c r="B142" s="78"/>
      <c r="C142" s="78"/>
      <c r="D142" s="78"/>
      <c r="E142" s="78"/>
      <c r="F142" s="78"/>
    </row>
    <row r="143" spans="1:6">
      <c r="B143" s="78"/>
      <c r="C143" s="78"/>
      <c r="D143" s="78"/>
      <c r="E143" s="78"/>
      <c r="F143" s="78"/>
    </row>
    <row r="144" spans="1:6">
      <c r="B144" s="78"/>
      <c r="C144" s="78"/>
      <c r="D144" s="78"/>
      <c r="E144" s="78"/>
      <c r="F144" s="78"/>
    </row>
    <row r="145" spans="2:6">
      <c r="B145" s="78"/>
      <c r="C145" s="78"/>
      <c r="D145" s="78"/>
      <c r="E145" s="78"/>
      <c r="F145" s="78"/>
    </row>
    <row r="146" spans="2:6">
      <c r="B146" s="78"/>
      <c r="C146" s="78"/>
      <c r="D146" s="78"/>
      <c r="E146" s="78"/>
      <c r="F146" s="78"/>
    </row>
    <row r="147" spans="2:6">
      <c r="B147" s="78"/>
      <c r="C147" s="78"/>
      <c r="D147" s="78"/>
      <c r="E147" s="78"/>
      <c r="F147" s="78"/>
    </row>
    <row r="148" spans="2:6">
      <c r="B148" s="78"/>
      <c r="C148" s="78"/>
      <c r="D148" s="78"/>
      <c r="E148" s="78"/>
      <c r="F148" s="78"/>
    </row>
    <row r="149" spans="2:6">
      <c r="B149" s="78"/>
      <c r="C149" s="78"/>
      <c r="D149" s="78"/>
      <c r="E149" s="78"/>
      <c r="F149" s="78"/>
    </row>
    <row r="150" spans="2:6">
      <c r="B150" s="78"/>
      <c r="C150" s="78"/>
      <c r="D150" s="78"/>
      <c r="E150" s="78"/>
      <c r="F150" s="78"/>
    </row>
    <row r="151" spans="2:6">
      <c r="B151" s="78"/>
      <c r="C151" s="78"/>
      <c r="D151" s="78"/>
      <c r="E151" s="78"/>
      <c r="F151" s="78"/>
    </row>
    <row r="152" spans="2:6">
      <c r="B152" s="78"/>
      <c r="C152" s="78"/>
      <c r="D152" s="78"/>
      <c r="E152" s="78"/>
      <c r="F152" s="78"/>
    </row>
    <row r="153" spans="2:6">
      <c r="B153" s="78"/>
      <c r="C153" s="78"/>
      <c r="D153" s="78"/>
      <c r="E153" s="78"/>
      <c r="F153" s="78"/>
    </row>
    <row r="154" spans="2:6">
      <c r="B154" s="78"/>
      <c r="C154" s="78"/>
      <c r="D154" s="78"/>
      <c r="E154" s="78"/>
      <c r="F154" s="78"/>
    </row>
    <row r="155" spans="2:6">
      <c r="B155" s="78"/>
      <c r="C155" s="78"/>
      <c r="D155" s="78"/>
      <c r="E155" s="78"/>
      <c r="F155" s="78"/>
    </row>
    <row r="156" spans="2:6">
      <c r="B156" s="78"/>
      <c r="C156" s="78"/>
      <c r="D156" s="78"/>
      <c r="E156" s="78"/>
      <c r="F156" s="78"/>
    </row>
    <row r="157" spans="2:6">
      <c r="B157" s="78"/>
      <c r="C157" s="78"/>
      <c r="D157" s="78"/>
      <c r="E157" s="78"/>
      <c r="F157" s="78"/>
    </row>
    <row r="158" spans="2:6">
      <c r="B158" s="78"/>
      <c r="C158" s="78"/>
      <c r="D158" s="78"/>
      <c r="E158" s="78"/>
      <c r="F158" s="78"/>
    </row>
    <row r="159" spans="2:6">
      <c r="B159" s="78"/>
      <c r="C159" s="78"/>
      <c r="D159" s="78"/>
      <c r="E159" s="78"/>
      <c r="F159" s="78"/>
    </row>
    <row r="160" spans="2:6">
      <c r="B160" s="78"/>
      <c r="C160" s="78"/>
      <c r="D160" s="78"/>
      <c r="E160" s="78"/>
      <c r="F160" s="78"/>
    </row>
    <row r="161" spans="2:6">
      <c r="B161" s="78"/>
      <c r="C161" s="78"/>
      <c r="D161" s="78"/>
      <c r="E161" s="78"/>
      <c r="F161" s="78"/>
    </row>
    <row r="162" spans="2:6">
      <c r="B162" s="78"/>
      <c r="C162" s="78"/>
      <c r="D162" s="78"/>
      <c r="E162" s="78"/>
      <c r="F162" s="78"/>
    </row>
    <row r="163" spans="2:6">
      <c r="B163" s="78"/>
      <c r="C163" s="78"/>
      <c r="D163" s="78"/>
      <c r="E163" s="78"/>
      <c r="F163" s="78"/>
    </row>
    <row r="164" spans="2:6">
      <c r="B164" s="78"/>
      <c r="C164" s="78"/>
      <c r="D164" s="78"/>
      <c r="E164" s="78"/>
      <c r="F164" s="78"/>
    </row>
    <row r="165" spans="2:6">
      <c r="B165" s="78"/>
      <c r="C165" s="78"/>
      <c r="D165" s="78"/>
      <c r="E165" s="78"/>
      <c r="F165" s="78"/>
    </row>
    <row r="166" spans="2:6">
      <c r="B166" s="78"/>
      <c r="C166" s="78"/>
      <c r="D166" s="78"/>
      <c r="E166" s="78"/>
      <c r="F166" s="78"/>
    </row>
    <row r="167" spans="2:6">
      <c r="B167" s="78"/>
      <c r="C167" s="78"/>
      <c r="D167" s="78"/>
      <c r="E167" s="78"/>
      <c r="F167" s="78"/>
    </row>
    <row r="168" spans="2:6">
      <c r="B168" s="78"/>
      <c r="C168" s="78"/>
      <c r="D168" s="78"/>
      <c r="E168" s="78"/>
      <c r="F168" s="78"/>
    </row>
    <row r="169" spans="2:6">
      <c r="B169" s="78"/>
      <c r="C169" s="78"/>
      <c r="D169" s="78"/>
      <c r="E169" s="78"/>
      <c r="F169" s="78"/>
    </row>
    <row r="170" spans="2:6">
      <c r="B170" s="78"/>
      <c r="C170" s="78"/>
      <c r="D170" s="78"/>
      <c r="E170" s="78"/>
      <c r="F170" s="78"/>
    </row>
    <row r="171" spans="2:6">
      <c r="B171" s="78"/>
      <c r="C171" s="78"/>
      <c r="D171" s="78"/>
      <c r="E171" s="78"/>
      <c r="F171" s="78"/>
    </row>
    <row r="172" spans="2:6">
      <c r="B172" s="78"/>
      <c r="C172" s="78"/>
      <c r="D172" s="78"/>
      <c r="E172" s="78"/>
      <c r="F172" s="78"/>
    </row>
    <row r="173" spans="2:6">
      <c r="B173" s="78"/>
      <c r="C173" s="78"/>
      <c r="D173" s="78"/>
      <c r="E173" s="78"/>
      <c r="F173" s="78"/>
    </row>
    <row r="174" spans="2:6">
      <c r="B174" s="78"/>
      <c r="C174" s="78"/>
      <c r="D174" s="78"/>
      <c r="E174" s="78"/>
      <c r="F174" s="78"/>
    </row>
    <row r="175" spans="2:6">
      <c r="B175" s="78"/>
      <c r="C175" s="78"/>
      <c r="D175" s="78"/>
      <c r="E175" s="78"/>
      <c r="F175" s="78"/>
    </row>
    <row r="176" spans="2:6">
      <c r="B176" s="78"/>
      <c r="C176" s="78"/>
      <c r="D176" s="78"/>
      <c r="E176" s="78"/>
      <c r="F176" s="78"/>
    </row>
    <row r="177" spans="2:6">
      <c r="B177" s="78"/>
      <c r="C177" s="78"/>
      <c r="D177" s="78"/>
      <c r="E177" s="78"/>
      <c r="F177" s="78"/>
    </row>
    <row r="178" spans="2:6">
      <c r="B178" s="78"/>
      <c r="C178" s="78"/>
      <c r="D178" s="78"/>
      <c r="E178" s="78"/>
      <c r="F178" s="78"/>
    </row>
    <row r="179" spans="2:6">
      <c r="B179" s="78"/>
      <c r="C179" s="78"/>
      <c r="D179" s="78"/>
      <c r="E179" s="78"/>
      <c r="F179" s="78"/>
    </row>
    <row r="180" spans="2:6">
      <c r="B180" s="78"/>
      <c r="C180" s="78"/>
      <c r="D180" s="78"/>
      <c r="E180" s="78"/>
      <c r="F180" s="78"/>
    </row>
    <row r="181" spans="2:6">
      <c r="B181" s="78"/>
      <c r="C181" s="78"/>
      <c r="D181" s="78"/>
      <c r="E181" s="78"/>
      <c r="F181" s="78"/>
    </row>
    <row r="182" spans="2:6">
      <c r="B182" s="78"/>
      <c r="C182" s="78"/>
      <c r="D182" s="78"/>
      <c r="E182" s="78"/>
      <c r="F182" s="78"/>
    </row>
    <row r="183" spans="2:6">
      <c r="B183" s="78"/>
      <c r="C183" s="78"/>
      <c r="D183" s="78"/>
      <c r="E183" s="78"/>
      <c r="F183" s="78"/>
    </row>
    <row r="184" spans="2:6">
      <c r="B184" s="78"/>
      <c r="C184" s="78"/>
      <c r="D184" s="78"/>
      <c r="E184" s="78"/>
      <c r="F184" s="78"/>
    </row>
    <row r="185" spans="2:6">
      <c r="B185" s="78"/>
      <c r="C185" s="78"/>
      <c r="D185" s="78"/>
      <c r="E185" s="78"/>
      <c r="F185" s="78"/>
    </row>
    <row r="186" spans="2:6">
      <c r="B186" s="78"/>
      <c r="C186" s="78"/>
      <c r="D186" s="78"/>
      <c r="E186" s="78"/>
      <c r="F186" s="78"/>
    </row>
    <row r="187" spans="2:6">
      <c r="B187" s="78"/>
      <c r="C187" s="78"/>
      <c r="D187" s="78"/>
      <c r="E187" s="78"/>
      <c r="F187" s="78"/>
    </row>
    <row r="188" spans="2:6">
      <c r="B188" s="78"/>
      <c r="C188" s="78"/>
      <c r="D188" s="78"/>
      <c r="E188" s="78"/>
      <c r="F188" s="78"/>
    </row>
    <row r="189" spans="2:6">
      <c r="B189" s="78"/>
      <c r="C189" s="78"/>
      <c r="D189" s="78"/>
      <c r="E189" s="78"/>
      <c r="F189" s="78"/>
    </row>
    <row r="190" spans="2:6">
      <c r="B190" s="78"/>
      <c r="C190" s="78"/>
      <c r="D190" s="78"/>
      <c r="E190" s="78"/>
      <c r="F190" s="78"/>
    </row>
    <row r="191" spans="2:6">
      <c r="B191" s="78"/>
      <c r="C191" s="78"/>
      <c r="D191" s="78"/>
      <c r="E191" s="78"/>
      <c r="F191" s="78"/>
    </row>
    <row r="192" spans="2:6">
      <c r="B192" s="78"/>
      <c r="C192" s="78"/>
      <c r="D192" s="78"/>
      <c r="E192" s="78"/>
      <c r="F192" s="78"/>
    </row>
    <row r="193" spans="2:6">
      <c r="B193" s="78"/>
      <c r="C193" s="78"/>
      <c r="D193" s="78"/>
      <c r="E193" s="78"/>
      <c r="F193" s="78"/>
    </row>
    <row r="194" spans="2:6">
      <c r="B194" s="78"/>
      <c r="C194" s="78"/>
      <c r="D194" s="78"/>
      <c r="E194" s="78"/>
      <c r="F194" s="78"/>
    </row>
    <row r="195" spans="2:6">
      <c r="B195" s="78"/>
      <c r="C195" s="78"/>
      <c r="D195" s="78"/>
      <c r="E195" s="78"/>
      <c r="F195" s="78"/>
    </row>
    <row r="196" spans="2:6">
      <c r="B196" s="78"/>
      <c r="C196" s="78"/>
      <c r="D196" s="78"/>
      <c r="E196" s="78"/>
      <c r="F196" s="78"/>
    </row>
    <row r="197" spans="2:6">
      <c r="B197" s="78"/>
      <c r="C197" s="78"/>
      <c r="D197" s="78"/>
      <c r="E197" s="78"/>
      <c r="F197" s="78"/>
    </row>
    <row r="198" spans="2:6">
      <c r="B198" s="78"/>
      <c r="C198" s="78"/>
      <c r="D198" s="78"/>
      <c r="E198" s="78"/>
      <c r="F198" s="78"/>
    </row>
    <row r="199" spans="2:6">
      <c r="B199" s="78"/>
      <c r="C199" s="78"/>
      <c r="D199" s="78"/>
      <c r="E199" s="78"/>
      <c r="F199" s="78"/>
    </row>
    <row r="200" spans="2:6">
      <c r="B200" s="78"/>
      <c r="C200" s="78"/>
      <c r="D200" s="78"/>
      <c r="E200" s="78"/>
      <c r="F200" s="78"/>
    </row>
    <row r="201" spans="2:6">
      <c r="B201" s="78"/>
      <c r="C201" s="78"/>
      <c r="D201" s="78"/>
      <c r="E201" s="78"/>
      <c r="F201" s="78"/>
    </row>
    <row r="202" spans="2:6">
      <c r="B202" s="78"/>
      <c r="C202" s="78"/>
      <c r="D202" s="78"/>
      <c r="E202" s="78"/>
      <c r="F202" s="78"/>
    </row>
    <row r="203" spans="2:6">
      <c r="B203" s="78"/>
      <c r="C203" s="78"/>
      <c r="D203" s="78"/>
      <c r="E203" s="78"/>
      <c r="F203" s="78"/>
    </row>
    <row r="204" spans="2:6">
      <c r="B204" s="78"/>
      <c r="C204" s="78"/>
      <c r="D204" s="78"/>
      <c r="E204" s="78"/>
      <c r="F204" s="78"/>
    </row>
    <row r="205" spans="2:6">
      <c r="B205" s="78"/>
      <c r="C205" s="78"/>
      <c r="D205" s="78"/>
      <c r="E205" s="78"/>
      <c r="F205" s="78"/>
    </row>
    <row r="206" spans="2:6">
      <c r="B206" s="78"/>
      <c r="C206" s="78"/>
      <c r="D206" s="78"/>
      <c r="E206" s="78"/>
      <c r="F206" s="78"/>
    </row>
    <row r="207" spans="2:6">
      <c r="B207" s="78"/>
      <c r="C207" s="78"/>
      <c r="D207" s="78"/>
      <c r="E207" s="78"/>
      <c r="F207" s="78"/>
    </row>
    <row r="208" spans="2:6">
      <c r="B208" s="78"/>
      <c r="C208" s="78"/>
      <c r="D208" s="78"/>
      <c r="E208" s="78"/>
      <c r="F208" s="78"/>
    </row>
    <row r="209" spans="2:6">
      <c r="B209" s="78"/>
      <c r="C209" s="78"/>
      <c r="D209" s="78"/>
      <c r="E209" s="78"/>
      <c r="F209" s="78"/>
    </row>
    <row r="210" spans="2:6">
      <c r="B210" s="78"/>
      <c r="C210" s="78"/>
      <c r="D210" s="78"/>
      <c r="E210" s="78"/>
      <c r="F210" s="78"/>
    </row>
    <row r="211" spans="2:6">
      <c r="B211" s="78"/>
      <c r="C211" s="78"/>
      <c r="D211" s="78"/>
      <c r="E211" s="78"/>
      <c r="F211" s="78"/>
    </row>
    <row r="212" spans="2:6">
      <c r="B212" s="78"/>
      <c r="C212" s="78"/>
      <c r="D212" s="78"/>
      <c r="E212" s="78"/>
      <c r="F212" s="78"/>
    </row>
    <row r="213" spans="2:6">
      <c r="B213" s="78"/>
      <c r="C213" s="78"/>
      <c r="D213" s="78"/>
      <c r="E213" s="78"/>
      <c r="F213" s="78"/>
    </row>
    <row r="214" spans="2:6">
      <c r="B214" s="78"/>
      <c r="C214" s="78"/>
      <c r="D214" s="78"/>
      <c r="E214" s="78"/>
      <c r="F214" s="78"/>
    </row>
    <row r="215" spans="2:6">
      <c r="B215" s="78"/>
      <c r="C215" s="78"/>
      <c r="D215" s="78"/>
      <c r="E215" s="78"/>
      <c r="F215" s="78"/>
    </row>
    <row r="216" spans="2:6">
      <c r="B216" s="78"/>
      <c r="C216" s="78"/>
      <c r="D216" s="78"/>
      <c r="E216" s="78"/>
      <c r="F216" s="78"/>
    </row>
    <row r="217" spans="2:6">
      <c r="B217" s="78"/>
      <c r="C217" s="78"/>
      <c r="D217" s="78"/>
      <c r="E217" s="78"/>
      <c r="F217" s="78"/>
    </row>
    <row r="218" spans="2:6">
      <c r="B218" s="78"/>
      <c r="C218" s="78"/>
      <c r="D218" s="78"/>
      <c r="E218" s="78"/>
      <c r="F218" s="78"/>
    </row>
    <row r="219" spans="2:6">
      <c r="B219" s="78"/>
      <c r="C219" s="78"/>
      <c r="D219" s="78"/>
      <c r="E219" s="78"/>
      <c r="F219" s="78"/>
    </row>
    <row r="220" spans="2:6">
      <c r="B220" s="78"/>
      <c r="C220" s="78"/>
      <c r="D220" s="78"/>
      <c r="E220" s="78"/>
      <c r="F220" s="78"/>
    </row>
    <row r="221" spans="2:6">
      <c r="B221" s="78"/>
      <c r="C221" s="78"/>
      <c r="D221" s="78"/>
      <c r="E221" s="78"/>
      <c r="F221" s="78"/>
    </row>
    <row r="222" spans="2:6">
      <c r="B222" s="78"/>
      <c r="C222" s="78"/>
      <c r="D222" s="78"/>
      <c r="E222" s="78"/>
      <c r="F222" s="78"/>
    </row>
    <row r="223" spans="2:6">
      <c r="B223" s="78"/>
      <c r="C223" s="78"/>
      <c r="D223" s="78"/>
      <c r="E223" s="78"/>
      <c r="F223" s="78"/>
    </row>
    <row r="224" spans="2:6">
      <c r="B224" s="78"/>
      <c r="C224" s="78"/>
      <c r="D224" s="78"/>
      <c r="E224" s="78"/>
      <c r="F224" s="78"/>
    </row>
    <row r="225" spans="2:6">
      <c r="B225" s="78"/>
      <c r="C225" s="78"/>
      <c r="D225" s="78"/>
      <c r="E225" s="78"/>
      <c r="F225" s="78"/>
    </row>
    <row r="226" spans="2:6">
      <c r="B226" s="78"/>
      <c r="C226" s="78"/>
      <c r="D226" s="78"/>
      <c r="E226" s="78"/>
      <c r="F226" s="78"/>
    </row>
    <row r="227" spans="2:6">
      <c r="B227" s="78"/>
      <c r="C227" s="78"/>
      <c r="D227" s="78"/>
      <c r="E227" s="78"/>
      <c r="F227" s="78"/>
    </row>
    <row r="228" spans="2:6">
      <c r="B228" s="78"/>
      <c r="C228" s="78"/>
      <c r="D228" s="78"/>
      <c r="E228" s="78"/>
      <c r="F228" s="78"/>
    </row>
    <row r="229" spans="2:6">
      <c r="B229" s="78"/>
      <c r="C229" s="78"/>
      <c r="D229" s="78"/>
      <c r="E229" s="78"/>
      <c r="F229" s="78"/>
    </row>
    <row r="230" spans="2:6">
      <c r="B230" s="78"/>
      <c r="C230" s="78"/>
      <c r="D230" s="78"/>
      <c r="E230" s="78"/>
      <c r="F230" s="78"/>
    </row>
    <row r="231" spans="2:6">
      <c r="B231" s="78"/>
      <c r="C231" s="78"/>
      <c r="D231" s="78"/>
      <c r="E231" s="78"/>
      <c r="F231" s="78"/>
    </row>
    <row r="232" spans="2:6">
      <c r="B232" s="78"/>
      <c r="C232" s="78"/>
      <c r="D232" s="78"/>
      <c r="E232" s="78"/>
      <c r="F232" s="78"/>
    </row>
    <row r="233" spans="2:6">
      <c r="B233" s="78"/>
      <c r="C233" s="78"/>
      <c r="D233" s="78"/>
      <c r="E233" s="78"/>
      <c r="F233" s="78"/>
    </row>
    <row r="234" spans="2:6">
      <c r="B234" s="78"/>
      <c r="C234" s="78"/>
      <c r="D234" s="78"/>
      <c r="E234" s="78"/>
      <c r="F234" s="78"/>
    </row>
    <row r="235" spans="2:6">
      <c r="B235" s="78"/>
      <c r="C235" s="78"/>
      <c r="D235" s="78"/>
      <c r="E235" s="78"/>
      <c r="F235" s="78"/>
    </row>
    <row r="236" spans="2:6">
      <c r="B236" s="78"/>
      <c r="C236" s="78"/>
      <c r="D236" s="78"/>
      <c r="E236" s="78"/>
      <c r="F236" s="78"/>
    </row>
  </sheetData>
  <sheetProtection password="CC9B" sheet="1" objects="1" scenarios="1"/>
  <mergeCells count="6">
    <mergeCell ref="D5:E5"/>
    <mergeCell ref="D6:E6"/>
    <mergeCell ref="D7:E7"/>
    <mergeCell ref="A1:F1"/>
    <mergeCell ref="D3:E3"/>
    <mergeCell ref="D4:E4"/>
  </mergeCells>
  <phoneticPr fontId="2" type="noConversion"/>
  <dataValidations count="1">
    <dataValidation type="whole" allowBlank="1" showInputMessage="1" showErrorMessage="1" sqref="F7">
      <formula1>0</formula1>
      <formula2>1</formula2>
    </dataValidation>
  </dataValidations>
  <pageMargins left="0.75" right="0.75" top="1" bottom="1" header="0" footer="0"/>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Hojas de cálculo</vt:lpstr>
      </vt:variant>
      <vt:variant>
        <vt:i4>15</vt:i4>
      </vt:variant>
      <vt:variant>
        <vt:lpstr>Rangos con nombre</vt:lpstr>
      </vt:variant>
      <vt:variant>
        <vt:i4>14</vt:i4>
      </vt:variant>
    </vt:vector>
  </HeadingPairs>
  <TitlesOfParts>
    <vt:vector size="29" baseType="lpstr">
      <vt:lpstr>1. DATOS PREVIOS</vt:lpstr>
      <vt:lpstr>2. P. MARKETING</vt:lpstr>
      <vt:lpstr>3. P. OPERACIONES</vt:lpstr>
      <vt:lpstr>4. P. REC. HUMANOS</vt:lpstr>
      <vt:lpstr>5. P. JURIDICO MERCANTIL</vt:lpstr>
      <vt:lpstr>6. PEF1. PLAN COMERCIAL</vt:lpstr>
      <vt:lpstr>6. PEF2-3. INVERS. Y FINANC.</vt:lpstr>
      <vt:lpstr>6.PEF4. AMORTIZACIÓN</vt:lpstr>
      <vt:lpstr>6. PEF5. VENTAS Y COSTES</vt:lpstr>
      <vt:lpstr>6.PEF6. EXPLOTACION</vt:lpstr>
      <vt:lpstr>6. PEF7. IVA</vt:lpstr>
      <vt:lpstr>6. PEF8-9. TESORERIA</vt:lpstr>
      <vt:lpstr>6. PEF10. BALANCE 3 AÑOS</vt:lpstr>
      <vt:lpstr>6.PEF11. RATIOS</vt:lpstr>
      <vt:lpstr>AMORTIZ. PTMO.</vt:lpstr>
      <vt:lpstr>'2. P. MARKETING'!Área_de_impresión</vt:lpstr>
      <vt:lpstr>'3. P. OPERACIONES'!Área_de_impresión</vt:lpstr>
      <vt:lpstr>'4. P. REC. HUMANOS'!Área_de_impresión</vt:lpstr>
      <vt:lpstr>'5. P. JURIDICO MERCANTIL'!Área_de_impresión</vt:lpstr>
      <vt:lpstr>'6. PEF1. PLAN COMERCIAL'!Área_de_impresión</vt:lpstr>
      <vt:lpstr>'6. PEF10. BALANCE 3 AÑOS'!Área_de_impresión</vt:lpstr>
      <vt:lpstr>'6. PEF2-3. INVERS. Y FINANC.'!Área_de_impresión</vt:lpstr>
      <vt:lpstr>'6. PEF5. VENTAS Y COSTES'!Área_de_impresión</vt:lpstr>
      <vt:lpstr>'6. PEF7. IVA'!Área_de_impresión</vt:lpstr>
      <vt:lpstr>'6. PEF8-9. TESORERIA'!Área_de_impresión</vt:lpstr>
      <vt:lpstr>'6.PEF11. RATIOS'!Área_de_impresión</vt:lpstr>
      <vt:lpstr>'6.PEF4. AMORTIZACIÓN'!Área_de_impresión</vt:lpstr>
      <vt:lpstr>'6.PEF6. EXPLOTACION'!Área_de_impresión</vt:lpstr>
      <vt:lpstr>'AMORTIZ. PTMO.'!Área_de_impresión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2022-09-07T07:41:17Z</cp:lastPrinted>
  <dcterms:created xsi:type="dcterms:W3CDTF">2010-11-29T12:46:21Z</dcterms:created>
  <dcterms:modified xsi:type="dcterms:W3CDTF">2025-09-25T12:47:42Z</dcterms:modified>
</cp:coreProperties>
</file>