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iss\Desktop\TRABALHO CCO\"/>
    </mc:Choice>
  </mc:AlternateContent>
  <xr:revisionPtr revIDLastSave="0" documentId="13_ncr:1_{8BBD7169-072D-41F1-AC5B-310E2F9791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ÇAMENTO PESSOAL" sheetId="1" r:id="rId1"/>
  </sheets>
  <definedNames>
    <definedName name="ÁreaDeImpressão_DEFINIR">OFFSET('ORÇAMENTO PESSOAL'!$C$2,,,MATCH(REPT("z",255),'ORÇAMENTO PESSOAL'!$C:$C),ÚltCol)</definedName>
    <definedName name="ÚltCol">COUNTA('ORÇAMENTO PESSOAL'!$4:$4)+1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36" i="1"/>
  <c r="P29" i="1"/>
  <c r="P20" i="1" l="1"/>
  <c r="P19" i="1"/>
  <c r="P16" i="1"/>
  <c r="P18" i="1"/>
  <c r="P17" i="1"/>
  <c r="E112" i="1" l="1"/>
  <c r="F112" i="1"/>
  <c r="G112" i="1"/>
  <c r="H112" i="1"/>
  <c r="I112" i="1"/>
  <c r="J112" i="1"/>
  <c r="K112" i="1"/>
  <c r="L112" i="1"/>
  <c r="M112" i="1"/>
  <c r="N112" i="1"/>
  <c r="O112" i="1"/>
  <c r="D112" i="1"/>
  <c r="E102" i="1"/>
  <c r="F102" i="1"/>
  <c r="G102" i="1"/>
  <c r="H102" i="1"/>
  <c r="I102" i="1"/>
  <c r="J102" i="1"/>
  <c r="K102" i="1"/>
  <c r="L102" i="1"/>
  <c r="M102" i="1"/>
  <c r="N102" i="1"/>
  <c r="O102" i="1"/>
  <c r="D102" i="1"/>
  <c r="E94" i="1"/>
  <c r="F94" i="1"/>
  <c r="G94" i="1"/>
  <c r="H94" i="1"/>
  <c r="I94" i="1"/>
  <c r="J94" i="1"/>
  <c r="K94" i="1"/>
  <c r="L94" i="1"/>
  <c r="M94" i="1"/>
  <c r="N94" i="1"/>
  <c r="O94" i="1"/>
  <c r="D94" i="1"/>
  <c r="E85" i="1"/>
  <c r="F85" i="1"/>
  <c r="G85" i="1"/>
  <c r="H85" i="1"/>
  <c r="I85" i="1"/>
  <c r="J85" i="1"/>
  <c r="K85" i="1"/>
  <c r="L85" i="1"/>
  <c r="M85" i="1"/>
  <c r="N85" i="1"/>
  <c r="O85" i="1"/>
  <c r="D85" i="1"/>
  <c r="E76" i="1"/>
  <c r="F76" i="1"/>
  <c r="G76" i="1"/>
  <c r="H76" i="1"/>
  <c r="I76" i="1"/>
  <c r="J76" i="1"/>
  <c r="K76" i="1"/>
  <c r="L76" i="1"/>
  <c r="M76" i="1"/>
  <c r="N76" i="1"/>
  <c r="O76" i="1"/>
  <c r="D76" i="1"/>
  <c r="E68" i="1"/>
  <c r="F68" i="1"/>
  <c r="G68" i="1"/>
  <c r="H68" i="1"/>
  <c r="I68" i="1"/>
  <c r="J68" i="1"/>
  <c r="K68" i="1"/>
  <c r="L68" i="1"/>
  <c r="M68" i="1"/>
  <c r="N68" i="1"/>
  <c r="O68" i="1"/>
  <c r="D68" i="1"/>
  <c r="E59" i="1"/>
  <c r="F59" i="1"/>
  <c r="G59" i="1"/>
  <c r="H59" i="1"/>
  <c r="I59" i="1"/>
  <c r="J59" i="1"/>
  <c r="K59" i="1"/>
  <c r="L59" i="1"/>
  <c r="M59" i="1"/>
  <c r="N59" i="1"/>
  <c r="O59" i="1"/>
  <c r="D59" i="1"/>
  <c r="P108" i="1"/>
  <c r="P109" i="1"/>
  <c r="P110" i="1"/>
  <c r="P111" i="1"/>
  <c r="P107" i="1"/>
  <c r="P100" i="1"/>
  <c r="P101" i="1"/>
  <c r="P99" i="1"/>
  <c r="P91" i="1"/>
  <c r="P92" i="1"/>
  <c r="P93" i="1"/>
  <c r="P90" i="1"/>
  <c r="P81" i="1"/>
  <c r="P82" i="1"/>
  <c r="P83" i="1"/>
  <c r="P84" i="1"/>
  <c r="P74" i="1"/>
  <c r="P75" i="1"/>
  <c r="P73" i="1"/>
  <c r="P65" i="1"/>
  <c r="P66" i="1"/>
  <c r="P67" i="1"/>
  <c r="P64" i="1"/>
  <c r="P55" i="1"/>
  <c r="P56" i="1"/>
  <c r="P57" i="1"/>
  <c r="P58" i="1"/>
  <c r="P54" i="1"/>
  <c r="E49" i="1"/>
  <c r="F49" i="1"/>
  <c r="G49" i="1"/>
  <c r="H49" i="1"/>
  <c r="I49" i="1"/>
  <c r="J49" i="1"/>
  <c r="K49" i="1"/>
  <c r="L49" i="1"/>
  <c r="M49" i="1"/>
  <c r="N49" i="1"/>
  <c r="O49" i="1"/>
  <c r="D49" i="1"/>
  <c r="P45" i="1"/>
  <c r="P46" i="1"/>
  <c r="P48" i="1"/>
  <c r="P44" i="1"/>
  <c r="E39" i="1"/>
  <c r="F39" i="1"/>
  <c r="G39" i="1"/>
  <c r="H39" i="1"/>
  <c r="I39" i="1"/>
  <c r="J39" i="1"/>
  <c r="K39" i="1"/>
  <c r="L39" i="1"/>
  <c r="M39" i="1"/>
  <c r="N39" i="1"/>
  <c r="O39" i="1"/>
  <c r="D39" i="1"/>
  <c r="P37" i="1"/>
  <c r="P38" i="1"/>
  <c r="P35" i="1"/>
  <c r="E30" i="1"/>
  <c r="F30" i="1"/>
  <c r="G30" i="1"/>
  <c r="H30" i="1"/>
  <c r="I30" i="1"/>
  <c r="J30" i="1"/>
  <c r="K30" i="1"/>
  <c r="L30" i="1"/>
  <c r="M30" i="1"/>
  <c r="N30" i="1"/>
  <c r="O30" i="1"/>
  <c r="D30" i="1"/>
  <c r="P27" i="1"/>
  <c r="P28" i="1"/>
  <c r="P26" i="1"/>
  <c r="E21" i="1"/>
  <c r="F21" i="1"/>
  <c r="G21" i="1"/>
  <c r="H21" i="1"/>
  <c r="I21" i="1"/>
  <c r="J21" i="1"/>
  <c r="K21" i="1"/>
  <c r="L21" i="1"/>
  <c r="M21" i="1"/>
  <c r="N21" i="1"/>
  <c r="O21" i="1"/>
  <c r="D21" i="1"/>
  <c r="H116" i="1" l="1"/>
  <c r="P49" i="1"/>
  <c r="P102" i="1"/>
  <c r="P94" i="1"/>
  <c r="P85" i="1"/>
  <c r="P76" i="1"/>
  <c r="P68" i="1"/>
  <c r="P59" i="1"/>
  <c r="L116" i="1"/>
  <c r="P39" i="1"/>
  <c r="P30" i="1"/>
  <c r="P21" i="1"/>
  <c r="K116" i="1"/>
  <c r="J116" i="1"/>
  <c r="I116" i="1"/>
  <c r="D116" i="1"/>
  <c r="O116" i="1"/>
  <c r="N116" i="1"/>
  <c r="M116" i="1"/>
  <c r="E116" i="1"/>
  <c r="G116" i="1"/>
  <c r="F116" i="1"/>
  <c r="P112" i="1"/>
  <c r="O10" i="1"/>
  <c r="G10" i="1"/>
  <c r="L10" i="1"/>
  <c r="N10" i="1"/>
  <c r="F10" i="1"/>
  <c r="E10" i="1"/>
  <c r="I10" i="1"/>
  <c r="H10" i="1"/>
  <c r="D10" i="1"/>
  <c r="M10" i="1"/>
  <c r="K10" i="1"/>
  <c r="P9" i="1"/>
  <c r="P8" i="1"/>
  <c r="J10" i="1"/>
  <c r="P7" i="1"/>
  <c r="D117" i="1" l="1"/>
  <c r="L117" i="1"/>
  <c r="J117" i="1"/>
  <c r="I117" i="1"/>
  <c r="F117" i="1"/>
  <c r="N117" i="1"/>
  <c r="H117" i="1"/>
  <c r="P116" i="1"/>
  <c r="K117" i="1"/>
  <c r="M117" i="1"/>
  <c r="G117" i="1"/>
  <c r="O117" i="1"/>
  <c r="E117" i="1"/>
  <c r="P10" i="1"/>
  <c r="P117" i="1" l="1"/>
</calcChain>
</file>

<file path=xl/sharedStrings.xml><?xml version="1.0" encoding="utf-8"?>
<sst xmlns="http://schemas.openxmlformats.org/spreadsheetml/2006/main" count="300" uniqueCount="101">
  <si>
    <t>RECEITA</t>
  </si>
  <si>
    <t>RENDA</t>
  </si>
  <si>
    <t>Salários</t>
  </si>
  <si>
    <t>Juros/dividendos</t>
  </si>
  <si>
    <t>Diversos</t>
  </si>
  <si>
    <t>Total</t>
  </si>
  <si>
    <t>DESPESAS</t>
  </si>
  <si>
    <t>CASA</t>
  </si>
  <si>
    <t>Casa</t>
  </si>
  <si>
    <t>Reparos</t>
  </si>
  <si>
    <t>Serviços</t>
  </si>
  <si>
    <t>COTIDIANO</t>
  </si>
  <si>
    <t>Cotidiano</t>
  </si>
  <si>
    <t xml:space="preserve">Supermercado </t>
  </si>
  <si>
    <t>Serviço de limpeza doméstica</t>
  </si>
  <si>
    <t>TRANSPORTE</t>
  </si>
  <si>
    <t>Transporte</t>
  </si>
  <si>
    <t>Combustível</t>
  </si>
  <si>
    <t>Transporte público</t>
  </si>
  <si>
    <t>ENTRETENIMENTO</t>
  </si>
  <si>
    <t>Entretenimento</t>
  </si>
  <si>
    <t>Cinema/teatro</t>
  </si>
  <si>
    <t>Shows/clubes</t>
  </si>
  <si>
    <t>SAÚDE</t>
  </si>
  <si>
    <t>Saúde</t>
  </si>
  <si>
    <t>Mensalidade da academia</t>
  </si>
  <si>
    <t>Veterinário/medicamentos para animais de estimação</t>
  </si>
  <si>
    <t>Seguro de vida</t>
  </si>
  <si>
    <t>FÉRIAS</t>
  </si>
  <si>
    <t>Férias</t>
  </si>
  <si>
    <t>Acomodações</t>
  </si>
  <si>
    <t>Alimentação</t>
  </si>
  <si>
    <t>LAZER</t>
  </si>
  <si>
    <t>Lazer</t>
  </si>
  <si>
    <t>Equipamentos de esportes</t>
  </si>
  <si>
    <t>Brinquedos</t>
  </si>
  <si>
    <t>MENSALIDADES/ASSINATURAS</t>
  </si>
  <si>
    <t>Mensalidades/assinaturas</t>
  </si>
  <si>
    <t>Internet</t>
  </si>
  <si>
    <t>PESSOAL</t>
  </si>
  <si>
    <t>Pessoal</t>
  </si>
  <si>
    <t>Vestuário</t>
  </si>
  <si>
    <t>Presentes</t>
  </si>
  <si>
    <t>Salão/barbeiro</t>
  </si>
  <si>
    <t>Livros</t>
  </si>
  <si>
    <t>OBRIGAÇÕES FINANCEIRAS</t>
  </si>
  <si>
    <t>Obrigações financeiras</t>
  </si>
  <si>
    <t>Economias de longo prazo</t>
  </si>
  <si>
    <t>Pagamentos do cartão de crédito</t>
  </si>
  <si>
    <t>Outras obrigações</t>
  </si>
  <si>
    <t>PAGAMENTOS DIVERSOS</t>
  </si>
  <si>
    <t>Pagamentos diversos</t>
  </si>
  <si>
    <t xml:space="preserve">   Outros</t>
  </si>
  <si>
    <t>TOTAIS</t>
  </si>
  <si>
    <t>Despesas totais</t>
  </si>
  <si>
    <t>Diferença de caixa</t>
  </si>
  <si>
    <t>JAN</t>
  </si>
  <si>
    <t>Jan</t>
  </si>
  <si>
    <t>FEV</t>
  </si>
  <si>
    <t>Fev</t>
  </si>
  <si>
    <t>MAR</t>
  </si>
  <si>
    <t>Março</t>
  </si>
  <si>
    <t>ABR</t>
  </si>
  <si>
    <t>Abr</t>
  </si>
  <si>
    <t>MAIO</t>
  </si>
  <si>
    <t>Maio</t>
  </si>
  <si>
    <t>Mai</t>
  </si>
  <si>
    <t>JUN</t>
  </si>
  <si>
    <t>Jun</t>
  </si>
  <si>
    <t>JUL</t>
  </si>
  <si>
    <t>Julho</t>
  </si>
  <si>
    <t>AGO</t>
  </si>
  <si>
    <t>Ago</t>
  </si>
  <si>
    <t>SET</t>
  </si>
  <si>
    <t>Set</t>
  </si>
  <si>
    <t>OUT</t>
  </si>
  <si>
    <t>Out</t>
  </si>
  <si>
    <t>NOV</t>
  </si>
  <si>
    <t>Nov</t>
  </si>
  <si>
    <t>DEZ</t>
  </si>
  <si>
    <t>Dez</t>
  </si>
  <si>
    <t>ANO</t>
  </si>
  <si>
    <t>Ano</t>
  </si>
  <si>
    <t xml:space="preserve"> </t>
  </si>
  <si>
    <t>Coluna1</t>
  </si>
  <si>
    <t>Aluguel</t>
  </si>
  <si>
    <t>Impostos</t>
  </si>
  <si>
    <t>Contas</t>
  </si>
  <si>
    <t>Escola</t>
  </si>
  <si>
    <t>Outros</t>
  </si>
  <si>
    <t>IPVA</t>
  </si>
  <si>
    <t>Streamings de música</t>
  </si>
  <si>
    <t>Streamings de vídeo</t>
  </si>
  <si>
    <t>Festas</t>
  </si>
  <si>
    <t>Plano de saúde</t>
  </si>
  <si>
    <t>Medicamentos</t>
  </si>
  <si>
    <t>Passagens</t>
  </si>
  <si>
    <t>Uber/transporte</t>
  </si>
  <si>
    <t>Clube</t>
  </si>
  <si>
    <t xml:space="preserve">Outros </t>
  </si>
  <si>
    <t xml:space="preserve">PROJETO DE EXTENSÃO DE CONTABILIDADE FINANCEIRA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</si>
</sst>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.00"/>
  </numFmts>
  <fonts count="31" x14ac:knownFonts="1">
    <font>
      <sz val="10"/>
      <color theme="1" tint="0.14993743705557422"/>
      <name val="verdana"/>
      <family val="2"/>
      <scheme val="minor"/>
    </font>
    <font>
      <sz val="11"/>
      <color theme="1"/>
      <name val="verdana"/>
      <family val="2"/>
      <scheme val="minor"/>
    </font>
    <font>
      <b/>
      <sz val="10"/>
      <color theme="1" tint="0.14990691854609822"/>
      <name val="Gill Sans MT"/>
      <family val="2"/>
      <scheme val="major"/>
    </font>
    <font>
      <sz val="11"/>
      <color theme="1" tint="0.14993743705557422"/>
      <name val="Gill Sans MT"/>
      <family val="2"/>
      <scheme val="major"/>
    </font>
    <font>
      <sz val="22"/>
      <color theme="1" tint="0.14993743705557422"/>
      <name val="Gill Sans MT"/>
      <family val="2"/>
      <scheme val="major"/>
    </font>
    <font>
      <sz val="24"/>
      <color theme="1" tint="0.14993743705557422"/>
      <name val="Gill Sans MT"/>
      <family val="1"/>
      <scheme val="major"/>
    </font>
    <font>
      <sz val="10"/>
      <color theme="4" tint="-0.499984740745262"/>
      <name val="verdana"/>
      <family val="2"/>
      <scheme val="minor"/>
    </font>
    <font>
      <sz val="10"/>
      <color theme="5" tint="-0.499984740745262"/>
      <name val="verdana"/>
      <family val="2"/>
      <scheme val="minor"/>
    </font>
    <font>
      <sz val="11"/>
      <color theme="1" tint="0.34998626667073579"/>
      <name val="Gill Sans MT"/>
      <family val="2"/>
      <scheme val="major"/>
    </font>
    <font>
      <b/>
      <sz val="10"/>
      <color theme="4"/>
      <name val="Gill Sans MT"/>
      <family val="2"/>
      <scheme val="major"/>
    </font>
    <font>
      <sz val="10"/>
      <color theme="0"/>
      <name val="verdana"/>
      <family val="2"/>
      <scheme val="minor"/>
    </font>
    <font>
      <b/>
      <sz val="10"/>
      <color theme="5"/>
      <name val="Gill Sans MT"/>
      <family val="2"/>
      <scheme val="major"/>
    </font>
    <font>
      <b/>
      <sz val="10"/>
      <color theme="0"/>
      <name val="Gill Sans MT"/>
      <family val="2"/>
      <scheme val="major"/>
    </font>
    <font>
      <b/>
      <sz val="10"/>
      <color theme="4"/>
      <name val="verdana"/>
      <family val="2"/>
      <scheme val="minor"/>
    </font>
    <font>
      <b/>
      <sz val="10"/>
      <color theme="5"/>
      <name val="verdana"/>
      <family val="2"/>
      <scheme val="minor"/>
    </font>
    <font>
      <sz val="10"/>
      <color theme="1" tint="0.14993743705557422"/>
      <name val="verdana"/>
      <family val="2"/>
      <scheme val="minor"/>
    </font>
    <font>
      <sz val="18"/>
      <color theme="3"/>
      <name val="Gill Sans MT"/>
      <family val="2"/>
      <scheme val="maj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10"/>
      <color theme="1" tint="0.14993743705557422"/>
      <name val="verdana"/>
      <family val="2"/>
      <scheme val="minor"/>
    </font>
    <font>
      <b/>
      <sz val="14"/>
      <color theme="1" tint="0.14993743705557422"/>
      <name val="Gill Sans MT"/>
      <family val="2"/>
      <scheme val="major"/>
    </font>
  </fonts>
  <fills count="4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5" tint="0.80001220740379042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FF5FF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/>
      <diagonal/>
    </border>
    <border>
      <left style="thick">
        <color theme="4"/>
      </left>
      <right/>
      <top/>
      <bottom/>
      <diagonal/>
    </border>
    <border>
      <left style="medium">
        <color theme="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7">
    <xf numFmtId="0" fontId="0" fillId="15" borderId="0">
      <alignment vertical="center"/>
    </xf>
    <xf numFmtId="0" fontId="4" fillId="0" borderId="0" applyNumberFormat="0" applyFill="0" applyProtection="0">
      <alignment vertical="center"/>
    </xf>
    <xf numFmtId="0" fontId="3" fillId="0" borderId="1" applyNumberFormat="0" applyFill="0" applyProtection="0">
      <alignment vertical="center"/>
    </xf>
    <xf numFmtId="0" fontId="2" fillId="7" borderId="0" applyNumberFormat="0" applyProtection="0">
      <alignment horizontal="left" vertical="center" indent="1"/>
    </xf>
    <xf numFmtId="0" fontId="2" fillId="2" borderId="0" applyNumberFormat="0" applyProtection="0">
      <alignment vertical="center"/>
    </xf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19" borderId="12" applyNumberFormat="0" applyAlignment="0" applyProtection="0"/>
    <xf numFmtId="0" fontId="21" fillId="20" borderId="13" applyNumberFormat="0" applyAlignment="0" applyProtection="0"/>
    <xf numFmtId="0" fontId="22" fillId="20" borderId="12" applyNumberFormat="0" applyAlignment="0" applyProtection="0"/>
    <xf numFmtId="0" fontId="23" fillId="0" borderId="14" applyNumberFormat="0" applyFill="0" applyAlignment="0" applyProtection="0"/>
    <xf numFmtId="0" fontId="24" fillId="21" borderId="15" applyNumberFormat="0" applyAlignment="0" applyProtection="0"/>
    <xf numFmtId="0" fontId="25" fillId="0" borderId="0" applyNumberFormat="0" applyFill="0" applyBorder="0" applyAlignment="0" applyProtection="0"/>
    <xf numFmtId="0" fontId="15" fillId="22" borderId="1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7" applyNumberFormat="0" applyFill="0" applyAlignment="0" applyProtection="0"/>
    <xf numFmtId="0" fontId="2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8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28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</cellStyleXfs>
  <cellXfs count="83">
    <xf numFmtId="0" fontId="0" fillId="15" borderId="0" xfId="0">
      <alignment vertical="center"/>
    </xf>
    <xf numFmtId="0" fontId="0" fillId="15" borderId="0" xfId="0" applyAlignment="1">
      <alignment horizontal="right" vertical="center"/>
    </xf>
    <xf numFmtId="0" fontId="0" fillId="15" borderId="0" xfId="0" applyAlignment="1"/>
    <xf numFmtId="0" fontId="0" fillId="15" borderId="0" xfId="0" applyBorder="1" applyAlignment="1">
      <alignment horizontal="right" vertical="center"/>
    </xf>
    <xf numFmtId="0" fontId="0" fillId="15" borderId="3" xfId="0" applyBorder="1" applyAlignment="1">
      <alignment horizontal="right" vertical="center"/>
    </xf>
    <xf numFmtId="0" fontId="0" fillId="15" borderId="3" xfId="0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0" fillId="6" borderId="0" xfId="0" applyFill="1">
      <alignment vertical="center"/>
    </xf>
    <xf numFmtId="0" fontId="8" fillId="0" borderId="0" xfId="2" applyFont="1" applyFill="1" applyBorder="1" applyAlignment="1">
      <alignment horizontal="left" vertical="center" indent="1"/>
    </xf>
    <xf numFmtId="0" fontId="8" fillId="0" borderId="0" xfId="2" applyFont="1" applyFill="1" applyBorder="1" applyAlignment="1">
      <alignment horizontal="right" vertical="center"/>
    </xf>
    <xf numFmtId="0" fontId="2" fillId="0" borderId="0" xfId="3" applyFill="1" applyBorder="1" applyAlignment="1">
      <alignment horizontal="right" vertical="center"/>
    </xf>
    <xf numFmtId="0" fontId="0" fillId="15" borderId="0" xfId="0">
      <alignment vertical="center"/>
    </xf>
    <xf numFmtId="0" fontId="9" fillId="0" borderId="0" xfId="3" applyFont="1" applyFill="1" applyBorder="1" applyAlignment="1">
      <alignment horizontal="left" vertical="center" indent="1"/>
    </xf>
    <xf numFmtId="0" fontId="0" fillId="8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6" fillId="8" borderId="0" xfId="0" applyFont="1" applyFill="1" applyBorder="1" applyAlignment="1">
      <alignment horizontal="right" vertical="center"/>
    </xf>
    <xf numFmtId="0" fontId="11" fillId="0" borderId="0" xfId="3" applyFont="1" applyFill="1" applyBorder="1">
      <alignment horizontal="left" vertical="center" indent="1"/>
    </xf>
    <xf numFmtId="0" fontId="7" fillId="8" borderId="0" xfId="0" applyFont="1" applyFill="1" applyBorder="1" applyAlignment="1">
      <alignment horizontal="right" vertical="center"/>
    </xf>
    <xf numFmtId="0" fontId="7" fillId="8" borderId="6" xfId="0" applyFont="1" applyFill="1" applyBorder="1" applyAlignment="1">
      <alignment horizontal="left" vertical="center" indent="1"/>
    </xf>
    <xf numFmtId="0" fontId="2" fillId="0" borderId="4" xfId="3" applyFill="1" applyBorder="1" applyAlignment="1">
      <alignment horizontal="right" vertical="center"/>
    </xf>
    <xf numFmtId="0" fontId="2" fillId="0" borderId="5" xfId="3" applyFill="1" applyBorder="1" applyAlignment="1">
      <alignment horizontal="right" vertical="center"/>
    </xf>
    <xf numFmtId="0" fontId="0" fillId="15" borderId="0" xfId="0" applyBorder="1">
      <alignment vertical="center"/>
    </xf>
    <xf numFmtId="0" fontId="9" fillId="0" borderId="0" xfId="0" applyFont="1" applyFill="1" applyAlignment="1">
      <alignment horizontal="left" vertical="center" indent="1"/>
    </xf>
    <xf numFmtId="0" fontId="0" fillId="0" borderId="0" xfId="0" applyFill="1" applyAlignment="1">
      <alignment horizontal="left" vertical="center"/>
    </xf>
    <xf numFmtId="0" fontId="0" fillId="8" borderId="0" xfId="0" applyFill="1" applyAlignment="1">
      <alignment horizontal="left" vertical="center" indent="1"/>
    </xf>
    <xf numFmtId="0" fontId="0" fillId="13" borderId="0" xfId="0" applyFill="1" applyAlignment="1">
      <alignment horizontal="left" vertical="center" indent="1"/>
    </xf>
    <xf numFmtId="0" fontId="13" fillId="0" borderId="0" xfId="0" applyFont="1" applyFill="1" applyAlignment="1">
      <alignment horizontal="left" vertical="center" indent="1"/>
    </xf>
    <xf numFmtId="0" fontId="11" fillId="0" borderId="0" xfId="0" applyFont="1" applyFill="1" applyAlignment="1">
      <alignment horizontal="left" vertical="center" indent="1"/>
    </xf>
    <xf numFmtId="0" fontId="14" fillId="0" borderId="0" xfId="0" applyFont="1" applyFill="1" applyAlignment="1">
      <alignment horizontal="left" vertical="center" indent="1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12" fillId="11" borderId="0" xfId="3" applyFont="1" applyFill="1">
      <alignment horizontal="left" vertical="center" indent="1"/>
    </xf>
    <xf numFmtId="0" fontId="12" fillId="11" borderId="0" xfId="3" applyFont="1" applyFill="1" applyAlignment="1">
      <alignment horizontal="right" vertical="center"/>
    </xf>
    <xf numFmtId="0" fontId="10" fillId="11" borderId="0" xfId="0" applyFont="1" applyFill="1" applyAlignment="1">
      <alignment horizontal="left" vertical="center" indent="1"/>
    </xf>
    <xf numFmtId="0" fontId="10" fillId="11" borderId="0" xfId="0" applyFont="1" applyFill="1" applyAlignment="1">
      <alignment vertical="center"/>
    </xf>
    <xf numFmtId="0" fontId="12" fillId="12" borderId="0" xfId="3" applyFont="1" applyFill="1" applyAlignment="1">
      <alignment horizontal="right" vertical="center"/>
    </xf>
    <xf numFmtId="0" fontId="10" fillId="12" borderId="0" xfId="0" applyFont="1" applyFill="1" applyAlignment="1">
      <alignment vertical="center"/>
    </xf>
    <xf numFmtId="0" fontId="0" fillId="15" borderId="7" xfId="0" applyBorder="1">
      <alignment vertical="center"/>
    </xf>
    <xf numFmtId="0" fontId="0" fillId="15" borderId="8" xfId="0" applyBorder="1">
      <alignment vertical="center"/>
    </xf>
    <xf numFmtId="0" fontId="9" fillId="13" borderId="0" xfId="0" applyFont="1" applyFill="1" applyAlignment="1">
      <alignment horizontal="left" vertical="center" indent="1"/>
    </xf>
    <xf numFmtId="0" fontId="6" fillId="8" borderId="11" xfId="0" applyFont="1" applyFill="1" applyBorder="1" applyAlignment="1">
      <alignment horizontal="left" vertical="center" indent="1"/>
    </xf>
    <xf numFmtId="0" fontId="0" fillId="8" borderId="9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5" fillId="15" borderId="3" xfId="1" applyFont="1" applyFill="1" applyBorder="1" applyAlignment="1"/>
    <xf numFmtId="0" fontId="0" fillId="15" borderId="0" xfId="0" applyFill="1" applyAlignment="1"/>
    <xf numFmtId="0" fontId="0" fillId="15" borderId="0" xfId="0" applyFill="1">
      <alignment vertical="center"/>
    </xf>
    <xf numFmtId="0" fontId="0" fillId="15" borderId="0" xfId="0" applyFill="1" applyAlignment="1">
      <alignment horizontal="right" vertical="center"/>
    </xf>
    <xf numFmtId="0" fontId="0" fillId="15" borderId="0" xfId="0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/>
    </xf>
    <xf numFmtId="0" fontId="0" fillId="8" borderId="10" xfId="0" applyFill="1" applyBorder="1" applyAlignment="1">
      <alignment horizontal="left" vertical="center" indent="1"/>
    </xf>
    <xf numFmtId="166" fontId="6" fillId="0" borderId="0" xfId="0" applyNumberFormat="1" applyFont="1" applyFill="1" applyBorder="1" applyAlignment="1">
      <alignment horizontal="right" vertical="center"/>
    </xf>
    <xf numFmtId="166" fontId="6" fillId="8" borderId="0" xfId="0" applyNumberFormat="1" applyFont="1" applyFill="1" applyBorder="1" applyAlignment="1">
      <alignment horizontal="right" vertical="center"/>
    </xf>
    <xf numFmtId="166" fontId="7" fillId="0" borderId="0" xfId="0" applyNumberFormat="1" applyFont="1" applyFill="1" applyBorder="1" applyAlignment="1">
      <alignment horizontal="right" vertical="center"/>
    </xf>
    <xf numFmtId="166" fontId="7" fillId="8" borderId="0" xfId="0" applyNumberFormat="1" applyFont="1" applyFill="1" applyBorder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166" fontId="0" fillId="13" borderId="0" xfId="0" applyNumberFormat="1" applyFill="1" applyAlignment="1">
      <alignment horizontal="right" vertical="center"/>
    </xf>
    <xf numFmtId="166" fontId="0" fillId="8" borderId="0" xfId="0" applyNumberFormat="1" applyFill="1" applyAlignment="1">
      <alignment horizontal="right" vertical="center"/>
    </xf>
    <xf numFmtId="166" fontId="0" fillId="9" borderId="0" xfId="0" applyNumberFormat="1" applyFill="1" applyAlignment="1">
      <alignment horizontal="right" vertical="center"/>
    </xf>
    <xf numFmtId="166" fontId="0" fillId="0" borderId="0" xfId="0" applyNumberFormat="1" applyFill="1" applyAlignment="1">
      <alignment horizontal="right" vertical="center"/>
    </xf>
    <xf numFmtId="166" fontId="0" fillId="10" borderId="0" xfId="0" applyNumberFormat="1" applyFill="1" applyAlignment="1">
      <alignment horizontal="right" vertical="center"/>
    </xf>
    <xf numFmtId="166" fontId="0" fillId="14" borderId="0" xfId="0" applyNumberFormat="1" applyFill="1" applyAlignment="1">
      <alignment horizontal="right" vertical="center"/>
    </xf>
    <xf numFmtId="166" fontId="10" fillId="12" borderId="0" xfId="0" applyNumberFormat="1" applyFont="1" applyFill="1" applyAlignment="1">
      <alignment horizontal="right" vertical="center"/>
    </xf>
    <xf numFmtId="166" fontId="10" fillId="11" borderId="0" xfId="0" applyNumberFormat="1" applyFont="1" applyFill="1" applyAlignment="1">
      <alignment horizontal="right" vertical="center"/>
    </xf>
    <xf numFmtId="0" fontId="0" fillId="15" borderId="0" xfId="0">
      <alignment vertical="center"/>
    </xf>
    <xf numFmtId="0" fontId="5" fillId="15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5" borderId="0" xfId="0" applyBorder="1">
      <alignment vertical="center"/>
    </xf>
    <xf numFmtId="0" fontId="0" fillId="15" borderId="0" xfId="0">
      <alignment vertical="center"/>
    </xf>
    <xf numFmtId="0" fontId="0" fillId="13" borderId="0" xfId="0" applyFill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9" fillId="15" borderId="3" xfId="0" applyFont="1" applyBorder="1" applyAlignment="1">
      <alignment horizontal="right" vertical="center"/>
    </xf>
    <xf numFmtId="0" fontId="30" fillId="15" borderId="3" xfId="0" applyFont="1" applyBorder="1" applyAlignment="1">
      <alignment horizontal="right" vertical="center"/>
    </xf>
    <xf numFmtId="0" fontId="0" fillId="15" borderId="18" xfId="0" applyBorder="1" applyAlignment="1">
      <alignment horizontal="right" vertical="center"/>
    </xf>
    <xf numFmtId="0" fontId="0" fillId="15" borderId="19" xfId="0" applyBorder="1">
      <alignment vertical="center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7" builtinId="4" customBuiltin="1"/>
    <cellStyle name="Moeda [0]" xfId="8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9" builtinId="5" customBuiltin="1"/>
    <cellStyle name="Ruim" xfId="12" builtinId="27" customBuiltin="1"/>
    <cellStyle name="Saída" xfId="15" builtinId="21" customBuiltin="1"/>
    <cellStyle name="Separador de milhares [0]" xfId="6" builtinId="6" customBuiltin="1"/>
    <cellStyle name="Texto de Aviso" xfId="19" builtinId="11" customBuiltin="1"/>
    <cellStyle name="Texto Explicativo" xfId="21" builtinId="53" customBuiltin="1"/>
    <cellStyle name="Título" xfId="10" builtinId="15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hidden="1" customBuiltin="1"/>
    <cellStyle name="Total" xfId="22" builtinId="25" customBuiltin="1"/>
    <cellStyle name="Vírgula" xfId="5" builtinId="3" customBuiltin="1"/>
  </cellStyles>
  <dxfs count="427"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ck">
          <color theme="5"/>
        </left>
        <right/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0"/>
      </font>
      <numFmt numFmtId="167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6" formatCode="&quot;R$&quot;\ 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fill>
        <patternFill patternType="solid">
          <fgColor indexed="64"/>
          <bgColor theme="1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family val="2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Gill Sans MT"/>
        <family val="2"/>
        <scheme val="major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7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</dxf>
    <dxf>
      <numFmt numFmtId="166" formatCode="&quot;R$&quot;\ #,##0.0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1" justifyLastLine="0" shrinkToFit="0" readingOrder="0"/>
      <border diagonalUp="0" diagonalDown="0">
        <left style="thick">
          <color theme="4"/>
        </left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5" tint="0.79998168889431442"/>
        </patternFill>
      </fill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6" formatCode="&quot;R$&quot;\ #,##0.0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numFmt numFmtId="166" formatCode="&quot;R$&quot;\ #,##0.00"/>
    </dxf>
    <dxf>
      <numFmt numFmtId="166" formatCode="&quot;R$&quot;\ #,##0.00"/>
      <fill>
        <patternFill patternType="solid">
          <fgColor indexed="64"/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bgColor auto="1"/>
        </patternFill>
      </fill>
    </dxf>
    <dxf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numFmt numFmtId="166" formatCode="&quot;R$&quot;\ #,##0.0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border>
        <top style="thin">
          <color theme="6" tint="-0.24994659260841701"/>
        </top>
      </border>
    </dxf>
    <dxf>
      <font>
        <b val="0"/>
        <i val="0"/>
        <color theme="6" tint="-0.499984740745262"/>
      </font>
      <border>
        <bottom style="thin">
          <color theme="6" tint="-0.24994659260841701"/>
        </bottom>
      </border>
    </dxf>
    <dxf>
      <font>
        <b val="0"/>
        <i val="0"/>
        <color theme="6" tint="-0.499984740745262"/>
      </font>
      <border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</dxf>
    <dxf>
      <font>
        <b val="0"/>
        <i val="0"/>
        <color theme="5" tint="-0.499984740745262"/>
      </font>
      <border>
        <top style="thin">
          <color theme="5" tint="-0.24994659260841701"/>
        </top>
      </border>
    </dxf>
    <dxf>
      <font>
        <b val="0"/>
        <i val="0"/>
        <color theme="5" tint="-0.499984740745262"/>
      </font>
      <border>
        <bottom style="thin">
          <color theme="5" tint="-0.24994659260841701"/>
        </bottom>
      </border>
    </dxf>
    <dxf>
      <font>
        <b val="0"/>
        <i val="0"/>
        <color theme="5" tint="-0.499984740745262"/>
      </font>
      <border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 patternType="solid">
          <fgColor theme="4" tint="0.79995117038483843"/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</dxf>
    <dxf>
      <font>
        <b val="0"/>
        <i val="0"/>
        <color theme="4" tint="-0.499984740745262"/>
      </font>
      <fill>
        <patternFill patternType="none">
          <bgColor auto="1"/>
        </patternFill>
      </fill>
      <border>
        <top style="thin">
          <color theme="4" tint="-0.24994659260841701"/>
        </top>
      </border>
    </dxf>
    <dxf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font>
        <b val="0"/>
        <i val="0"/>
        <color theme="4" tint="-0.499984740745262"/>
      </font>
      <border>
        <top style="thin">
          <color theme="4" tint="-0.24994659260841701"/>
        </top>
        <bottom style="thin">
          <color theme="4" tint="-0.24994659260841701"/>
        </bottom>
      </border>
    </dxf>
  </dxfs>
  <tableStyles count="3" defaultPivotStyle="PivotStyleLight16">
    <tableStyle name="Orçamento pessoal – receita" pivot="0" count="9" xr9:uid="{00000000-0011-0000-FFFF-FFFF00000000}">
      <tableStyleElement type="wholeTable" dxfId="426"/>
      <tableStyleElement type="headerRow" dxfId="425"/>
      <tableStyleElement type="totalRow" dxfId="424"/>
      <tableStyleElement type="firstColumn" dxfId="423"/>
      <tableStyleElement type="lastColumn" dxfId="422"/>
      <tableStyleElement type="firstRowStripe" dxfId="421"/>
      <tableStyleElement type="firstColumnStripe" dxfId="420"/>
      <tableStyleElement type="firstTotalCell" dxfId="419"/>
      <tableStyleElement type="lastTotalCell" dxfId="418"/>
    </tableStyle>
    <tableStyle name="Orçamento pessoal – despesas" pivot="0" count="9" xr9:uid="{00000000-0011-0000-FFFF-FFFF01000000}">
      <tableStyleElement type="wholeTable" dxfId="417"/>
      <tableStyleElement type="headerRow" dxfId="416"/>
      <tableStyleElement type="totalRow" dxfId="415"/>
      <tableStyleElement type="firstColumn" dxfId="414"/>
      <tableStyleElement type="lastColumn" dxfId="413"/>
      <tableStyleElement type="firstRowStripe" dxfId="412"/>
      <tableStyleElement type="firstColumnStripe" dxfId="411"/>
      <tableStyleElement type="firstTotalCell" dxfId="410"/>
      <tableStyleElement type="lastTotalCell" dxfId="409"/>
    </tableStyle>
    <tableStyle name="Orçamento Pessoal – Total" pivot="0" count="9" xr9:uid="{00000000-0011-0000-FFFF-FFFF02000000}">
      <tableStyleElement type="wholeTable" dxfId="408"/>
      <tableStyleElement type="headerRow" dxfId="407"/>
      <tableStyleElement type="totalRow" dxfId="406"/>
      <tableStyleElement type="firstColumn" dxfId="405"/>
      <tableStyleElement type="lastColumn" dxfId="404"/>
      <tableStyleElement type="firstRowStripe" dxfId="403"/>
      <tableStyleElement type="firstColumnStripe" dxfId="402"/>
      <tableStyleElement type="firstTotalCell" dxfId="401"/>
      <tableStyleElement type="lastTotalCell" dxfId="400"/>
    </tableStyle>
  </tableStyles>
  <colors>
    <mruColors>
      <color rgb="FFF7F7F7"/>
      <color rgb="FFF3F8FF"/>
      <color rgb="FFE6F8FA"/>
      <color rgb="FFEFF5FF"/>
      <color rgb="FFD6E8F6"/>
      <color rgb="FFE6E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342898</xdr:colOff>
      <xdr:row>1</xdr:row>
      <xdr:rowOff>95251</xdr:rowOff>
    </xdr:from>
    <xdr:to>
      <xdr:col>3</xdr:col>
      <xdr:colOff>238125</xdr:colOff>
      <xdr:row>2</xdr:row>
      <xdr:rowOff>66676</xdr:rowOff>
    </xdr:to>
    <xdr:sp macro="" textlink="">
      <xdr:nvSpPr>
        <xdr:cNvPr id="2" name="Caixa de texto 1">
          <a:extLst>
            <a:ext uri="{FF2B5EF4-FFF2-40B4-BE49-F238E27FC236}">
              <a16:creationId xmlns:a16="http://schemas.microsoft.com/office/drawing/2014/main" id="{A99E65D3-5F02-44CF-9457-DA345CF98CF4}"/>
            </a:ext>
          </a:extLst>
        </xdr:cNvPr>
        <xdr:cNvSpPr txBox="1"/>
      </xdr:nvSpPr>
      <xdr:spPr>
        <a:xfrm>
          <a:off x="342898" y="254001"/>
          <a:ext cx="4171555" cy="417909"/>
        </a:xfrm>
        <a:prstGeom prst="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2500" b="1">
              <a:solidFill>
                <a:schemeClr val="tx1"/>
              </a:solidFill>
              <a:latin typeface="Gill Sans MT" panose="020B0502020104020203" pitchFamily="34" charset="0"/>
            </a:rPr>
            <a:t>ORÇAMENTO PESSOAL</a:t>
          </a:r>
        </a:p>
      </xdr:txBody>
    </xdr:sp>
    <xdr:clientData/>
  </xdr:twoCellAnchor>
  <xdr:twoCellAnchor editAs="absolute">
    <xdr:from>
      <xdr:col>16</xdr:col>
      <xdr:colOff>19843</xdr:colOff>
      <xdr:row>1</xdr:row>
      <xdr:rowOff>188141</xdr:rowOff>
    </xdr:from>
    <xdr:to>
      <xdr:col>17</xdr:col>
      <xdr:colOff>9921</xdr:colOff>
      <xdr:row>2</xdr:row>
      <xdr:rowOff>9526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8DB6D2F-4C80-408C-A4C7-B9C2F6BEA823}"/>
            </a:ext>
          </a:extLst>
        </xdr:cNvPr>
        <xdr:cNvSpPr/>
      </xdr:nvSpPr>
      <xdr:spPr>
        <a:xfrm flipH="1">
          <a:off x="16549687" y="346891"/>
          <a:ext cx="932656" cy="26786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pt-br" sz="1200" b="1">
              <a:latin typeface="verdana" panose="020B0604030504040204" pitchFamily="34" charset="0"/>
            </a:rPr>
            <a:t>2023</a:t>
          </a:r>
        </a:p>
      </xdr:txBody>
    </xdr:sp>
    <xdr:clientData/>
  </xdr:twoCellAnchor>
  <xdr:twoCellAnchor editAs="oneCell">
    <xdr:from>
      <xdr:col>10</xdr:col>
      <xdr:colOff>107084</xdr:colOff>
      <xdr:row>0</xdr:row>
      <xdr:rowOff>31749</xdr:rowOff>
    </xdr:from>
    <xdr:to>
      <xdr:col>10</xdr:col>
      <xdr:colOff>1011237</xdr:colOff>
      <xdr:row>2</xdr:row>
      <xdr:rowOff>107795</xdr:rowOff>
    </xdr:to>
    <xdr:pic>
      <xdr:nvPicPr>
        <xdr:cNvPr id="9" name="Imagem 8" descr="DCI - Diretoria de Comunicação Institucional">
          <a:extLst>
            <a:ext uri="{FF2B5EF4-FFF2-40B4-BE49-F238E27FC236}">
              <a16:creationId xmlns:a16="http://schemas.microsoft.com/office/drawing/2014/main" id="{899BCD2E-D66B-4CF5-9F92-39B18B2A2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5120" y="31749"/>
          <a:ext cx="904153" cy="685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Renda" displayName="tblRenda" ref="C6:Q10" totalsRowCount="1" headerRowDxfId="398" dataDxfId="397" totalsRowDxfId="396">
  <autoFilter ref="C6:Q9" xr:uid="{00000000-0009-0000-0100-000001000000}"/>
  <tableColumns count="15">
    <tableColumn id="1" xr3:uid="{00000000-0010-0000-0000-000001000000}" name="RENDA" totalsRowLabel="Total" totalsRowDxfId="149"/>
    <tableColumn id="2" xr3:uid="{00000000-0010-0000-0000-000002000000}" name="Jan" totalsRowFunction="sum" dataDxfId="395" totalsRowDxfId="148"/>
    <tableColumn id="3" xr3:uid="{00000000-0010-0000-0000-000003000000}" name="Fev" totalsRowFunction="sum" dataDxfId="394" totalsRowDxfId="147"/>
    <tableColumn id="4" xr3:uid="{00000000-0010-0000-0000-000004000000}" name="Março" totalsRowFunction="sum" dataDxfId="393" totalsRowDxfId="146"/>
    <tableColumn id="5" xr3:uid="{00000000-0010-0000-0000-000005000000}" name="Abr" totalsRowFunction="sum" dataDxfId="392" totalsRowDxfId="145"/>
    <tableColumn id="6" xr3:uid="{00000000-0010-0000-0000-000006000000}" name="Maio" totalsRowFunction="sum" dataDxfId="391" totalsRowDxfId="144"/>
    <tableColumn id="7" xr3:uid="{00000000-0010-0000-0000-000007000000}" name="Jun" totalsRowFunction="sum" dataDxfId="390" totalsRowDxfId="143"/>
    <tableColumn id="8" xr3:uid="{00000000-0010-0000-0000-000008000000}" name="Julho" totalsRowFunction="sum" dataDxfId="389" totalsRowDxfId="142"/>
    <tableColumn id="9" xr3:uid="{00000000-0010-0000-0000-000009000000}" name="Ago" totalsRowFunction="sum" dataDxfId="388" totalsRowDxfId="141"/>
    <tableColumn id="10" xr3:uid="{00000000-0010-0000-0000-00000A000000}" name="Set" totalsRowFunction="sum" dataDxfId="387" totalsRowDxfId="140"/>
    <tableColumn id="11" xr3:uid="{00000000-0010-0000-0000-00000B000000}" name="Out" totalsRowFunction="sum" dataDxfId="386" totalsRowDxfId="139"/>
    <tableColumn id="12" xr3:uid="{00000000-0010-0000-0000-00000C000000}" name="Nov" totalsRowFunction="sum" dataDxfId="385" totalsRowDxfId="138"/>
    <tableColumn id="13" xr3:uid="{00000000-0010-0000-0000-00000D000000}" name="Dez" totalsRowFunction="sum" dataDxfId="384" totalsRowDxfId="137"/>
    <tableColumn id="14" xr3:uid="{00000000-0010-0000-0000-00000E000000}" name="Ano" totalsRowFunction="sum" dataDxfId="383" totalsRowDxfId="136">
      <calculatedColumnFormula>SUM(tblRenda[[#This Row],[Jan]:[Dez]])</calculatedColumnFormula>
    </tableColumn>
    <tableColumn id="15" xr3:uid="{00000000-0010-0000-0000-00000F000000}" name="Coluna1" dataDxfId="382" totalsRowDxfId="135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Income" altTextSummary="Insira sua receita para o ano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Pessoal" displayName="tabPessoal" ref="C89:Q94" totalsRowCount="1" headerRowDxfId="234" dataDxfId="233" totalsRowDxfId="232">
  <autoFilter ref="C89:Q93" xr:uid="{00000000-0009-0000-0100-00000A000000}"/>
  <tableColumns count="15">
    <tableColumn id="1" xr3:uid="{00000000-0010-0000-0900-000001000000}" name="Pessoal" totalsRowLabel="Total" dataDxfId="231" totalsRowDxfId="29"/>
    <tableColumn id="2" xr3:uid="{00000000-0010-0000-0900-000002000000}" name="Jan" totalsRowFunction="sum" dataDxfId="230" totalsRowDxfId="28"/>
    <tableColumn id="3" xr3:uid="{00000000-0010-0000-0900-000003000000}" name="Fev" totalsRowFunction="sum" dataDxfId="229" totalsRowDxfId="27"/>
    <tableColumn id="4" xr3:uid="{00000000-0010-0000-0900-000004000000}" name="Março" totalsRowFunction="sum" dataDxfId="228" totalsRowDxfId="26"/>
    <tableColumn id="5" xr3:uid="{00000000-0010-0000-0900-000005000000}" name="Abr" totalsRowFunction="sum" dataDxfId="227" totalsRowDxfId="25"/>
    <tableColumn id="6" xr3:uid="{00000000-0010-0000-0900-000006000000}" name="Mai" totalsRowFunction="sum" dataDxfId="226" totalsRowDxfId="24"/>
    <tableColumn id="7" xr3:uid="{00000000-0010-0000-0900-000007000000}" name="Jun" totalsRowFunction="sum" dataDxfId="225" totalsRowDxfId="23"/>
    <tableColumn id="8" xr3:uid="{00000000-0010-0000-0900-000008000000}" name="Julho" totalsRowFunction="sum" dataDxfId="224" totalsRowDxfId="22"/>
    <tableColumn id="9" xr3:uid="{00000000-0010-0000-0900-000009000000}" name="Ago" totalsRowFunction="sum" dataDxfId="223" totalsRowDxfId="21"/>
    <tableColumn id="10" xr3:uid="{00000000-0010-0000-0900-00000A000000}" name="Set" totalsRowFunction="sum" dataDxfId="222" totalsRowDxfId="20"/>
    <tableColumn id="11" xr3:uid="{00000000-0010-0000-0900-00000B000000}" name="Out" totalsRowFunction="sum" dataDxfId="221" totalsRowDxfId="19"/>
    <tableColumn id="12" xr3:uid="{00000000-0010-0000-0900-00000C000000}" name="Nov" totalsRowFunction="sum" dataDxfId="220" totalsRowDxfId="18"/>
    <tableColumn id="13" xr3:uid="{00000000-0010-0000-0900-00000D000000}" name="Dez" totalsRowFunction="sum" dataDxfId="219" totalsRowDxfId="17"/>
    <tableColumn id="14" xr3:uid="{00000000-0010-0000-0900-00000E000000}" name="Ano" totalsRowFunction="sum" dataDxfId="218" totalsRowDxfId="16">
      <calculatedColumnFormula>SUM(tabPessoal[[#This Row],[Jan]:[Dez]])</calculatedColumnFormula>
    </tableColumn>
    <tableColumn id="15" xr3:uid="{00000000-0010-0000-0900-00000F000000}" name="Coluna1" dataDxfId="217" totalsRowDxfId="15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Personal Expenses" altTextSummary="Insira suas despesas pessoais para o ano, separadas por mês.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blFinanceiro" displayName="tblFinanceiro" ref="C98:Q102" totalsRowCount="1" headerRowDxfId="216" dataDxfId="215" totalsRowDxfId="214">
  <autoFilter ref="C98:Q101" xr:uid="{00000000-0009-0000-0100-00000B000000}"/>
  <tableColumns count="15">
    <tableColumn id="1" xr3:uid="{00000000-0010-0000-0A00-000001000000}" name="Obrigações financeiras" totalsRowLabel="Total" dataDxfId="213" totalsRowDxfId="14"/>
    <tableColumn id="2" xr3:uid="{00000000-0010-0000-0A00-000002000000}" name="Jan" totalsRowFunction="sum" dataDxfId="212" totalsRowDxfId="13"/>
    <tableColumn id="3" xr3:uid="{00000000-0010-0000-0A00-000003000000}" name="Fev" totalsRowFunction="sum" dataDxfId="211" totalsRowDxfId="12"/>
    <tableColumn id="4" xr3:uid="{00000000-0010-0000-0A00-000004000000}" name="Março" totalsRowFunction="sum" dataDxfId="210" totalsRowDxfId="11"/>
    <tableColumn id="5" xr3:uid="{00000000-0010-0000-0A00-000005000000}" name="Abr" totalsRowFunction="sum" dataDxfId="209" totalsRowDxfId="10"/>
    <tableColumn id="6" xr3:uid="{00000000-0010-0000-0A00-000006000000}" name="Mai" totalsRowFunction="sum" dataDxfId="208" totalsRowDxfId="9"/>
    <tableColumn id="7" xr3:uid="{00000000-0010-0000-0A00-000007000000}" name="Jun" totalsRowFunction="sum" dataDxfId="207" totalsRowDxfId="8"/>
    <tableColumn id="8" xr3:uid="{00000000-0010-0000-0A00-000008000000}" name="Julho" totalsRowFunction="sum" dataDxfId="206" totalsRowDxfId="7"/>
    <tableColumn id="9" xr3:uid="{00000000-0010-0000-0A00-000009000000}" name="Ago" totalsRowFunction="sum" dataDxfId="205" totalsRowDxfId="6"/>
    <tableColumn id="10" xr3:uid="{00000000-0010-0000-0A00-00000A000000}" name="Set" totalsRowFunction="sum" dataDxfId="204" totalsRowDxfId="5"/>
    <tableColumn id="11" xr3:uid="{00000000-0010-0000-0A00-00000B000000}" name="Out" totalsRowFunction="sum" dataDxfId="203" totalsRowDxfId="4"/>
    <tableColumn id="12" xr3:uid="{00000000-0010-0000-0A00-00000C000000}" name="Nov" totalsRowFunction="sum" dataDxfId="202" totalsRowDxfId="3"/>
    <tableColumn id="13" xr3:uid="{00000000-0010-0000-0A00-00000D000000}" name="Dez" totalsRowFunction="sum" dataDxfId="201" totalsRowDxfId="2"/>
    <tableColumn id="14" xr3:uid="{00000000-0010-0000-0A00-00000E000000}" name="Ano" totalsRowFunction="sum" dataDxfId="200" totalsRowDxfId="1">
      <calculatedColumnFormula>SUM(tblFinanceiro[[#This Row],[Jan]:[Dez]])</calculatedColumnFormula>
    </tableColumn>
    <tableColumn id="15" xr3:uid="{00000000-0010-0000-0A00-00000F000000}" name="Coluna1" dataDxfId="199" totalsRowDxfId="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Financial Expenses" altTextSummary="Insira suas despesas financeiras para o ano, separadas por mês.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blDiversos" displayName="tblDiversos" ref="C106:Q112" totalsRowCount="1" headerRowDxfId="198" dataDxfId="197" totalsRowDxfId="196">
  <autoFilter ref="C106:Q111" xr:uid="{00000000-0009-0000-0100-00000C000000}"/>
  <tableColumns count="15">
    <tableColumn id="1" xr3:uid="{00000000-0010-0000-0B00-000001000000}" name="Pagamentos diversos" totalsRowLabel="Total" totalsRowDxfId="195"/>
    <tableColumn id="2" xr3:uid="{00000000-0010-0000-0B00-000002000000}" name="Jan" totalsRowFunction="sum" dataDxfId="194" totalsRowDxfId="193"/>
    <tableColumn id="3" xr3:uid="{00000000-0010-0000-0B00-000003000000}" name="Fev" totalsRowFunction="sum" dataDxfId="192" totalsRowDxfId="191"/>
    <tableColumn id="4" xr3:uid="{00000000-0010-0000-0B00-000004000000}" name="Março" totalsRowFunction="sum" dataDxfId="190" totalsRowDxfId="189"/>
    <tableColumn id="5" xr3:uid="{00000000-0010-0000-0B00-000005000000}" name="Abr" totalsRowFunction="sum" dataDxfId="188" totalsRowDxfId="187"/>
    <tableColumn id="6" xr3:uid="{00000000-0010-0000-0B00-000006000000}" name="Maio" totalsRowFunction="sum" dataDxfId="186" totalsRowDxfId="185"/>
    <tableColumn id="7" xr3:uid="{00000000-0010-0000-0B00-000007000000}" name="Jun" totalsRowFunction="sum" dataDxfId="184" totalsRowDxfId="183"/>
    <tableColumn id="8" xr3:uid="{00000000-0010-0000-0B00-000008000000}" name="Julho" totalsRowFunction="sum" dataDxfId="182" totalsRowDxfId="181"/>
    <tableColumn id="9" xr3:uid="{00000000-0010-0000-0B00-000009000000}" name="Ago" totalsRowFunction="sum" dataDxfId="180" totalsRowDxfId="179"/>
    <tableColumn id="10" xr3:uid="{00000000-0010-0000-0B00-00000A000000}" name="Set" totalsRowFunction="sum" dataDxfId="178" totalsRowDxfId="177"/>
    <tableColumn id="11" xr3:uid="{00000000-0010-0000-0B00-00000B000000}" name="Out" totalsRowFunction="sum" dataDxfId="176" totalsRowDxfId="175"/>
    <tableColumn id="12" xr3:uid="{00000000-0010-0000-0B00-00000C000000}" name="Nov" totalsRowFunction="sum" dataDxfId="174" totalsRowDxfId="173"/>
    <tableColumn id="13" xr3:uid="{00000000-0010-0000-0B00-00000D000000}" name="Dez" totalsRowFunction="sum" dataDxfId="172" totalsRowDxfId="171"/>
    <tableColumn id="14" xr3:uid="{00000000-0010-0000-0B00-00000E000000}" name="Ano" totalsRowFunction="sum" dataDxfId="170" totalsRowDxfId="169">
      <calculatedColumnFormula>SUM(tblDiversos[[#This Row],[Jan]:[Dez]])</calculatedColumnFormula>
    </tableColumn>
    <tableColumn id="15" xr3:uid="{00000000-0010-0000-0B00-00000F000000}" name="Coluna1" dataDxfId="168" totalsRowDxfId="167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Misc Expenses" altTextSummary="Insira suas despesas diversas para o ano, separadas por mês.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blTotais" displayName="tblTotais" ref="C115:Q117" totalsRowShown="0" headerRowDxfId="166" dataDxfId="165">
  <tableColumns count="15">
    <tableColumn id="1" xr3:uid="{00000000-0010-0000-0C00-000001000000}" name="TOTAIS" dataDxfId="164"/>
    <tableColumn id="2" xr3:uid="{00000000-0010-0000-0C00-000002000000}" name="JAN" dataDxfId="163">
      <calculatedColumnFormula>tblRenda[[#Totals],[Jan]]-D115</calculatedColumnFormula>
    </tableColumn>
    <tableColumn id="3" xr3:uid="{00000000-0010-0000-0C00-000003000000}" name="FEV" dataDxfId="162">
      <calculatedColumnFormula>tblRenda[[#Totals],[Fev]]-E115</calculatedColumnFormula>
    </tableColumn>
    <tableColumn id="4" xr3:uid="{00000000-0010-0000-0C00-000004000000}" name="MAR" dataDxfId="161">
      <calculatedColumnFormula>tblRenda[[#Totals],[Março]]-F115</calculatedColumnFormula>
    </tableColumn>
    <tableColumn id="5" xr3:uid="{00000000-0010-0000-0C00-000005000000}" name="ABR" dataDxfId="160">
      <calculatedColumnFormula>tblRenda[[#Totals],[Abr]]-G115</calculatedColumnFormula>
    </tableColumn>
    <tableColumn id="6" xr3:uid="{00000000-0010-0000-0C00-000006000000}" name="MAIO" dataDxfId="159">
      <calculatedColumnFormula>tblRenda[[#Totals],[Maio]]-H115</calculatedColumnFormula>
    </tableColumn>
    <tableColumn id="7" xr3:uid="{00000000-0010-0000-0C00-000007000000}" name="JUN" dataDxfId="158">
      <calculatedColumnFormula>tblRenda[[#Totals],[Jun]]-I115</calculatedColumnFormula>
    </tableColumn>
    <tableColumn id="8" xr3:uid="{00000000-0010-0000-0C00-000008000000}" name="JUL" dataDxfId="157">
      <calculatedColumnFormula>tblRenda[[#Totals],[Julho]]-J115</calculatedColumnFormula>
    </tableColumn>
    <tableColumn id="9" xr3:uid="{00000000-0010-0000-0C00-000009000000}" name="AGO" dataDxfId="156">
      <calculatedColumnFormula>tblRenda[[#Totals],[Ago]]-K115</calculatedColumnFormula>
    </tableColumn>
    <tableColumn id="10" xr3:uid="{00000000-0010-0000-0C00-00000A000000}" name="SET" dataDxfId="155">
      <calculatedColumnFormula>tblRenda[[#Totals],[Set]]-L115</calculatedColumnFormula>
    </tableColumn>
    <tableColumn id="11" xr3:uid="{00000000-0010-0000-0C00-00000B000000}" name="OUT" dataDxfId="154">
      <calculatedColumnFormula>tblRenda[[#Totals],[Out]]-M115</calculatedColumnFormula>
    </tableColumn>
    <tableColumn id="12" xr3:uid="{00000000-0010-0000-0C00-00000C000000}" name="NOV" dataDxfId="153">
      <calculatedColumnFormula>tblRenda[[#Totals],[Nov]]-N115</calculatedColumnFormula>
    </tableColumn>
    <tableColumn id="13" xr3:uid="{00000000-0010-0000-0C00-00000D000000}" name="DEZ" dataDxfId="152">
      <calculatedColumnFormula>tblRenda[[#Totals],[Dez]]-O115</calculatedColumnFormula>
    </tableColumn>
    <tableColumn id="14" xr3:uid="{00000000-0010-0000-0C00-00000E000000}" name="ANO" dataDxfId="151">
      <calculatedColumnFormula>tblRenda[[#Totals],[Ano]]-P115</calculatedColumnFormula>
    </tableColumn>
    <tableColumn id="15" xr3:uid="{00000000-0010-0000-0C00-00000F000000}" name=" " dataDxfId="150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="Totals" altTextSummary="Exibir os totais para o ano, separados por mê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Casa" displayName="tblCasa" ref="C15:Q21" totalsRowCount="1" headerRowDxfId="381" dataDxfId="380" totalsRowDxfId="379">
  <autoFilter ref="C15:Q20" xr:uid="{00000000-0009-0000-0100-000002000000}"/>
  <tableColumns count="15">
    <tableColumn id="1" xr3:uid="{00000000-0010-0000-0100-000001000000}" name="Casa" totalsRowLabel="Total" totalsRowDxfId="134"/>
    <tableColumn id="2" xr3:uid="{00000000-0010-0000-0100-000002000000}" name="Jan" totalsRowFunction="sum" dataDxfId="378" totalsRowDxfId="133"/>
    <tableColumn id="3" xr3:uid="{00000000-0010-0000-0100-000003000000}" name="Fev" totalsRowFunction="sum" dataDxfId="377" totalsRowDxfId="132"/>
    <tableColumn id="4" xr3:uid="{00000000-0010-0000-0100-000004000000}" name="Março" totalsRowFunction="sum" dataDxfId="376" totalsRowDxfId="131"/>
    <tableColumn id="5" xr3:uid="{00000000-0010-0000-0100-000005000000}" name="Abr" totalsRowFunction="sum" dataDxfId="375" totalsRowDxfId="130"/>
    <tableColumn id="6" xr3:uid="{00000000-0010-0000-0100-000006000000}" name="Mai" totalsRowFunction="sum" dataDxfId="374" totalsRowDxfId="129"/>
    <tableColumn id="7" xr3:uid="{00000000-0010-0000-0100-000007000000}" name="Jun" totalsRowFunction="sum" dataDxfId="373" totalsRowDxfId="128"/>
    <tableColumn id="8" xr3:uid="{00000000-0010-0000-0100-000008000000}" name="Julho" totalsRowFunction="sum" dataDxfId="372" totalsRowDxfId="127"/>
    <tableColumn id="9" xr3:uid="{00000000-0010-0000-0100-000009000000}" name="Ago" totalsRowFunction="sum" dataDxfId="371" totalsRowDxfId="126"/>
    <tableColumn id="10" xr3:uid="{00000000-0010-0000-0100-00000A000000}" name="Set" totalsRowFunction="sum" dataDxfId="370" totalsRowDxfId="125"/>
    <tableColumn id="11" xr3:uid="{00000000-0010-0000-0100-00000B000000}" name="Out" totalsRowFunction="sum" dataDxfId="369" totalsRowDxfId="124"/>
    <tableColumn id="12" xr3:uid="{00000000-0010-0000-0100-00000C000000}" name="Nov" totalsRowFunction="sum" dataDxfId="368" totalsRowDxfId="123"/>
    <tableColumn id="13" xr3:uid="{00000000-0010-0000-0100-00000D000000}" name="Dez" totalsRowFunction="sum" dataDxfId="367" totalsRowDxfId="122"/>
    <tableColumn id="14" xr3:uid="{00000000-0010-0000-0100-00000E000000}" name="Ano" totalsRowFunction="sum" dataDxfId="366" totalsRowDxfId="121">
      <calculatedColumnFormula>SUM(tblCasa[[#This Row],[Jan]:[Dez]])</calculatedColumnFormula>
    </tableColumn>
    <tableColumn id="15" xr3:uid="{00000000-0010-0000-0100-00000F000000}" name="Coluna1" totalsRowDxfId="12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Home Expenses" altTextSummary="Insira suas despesas de casa para o ano, separadas por mê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Diárias" displayName="tblDiárias" ref="C25:Q30" totalsRowCount="1" headerRowDxfId="365" dataDxfId="364" totalsRowDxfId="363">
  <autoFilter ref="C25:Q29" xr:uid="{00000000-0009-0000-0100-000003000000}"/>
  <tableColumns count="15">
    <tableColumn id="1" xr3:uid="{00000000-0010-0000-0200-000001000000}" name="Cotidiano" totalsRowLabel="Total" totalsRowDxfId="119"/>
    <tableColumn id="2" xr3:uid="{00000000-0010-0000-0200-000002000000}" name="Jan" totalsRowFunction="sum" dataDxfId="362" totalsRowDxfId="118"/>
    <tableColumn id="3" xr3:uid="{00000000-0010-0000-0200-000003000000}" name="Fev" totalsRowFunction="sum" dataDxfId="361" totalsRowDxfId="117"/>
    <tableColumn id="4" xr3:uid="{00000000-0010-0000-0200-000004000000}" name="Março" totalsRowFunction="sum" dataDxfId="360" totalsRowDxfId="116"/>
    <tableColumn id="5" xr3:uid="{00000000-0010-0000-0200-000005000000}" name="Abr" totalsRowFunction="sum" dataDxfId="359" totalsRowDxfId="115"/>
    <tableColumn id="6" xr3:uid="{00000000-0010-0000-0200-000006000000}" name="Mai" totalsRowFunction="sum" dataDxfId="358" totalsRowDxfId="114"/>
    <tableColumn id="7" xr3:uid="{00000000-0010-0000-0200-000007000000}" name="Jun" totalsRowFunction="sum" dataDxfId="357" totalsRowDxfId="113"/>
    <tableColumn id="8" xr3:uid="{00000000-0010-0000-0200-000008000000}" name="Julho" totalsRowFunction="sum" dataDxfId="356" totalsRowDxfId="112"/>
    <tableColumn id="9" xr3:uid="{00000000-0010-0000-0200-000009000000}" name="Ago" totalsRowFunction="sum" dataDxfId="355" totalsRowDxfId="111"/>
    <tableColumn id="10" xr3:uid="{00000000-0010-0000-0200-00000A000000}" name="Set" totalsRowFunction="sum" dataDxfId="354" totalsRowDxfId="110"/>
    <tableColumn id="11" xr3:uid="{00000000-0010-0000-0200-00000B000000}" name="Out" totalsRowFunction="sum" dataDxfId="353" totalsRowDxfId="109"/>
    <tableColumn id="12" xr3:uid="{00000000-0010-0000-0200-00000C000000}" name="Nov" totalsRowFunction="sum" dataDxfId="352" totalsRowDxfId="108"/>
    <tableColumn id="13" xr3:uid="{00000000-0010-0000-0200-00000D000000}" name="Dez" totalsRowFunction="sum" dataDxfId="351" totalsRowDxfId="107"/>
    <tableColumn id="14" xr3:uid="{00000000-0010-0000-0200-00000E000000}" name="Ano" totalsRowFunction="sum" dataDxfId="350" totalsRowDxfId="106">
      <calculatedColumnFormula>SUM(tblDiárias[[#This Row],[Jan]:[Dez]])</calculatedColumnFormula>
    </tableColumn>
    <tableColumn id="15" xr3:uid="{00000000-0010-0000-0200-00000F000000}" name="Coluna1" totalsRowDxfId="105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Daily Living Expenses" altTextSummary="Insira as suas despesas diárias para o ano, separadas por mê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Transporte" displayName="tblTransporte" ref="C34:Q39" totalsRowCount="1" headerRowDxfId="349" dataDxfId="348" totalsRowDxfId="347">
  <autoFilter ref="C34:Q38" xr:uid="{00000000-0009-0000-0100-000004000000}"/>
  <tableColumns count="15">
    <tableColumn id="1" xr3:uid="{00000000-0010-0000-0300-000001000000}" name="Transporte" totalsRowLabel="Total" totalsRowDxfId="104"/>
    <tableColumn id="2" xr3:uid="{00000000-0010-0000-0300-000002000000}" name="Jan" totalsRowFunction="sum" dataDxfId="346" totalsRowDxfId="103"/>
    <tableColumn id="3" xr3:uid="{00000000-0010-0000-0300-000003000000}" name="Fev" totalsRowFunction="sum" dataDxfId="345" totalsRowDxfId="102"/>
    <tableColumn id="4" xr3:uid="{00000000-0010-0000-0300-000004000000}" name="Março" totalsRowFunction="sum" dataDxfId="344" totalsRowDxfId="101"/>
    <tableColumn id="5" xr3:uid="{00000000-0010-0000-0300-000005000000}" name="Abr" totalsRowFunction="sum" dataDxfId="343" totalsRowDxfId="100"/>
    <tableColumn id="6" xr3:uid="{00000000-0010-0000-0300-000006000000}" name="Mai" totalsRowFunction="sum" dataDxfId="342" totalsRowDxfId="99"/>
    <tableColumn id="7" xr3:uid="{00000000-0010-0000-0300-000007000000}" name="Jun" totalsRowFunction="sum" dataDxfId="341" totalsRowDxfId="98"/>
    <tableColumn id="8" xr3:uid="{00000000-0010-0000-0300-000008000000}" name="Julho" totalsRowFunction="sum" dataDxfId="340" totalsRowDxfId="97"/>
    <tableColumn id="9" xr3:uid="{00000000-0010-0000-0300-000009000000}" name="Ago" totalsRowFunction="sum" dataDxfId="339" totalsRowDxfId="96"/>
    <tableColumn id="10" xr3:uid="{00000000-0010-0000-0300-00000A000000}" name="Set" totalsRowFunction="sum" dataDxfId="338" totalsRowDxfId="95"/>
    <tableColumn id="11" xr3:uid="{00000000-0010-0000-0300-00000B000000}" name="Out" totalsRowFunction="sum" dataDxfId="337" totalsRowDxfId="94"/>
    <tableColumn id="12" xr3:uid="{00000000-0010-0000-0300-00000C000000}" name="Nov" totalsRowFunction="sum" dataDxfId="336" totalsRowDxfId="93"/>
    <tableColumn id="13" xr3:uid="{00000000-0010-0000-0300-00000D000000}" name="Dez" totalsRowFunction="sum" dataDxfId="335" totalsRowDxfId="92"/>
    <tableColumn id="14" xr3:uid="{00000000-0010-0000-0300-00000E000000}" name="Ano" totalsRowFunction="sum" dataDxfId="334" totalsRowDxfId="91">
      <calculatedColumnFormula>SUM(tblTransporte[[#This Row],[Jan]:[Dez]])</calculatedColumnFormula>
    </tableColumn>
    <tableColumn id="15" xr3:uid="{00000000-0010-0000-0300-00000F000000}" name="Coluna1" totalsRowDxfId="9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Transportation expenses" altTextSummary="Insira suas despesas de transporte para o ano, separadas por mês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Entretenimento" displayName="tblEntretenimento" ref="C43:Q49" totalsRowCount="1" headerRowDxfId="333" dataDxfId="332" totalsRowDxfId="331">
  <autoFilter ref="C43:Q48" xr:uid="{00000000-0009-0000-0100-000005000000}"/>
  <tableColumns count="15">
    <tableColumn id="1" xr3:uid="{00000000-0010-0000-0400-000001000000}" name="Entretenimento" totalsRowLabel="Total" totalsRowDxfId="89"/>
    <tableColumn id="2" xr3:uid="{00000000-0010-0000-0400-000002000000}" name="Jan" totalsRowFunction="sum" dataDxfId="330" totalsRowDxfId="88"/>
    <tableColumn id="3" xr3:uid="{00000000-0010-0000-0400-000003000000}" name="Fev" totalsRowFunction="sum" dataDxfId="329" totalsRowDxfId="87"/>
    <tableColumn id="4" xr3:uid="{00000000-0010-0000-0400-000004000000}" name="Março" totalsRowFunction="sum" dataDxfId="328" totalsRowDxfId="86"/>
    <tableColumn id="5" xr3:uid="{00000000-0010-0000-0400-000005000000}" name="Abr" totalsRowFunction="sum" dataDxfId="327" totalsRowDxfId="85"/>
    <tableColumn id="6" xr3:uid="{00000000-0010-0000-0400-000006000000}" name="Mai" totalsRowFunction="sum" dataDxfId="326" totalsRowDxfId="84"/>
    <tableColumn id="7" xr3:uid="{00000000-0010-0000-0400-000007000000}" name="Jun" totalsRowFunction="sum" dataDxfId="325" totalsRowDxfId="83"/>
    <tableColumn id="8" xr3:uid="{00000000-0010-0000-0400-000008000000}" name="Julho" totalsRowFunction="sum" dataDxfId="324" totalsRowDxfId="82"/>
    <tableColumn id="9" xr3:uid="{00000000-0010-0000-0400-000009000000}" name="Ago" totalsRowFunction="sum" dataDxfId="323" totalsRowDxfId="81"/>
    <tableColumn id="10" xr3:uid="{00000000-0010-0000-0400-00000A000000}" name="Set" totalsRowFunction="sum" dataDxfId="322" totalsRowDxfId="80"/>
    <tableColumn id="11" xr3:uid="{00000000-0010-0000-0400-00000B000000}" name="Out" totalsRowFunction="sum" dataDxfId="321" totalsRowDxfId="79"/>
    <tableColumn id="12" xr3:uid="{00000000-0010-0000-0400-00000C000000}" name="Nov" totalsRowFunction="sum" dataDxfId="320" totalsRowDxfId="78"/>
    <tableColumn id="13" xr3:uid="{00000000-0010-0000-0400-00000D000000}" name="Dez" totalsRowFunction="sum" dataDxfId="319" totalsRowDxfId="77"/>
    <tableColumn id="14" xr3:uid="{00000000-0010-0000-0400-00000E000000}" name="Ano" totalsRowFunction="sum" dataDxfId="318" totalsRowDxfId="76">
      <calculatedColumnFormula>SUM(tblEntretenimento[[#This Row],[Jan]:[Dez]])</calculatedColumnFormula>
    </tableColumn>
    <tableColumn id="15" xr3:uid="{00000000-0010-0000-0400-00000F000000}" name="Coluna1" totalsRowDxfId="75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Entertainment Expenses" altTextSummary="Insira suas despesas de entretenimento para o ano, separadas por mês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Saúde" displayName="tblSaúde" ref="C53:Q59" totalsRowCount="1" headerRowDxfId="317" dataDxfId="316" totalsRowDxfId="315">
  <autoFilter ref="C53:Q58" xr:uid="{00000000-0009-0000-0100-000006000000}"/>
  <tableColumns count="15">
    <tableColumn id="1" xr3:uid="{00000000-0010-0000-0500-000001000000}" name="Saúde" totalsRowLabel="Total" totalsRowDxfId="74"/>
    <tableColumn id="2" xr3:uid="{00000000-0010-0000-0500-000002000000}" name="Jan" totalsRowFunction="sum" dataDxfId="314" totalsRowDxfId="73"/>
    <tableColumn id="3" xr3:uid="{00000000-0010-0000-0500-000003000000}" name="Fev" totalsRowFunction="sum" dataDxfId="313" totalsRowDxfId="72"/>
    <tableColumn id="4" xr3:uid="{00000000-0010-0000-0500-000004000000}" name="Março" totalsRowFunction="sum" dataDxfId="312" totalsRowDxfId="71"/>
    <tableColumn id="5" xr3:uid="{00000000-0010-0000-0500-000005000000}" name="Abr" totalsRowFunction="sum" dataDxfId="311" totalsRowDxfId="70"/>
    <tableColumn id="6" xr3:uid="{00000000-0010-0000-0500-000006000000}" name="Mai" totalsRowFunction="sum" dataDxfId="310" totalsRowDxfId="69"/>
    <tableColumn id="7" xr3:uid="{00000000-0010-0000-0500-000007000000}" name="Jun" totalsRowFunction="sum" dataDxfId="309" totalsRowDxfId="68"/>
    <tableColumn id="8" xr3:uid="{00000000-0010-0000-0500-000008000000}" name="Julho" totalsRowFunction="sum" dataDxfId="308" totalsRowDxfId="67"/>
    <tableColumn id="9" xr3:uid="{00000000-0010-0000-0500-000009000000}" name="Ago" totalsRowFunction="sum" dataDxfId="307" totalsRowDxfId="66"/>
    <tableColumn id="10" xr3:uid="{00000000-0010-0000-0500-00000A000000}" name="Set" totalsRowFunction="sum" dataDxfId="306" totalsRowDxfId="65"/>
    <tableColumn id="11" xr3:uid="{00000000-0010-0000-0500-00000B000000}" name="Out" totalsRowFunction="sum" dataDxfId="305" totalsRowDxfId="64"/>
    <tableColumn id="12" xr3:uid="{00000000-0010-0000-0500-00000C000000}" name="Nov" totalsRowFunction="sum" dataDxfId="304" totalsRowDxfId="63"/>
    <tableColumn id="13" xr3:uid="{00000000-0010-0000-0500-00000D000000}" name="Dez" totalsRowFunction="sum" dataDxfId="303" totalsRowDxfId="62"/>
    <tableColumn id="14" xr3:uid="{00000000-0010-0000-0500-00000E000000}" name="Ano" totalsRowFunction="sum" dataDxfId="302" totalsRowDxfId="61">
      <calculatedColumnFormula>SUM(tblSaúde[[#This Row],[Jan]:[Dez]])</calculatedColumnFormula>
    </tableColumn>
    <tableColumn id="15" xr3:uid="{00000000-0010-0000-0500-00000F000000}" name="Coluna1" totalsRowDxfId="6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Health Expenses" altTextSummary="Insira suas despesas de saúde para o ano, separadas por mês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Férias" displayName="tblFérias" ref="C63:Q68" totalsRowCount="1" headerRowDxfId="301" dataDxfId="300" totalsRowDxfId="299">
  <autoFilter ref="C63:Q67" xr:uid="{00000000-0009-0000-0100-000007000000}"/>
  <tableColumns count="15">
    <tableColumn id="1" xr3:uid="{00000000-0010-0000-0600-000001000000}" name="Férias" totalsRowLabel="Total" totalsRowDxfId="298"/>
    <tableColumn id="2" xr3:uid="{00000000-0010-0000-0600-000002000000}" name="Jan" totalsRowFunction="sum" dataDxfId="297" totalsRowDxfId="296"/>
    <tableColumn id="3" xr3:uid="{00000000-0010-0000-0600-000003000000}" name="Fev" totalsRowFunction="sum" dataDxfId="295" totalsRowDxfId="294"/>
    <tableColumn id="4" xr3:uid="{00000000-0010-0000-0600-000004000000}" name="Março" totalsRowFunction="sum" dataDxfId="293" totalsRowDxfId="292"/>
    <tableColumn id="5" xr3:uid="{00000000-0010-0000-0600-000005000000}" name="Abr" totalsRowFunction="sum" dataDxfId="291" totalsRowDxfId="290"/>
    <tableColumn id="6" xr3:uid="{00000000-0010-0000-0600-000006000000}" name="Mai" totalsRowFunction="sum" dataDxfId="289" totalsRowDxfId="288"/>
    <tableColumn id="7" xr3:uid="{00000000-0010-0000-0600-000007000000}" name="Jun" totalsRowFunction="sum" dataDxfId="287" totalsRowDxfId="286"/>
    <tableColumn id="8" xr3:uid="{00000000-0010-0000-0600-000008000000}" name="Julho" totalsRowFunction="sum" dataDxfId="285" totalsRowDxfId="284"/>
    <tableColumn id="9" xr3:uid="{00000000-0010-0000-0600-000009000000}" name="Ago" totalsRowFunction="sum" dataDxfId="283" totalsRowDxfId="282"/>
    <tableColumn id="10" xr3:uid="{00000000-0010-0000-0600-00000A000000}" name="Set" totalsRowFunction="sum" dataDxfId="281" totalsRowDxfId="280"/>
    <tableColumn id="11" xr3:uid="{00000000-0010-0000-0600-00000B000000}" name="Out" totalsRowFunction="sum" dataDxfId="279" totalsRowDxfId="278"/>
    <tableColumn id="12" xr3:uid="{00000000-0010-0000-0600-00000C000000}" name="Nov" totalsRowFunction="sum" dataDxfId="277" totalsRowDxfId="276"/>
    <tableColumn id="13" xr3:uid="{00000000-0010-0000-0600-00000D000000}" name="Dez" totalsRowFunction="sum" dataDxfId="275" totalsRowDxfId="274"/>
    <tableColumn id="14" xr3:uid="{00000000-0010-0000-0600-00000E000000}" name="Ano" totalsRowFunction="sum" dataDxfId="273" totalsRowDxfId="272">
      <calculatedColumnFormula>SUM(tblFérias[[#This Row],[Jan]:[Dez]])</calculatedColumnFormula>
    </tableColumn>
    <tableColumn id="15" xr3:uid="{00000000-0010-0000-0600-00000F000000}" name="Coluna1" totalsRowDxfId="271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Vacation Expenses" altTextSummary="Insira suas despesas de férias para o ano, separadas por mês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Recreação" displayName="tblRecreação" ref="C72:Q76" totalsRowCount="1" headerRowDxfId="270" dataDxfId="269" totalsRowDxfId="268">
  <autoFilter ref="C72:Q75" xr:uid="{00000000-0009-0000-0100-000008000000}"/>
  <tableColumns count="15">
    <tableColumn id="1" xr3:uid="{00000000-0010-0000-0700-000001000000}" name="Lazer" totalsRowLabel="Total" dataDxfId="267" totalsRowDxfId="59"/>
    <tableColumn id="2" xr3:uid="{00000000-0010-0000-0700-000002000000}" name="Jan" totalsRowFunction="sum" dataDxfId="266" totalsRowDxfId="58"/>
    <tableColumn id="3" xr3:uid="{00000000-0010-0000-0700-000003000000}" name="Fev" totalsRowFunction="sum" dataDxfId="265" totalsRowDxfId="57"/>
    <tableColumn id="4" xr3:uid="{00000000-0010-0000-0700-000004000000}" name="Março" totalsRowFunction="sum" dataDxfId="264" totalsRowDxfId="56"/>
    <tableColumn id="5" xr3:uid="{00000000-0010-0000-0700-000005000000}" name="Abr" totalsRowFunction="sum" dataDxfId="263" totalsRowDxfId="55"/>
    <tableColumn id="6" xr3:uid="{00000000-0010-0000-0700-000006000000}" name="Mai" totalsRowFunction="sum" dataDxfId="262" totalsRowDxfId="54"/>
    <tableColumn id="7" xr3:uid="{00000000-0010-0000-0700-000007000000}" name="Jun" totalsRowFunction="sum" dataDxfId="261" totalsRowDxfId="53"/>
    <tableColumn id="8" xr3:uid="{00000000-0010-0000-0700-000008000000}" name="Julho" totalsRowFunction="sum" dataDxfId="260" totalsRowDxfId="52"/>
    <tableColumn id="9" xr3:uid="{00000000-0010-0000-0700-000009000000}" name="Ago" totalsRowFunction="sum" dataDxfId="259" totalsRowDxfId="51"/>
    <tableColumn id="10" xr3:uid="{00000000-0010-0000-0700-00000A000000}" name="Set" totalsRowFunction="sum" dataDxfId="258" totalsRowDxfId="50"/>
    <tableColumn id="11" xr3:uid="{00000000-0010-0000-0700-00000B000000}" name="Out" totalsRowFunction="sum" dataDxfId="257" totalsRowDxfId="49"/>
    <tableColumn id="12" xr3:uid="{00000000-0010-0000-0700-00000C000000}" name="Nov" totalsRowFunction="sum" dataDxfId="256" totalsRowDxfId="48"/>
    <tableColumn id="13" xr3:uid="{00000000-0010-0000-0700-00000D000000}" name="Dez" totalsRowFunction="sum" dataDxfId="255" totalsRowDxfId="47"/>
    <tableColumn id="14" xr3:uid="{00000000-0010-0000-0700-00000E000000}" name="Ano" totalsRowFunction="sum" dataDxfId="254" totalsRowDxfId="46">
      <calculatedColumnFormula>SUM(tblRecreação[[#This Row],[Jan]:[Dez]])</calculatedColumnFormula>
    </tableColumn>
    <tableColumn id="15" xr3:uid="{00000000-0010-0000-0700-00000F000000}" name="Coluna1" dataDxfId="253" totalsRowDxfId="45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Recreation Expenses" altTextSummary="Insira suas despesas de recreação para o ano, separadas por mês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Vencimentos" displayName="tblVencimentos" ref="C80:Q85" totalsRowCount="1" headerRowDxfId="252" dataDxfId="251" totalsRowDxfId="250">
  <autoFilter ref="C80:Q84" xr:uid="{00000000-0009-0000-0100-000009000000}"/>
  <tableColumns count="15">
    <tableColumn id="1" xr3:uid="{00000000-0010-0000-0800-000001000000}" name="Mensalidades/assinaturas" totalsRowLabel="Total" dataDxfId="249" totalsRowDxfId="44"/>
    <tableColumn id="2" xr3:uid="{00000000-0010-0000-0800-000002000000}" name="Jan" totalsRowFunction="sum" dataDxfId="248" totalsRowDxfId="43"/>
    <tableColumn id="3" xr3:uid="{00000000-0010-0000-0800-000003000000}" name="Fev" totalsRowFunction="sum" dataDxfId="247" totalsRowDxfId="42"/>
    <tableColumn id="4" xr3:uid="{00000000-0010-0000-0800-000004000000}" name="Março" totalsRowFunction="sum" dataDxfId="246" totalsRowDxfId="41"/>
    <tableColumn id="5" xr3:uid="{00000000-0010-0000-0800-000005000000}" name="Abr" totalsRowFunction="sum" dataDxfId="245" totalsRowDxfId="40"/>
    <tableColumn id="6" xr3:uid="{00000000-0010-0000-0800-000006000000}" name="Mai" totalsRowFunction="sum" dataDxfId="244" totalsRowDxfId="39"/>
    <tableColumn id="7" xr3:uid="{00000000-0010-0000-0800-000007000000}" name="Jun" totalsRowFunction="sum" dataDxfId="243" totalsRowDxfId="38"/>
    <tableColumn id="8" xr3:uid="{00000000-0010-0000-0800-000008000000}" name="Julho" totalsRowFunction="sum" dataDxfId="242" totalsRowDxfId="37"/>
    <tableColumn id="9" xr3:uid="{00000000-0010-0000-0800-000009000000}" name="Ago" totalsRowFunction="sum" dataDxfId="241" totalsRowDxfId="36"/>
    <tableColumn id="10" xr3:uid="{00000000-0010-0000-0800-00000A000000}" name="Set" totalsRowFunction="sum" dataDxfId="240" totalsRowDxfId="35"/>
    <tableColumn id="11" xr3:uid="{00000000-0010-0000-0800-00000B000000}" name="Out" totalsRowFunction="sum" dataDxfId="239" totalsRowDxfId="34"/>
    <tableColumn id="12" xr3:uid="{00000000-0010-0000-0800-00000C000000}" name="Nov" totalsRowFunction="sum" dataDxfId="238" totalsRowDxfId="33"/>
    <tableColumn id="13" xr3:uid="{00000000-0010-0000-0800-00000D000000}" name="Dez" totalsRowFunction="sum" dataDxfId="237" totalsRowDxfId="32"/>
    <tableColumn id="14" xr3:uid="{00000000-0010-0000-0800-00000E000000}" name="Ano" totalsRowFunction="sum" dataDxfId="236" totalsRowDxfId="31">
      <calculatedColumnFormula>SUM(tblVencimentos[[#This Row],[Jan]:[Dez]])</calculatedColumnFormula>
    </tableColumn>
    <tableColumn id="15" xr3:uid="{00000000-0010-0000-0800-00000F000000}" name="Coluna1" dataDxfId="235" totalsRowDxfId="30"/>
  </tableColumns>
  <tableStyleInfo showFirstColumn="0" showLastColumn="0" showRowStripes="0" showColumnStripes="1"/>
  <extLst>
    <ext xmlns:x14="http://schemas.microsoft.com/office/spreadsheetml/2009/9/main" uri="{504A1905-F514-4f6f-8877-14C23A59335A}">
      <x14:table altText="Dues &amp; Subscription Expenses" altTextSummary="Insira suas despesas com vencimentos e assinaturas para o ano, separadas por mês."/>
    </ext>
  </extLst>
</table>
</file>

<file path=xl/theme/theme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304157"/>
      </a:dk2>
      <a:lt2>
        <a:srgbClr val="E7E6E6"/>
      </a:lt2>
      <a:accent1>
        <a:srgbClr val="1B79AD"/>
      </a:accent1>
      <a:accent2>
        <a:srgbClr val="1D7B7D"/>
      </a:accent2>
      <a:accent3>
        <a:srgbClr val="EF4755"/>
      </a:accent3>
      <a:accent4>
        <a:srgbClr val="FFC000"/>
      </a:accent4>
      <a:accent5>
        <a:srgbClr val="176795"/>
      </a:accent5>
      <a:accent6>
        <a:srgbClr val="4D81BF"/>
      </a:accent6>
      <a:hlink>
        <a:srgbClr val="F78F2F"/>
      </a:hlink>
      <a:folHlink>
        <a:srgbClr val="F78F2F"/>
      </a:folHlink>
    </a:clrScheme>
    <a:fontScheme name="Custom 13">
      <a:majorFont>
        <a:latin typeface="Gill Sans MT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R128"/>
  <sheetViews>
    <sheetView showGridLines="0" tabSelected="1" zoomScale="55" zoomScaleNormal="55" workbookViewId="0">
      <selection activeCell="V84" sqref="V84"/>
    </sheetView>
  </sheetViews>
  <sheetFormatPr defaultRowHeight="12.6" x14ac:dyDescent="0.2"/>
  <cols>
    <col min="1" max="1" width="4.7265625" style="2" customWidth="1"/>
    <col min="2" max="2" width="1.90625" style="14" customWidth="1"/>
    <col min="3" max="3" width="49.6328125" style="14" bestFit="1" customWidth="1"/>
    <col min="4" max="16" width="12.36328125" style="1" customWidth="1"/>
    <col min="17" max="17" width="12.36328125" style="14" customWidth="1"/>
  </cols>
  <sheetData>
    <row r="1" spans="1:17" x14ac:dyDescent="0.2">
      <c r="A1" s="50"/>
      <c r="B1" s="51"/>
      <c r="C1" s="51"/>
      <c r="D1" s="52"/>
      <c r="E1" s="52"/>
    </row>
    <row r="2" spans="1:17" ht="35.25" customHeight="1" thickBot="1" x14ac:dyDescent="0.85">
      <c r="A2" s="50"/>
      <c r="B2" s="51"/>
      <c r="C2" s="70"/>
      <c r="D2" s="70"/>
      <c r="E2" s="53"/>
      <c r="F2" s="4"/>
      <c r="G2" s="4"/>
      <c r="H2" s="79"/>
      <c r="I2" s="49"/>
      <c r="J2" s="80" t="s">
        <v>100</v>
      </c>
      <c r="K2" s="4"/>
      <c r="L2" s="82"/>
      <c r="M2" s="82"/>
      <c r="N2" s="82"/>
      <c r="O2" s="4"/>
      <c r="P2" s="4"/>
      <c r="Q2" s="5"/>
    </row>
    <row r="3" spans="1:17" ht="26.25" customHeight="1" x14ac:dyDescent="0.2">
      <c r="A3" s="50"/>
      <c r="B3" s="51"/>
      <c r="C3" s="51"/>
      <c r="D3" s="52"/>
      <c r="E3" s="54"/>
      <c r="L3" s="81"/>
    </row>
    <row r="4" spans="1:17" ht="21" customHeight="1" x14ac:dyDescent="0.2">
      <c r="B4" s="34"/>
      <c r="C4" s="11" t="s">
        <v>0</v>
      </c>
      <c r="D4" s="12" t="s">
        <v>56</v>
      </c>
      <c r="E4" s="12" t="s">
        <v>58</v>
      </c>
      <c r="F4" s="12" t="s">
        <v>60</v>
      </c>
      <c r="G4" s="12" t="s">
        <v>62</v>
      </c>
      <c r="H4" s="12" t="s">
        <v>64</v>
      </c>
      <c r="I4" s="12" t="s">
        <v>67</v>
      </c>
      <c r="J4" s="12" t="s">
        <v>69</v>
      </c>
      <c r="K4" s="12" t="s">
        <v>71</v>
      </c>
      <c r="L4" s="12" t="s">
        <v>73</v>
      </c>
      <c r="M4" s="12" t="s">
        <v>75</v>
      </c>
      <c r="N4" s="12" t="s">
        <v>77</v>
      </c>
      <c r="O4" s="12" t="s">
        <v>79</v>
      </c>
      <c r="P4" s="12" t="s">
        <v>81</v>
      </c>
      <c r="Q4" s="12"/>
    </row>
    <row r="5" spans="1:17" ht="21" customHeight="1" x14ac:dyDescent="0.2">
      <c r="B5" s="34"/>
      <c r="C5" s="15" t="s">
        <v>1</v>
      </c>
      <c r="D5" s="25"/>
      <c r="E5" s="25"/>
      <c r="F5" s="13"/>
      <c r="G5" s="24"/>
      <c r="H5" s="13"/>
      <c r="I5" s="13"/>
      <c r="J5" s="13"/>
      <c r="K5" s="13"/>
      <c r="L5" s="13"/>
      <c r="M5" s="13"/>
      <c r="N5" s="13"/>
      <c r="O5" s="13"/>
      <c r="P5" s="13"/>
      <c r="Q5" s="24" t="s">
        <v>83</v>
      </c>
    </row>
    <row r="6" spans="1:17" ht="15.9" hidden="1" customHeight="1" x14ac:dyDescent="0.2">
      <c r="B6" s="34"/>
      <c r="C6" t="s">
        <v>1</v>
      </c>
      <c r="D6" t="s">
        <v>57</v>
      </c>
      <c r="E6" t="s">
        <v>59</v>
      </c>
      <c r="F6" t="s">
        <v>61</v>
      </c>
      <c r="G6" t="s">
        <v>63</v>
      </c>
      <c r="H6" t="s">
        <v>65</v>
      </c>
      <c r="I6" t="s">
        <v>68</v>
      </c>
      <c r="J6" t="s">
        <v>70</v>
      </c>
      <c r="K6" t="s">
        <v>72</v>
      </c>
      <c r="L6" t="s">
        <v>74</v>
      </c>
      <c r="M6" t="s">
        <v>76</v>
      </c>
      <c r="N6" t="s">
        <v>78</v>
      </c>
      <c r="O6" t="s">
        <v>80</v>
      </c>
      <c r="P6" t="s">
        <v>82</v>
      </c>
      <c r="Q6" t="s">
        <v>84</v>
      </c>
    </row>
    <row r="7" spans="1:17" ht="15.9" customHeight="1" x14ac:dyDescent="0.2">
      <c r="B7" s="34"/>
      <c r="C7" s="9" t="s">
        <v>2</v>
      </c>
      <c r="D7" s="56">
        <v>2600</v>
      </c>
      <c r="E7" s="56">
        <v>2600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>
        <f>SUM(tblRenda[[#This Row],[Jan]:[Dez]])</f>
        <v>5200</v>
      </c>
      <c r="Q7" s="56"/>
    </row>
    <row r="8" spans="1:17" ht="15.9" customHeight="1" x14ac:dyDescent="0.2">
      <c r="B8" s="34"/>
      <c r="C8" s="9" t="s">
        <v>3</v>
      </c>
      <c r="D8" s="56">
        <v>649</v>
      </c>
      <c r="E8" s="56">
        <v>313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>
        <f>SUM(tblRenda[[#This Row],[Jan]:[Dez]])</f>
        <v>962</v>
      </c>
      <c r="Q8" s="57"/>
    </row>
    <row r="9" spans="1:17" ht="15.9" customHeight="1" x14ac:dyDescent="0.2">
      <c r="B9" s="34"/>
      <c r="C9" s="9" t="s">
        <v>4</v>
      </c>
      <c r="D9" s="56">
        <v>474</v>
      </c>
      <c r="E9" s="56">
        <v>643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>
        <f>SUM(tblRenda[[#This Row],[Jan]:[Dez]])</f>
        <v>1117</v>
      </c>
      <c r="Q9" s="56"/>
    </row>
    <row r="10" spans="1:17" ht="21" customHeight="1" x14ac:dyDescent="0.2">
      <c r="B10" s="34"/>
      <c r="C10" s="45" t="s">
        <v>5</v>
      </c>
      <c r="D10" s="57">
        <f>SUBTOTAL(109,tblRenda[Jan])</f>
        <v>3723</v>
      </c>
      <c r="E10" s="57">
        <f>SUBTOTAL(109,tblRenda[Fev])</f>
        <v>3556</v>
      </c>
      <c r="F10" s="57">
        <f>SUBTOTAL(109,tblRenda[Março])</f>
        <v>0</v>
      </c>
      <c r="G10" s="57">
        <f>SUBTOTAL(109,tblRenda[Abr])</f>
        <v>0</v>
      </c>
      <c r="H10" s="57">
        <f>SUBTOTAL(109,tblRenda[Maio])</f>
        <v>0</v>
      </c>
      <c r="I10" s="57">
        <f>SUBTOTAL(109,tblRenda[Jun])</f>
        <v>0</v>
      </c>
      <c r="J10" s="57">
        <f>SUBTOTAL(109,tblRenda[Julho])</f>
        <v>0</v>
      </c>
      <c r="K10" s="57">
        <f>SUBTOTAL(109,tblRenda[Ago])</f>
        <v>0</v>
      </c>
      <c r="L10" s="57">
        <f>SUBTOTAL(109,tblRenda[Set])</f>
        <v>0</v>
      </c>
      <c r="M10" s="57">
        <f>SUBTOTAL(109,tblRenda[Out])</f>
        <v>0</v>
      </c>
      <c r="N10" s="57">
        <f>SUBTOTAL(109,tblRenda[Nov])</f>
        <v>0</v>
      </c>
      <c r="O10" s="57">
        <f>SUBTOTAL(109,tblRenda[Dez])</f>
        <v>0</v>
      </c>
      <c r="P10" s="57">
        <f>SUBTOTAL(109,tblRenda[Ano])</f>
        <v>7279</v>
      </c>
      <c r="Q10" s="20"/>
    </row>
    <row r="11" spans="1:17" s="14" customFormat="1" ht="8.1" customHeight="1" x14ac:dyDescent="0.2">
      <c r="B11" s="34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</row>
    <row r="12" spans="1:17" ht="24" customHeight="1" x14ac:dyDescent="0.2"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7" ht="21" customHeight="1" x14ac:dyDescent="0.2">
      <c r="B13" s="35"/>
      <c r="C13" s="11" t="s">
        <v>6</v>
      </c>
      <c r="D13" s="12" t="s">
        <v>56</v>
      </c>
      <c r="E13" s="12" t="s">
        <v>58</v>
      </c>
      <c r="F13" s="12" t="s">
        <v>60</v>
      </c>
      <c r="G13" s="12" t="s">
        <v>62</v>
      </c>
      <c r="H13" s="12" t="s">
        <v>64</v>
      </c>
      <c r="I13" s="12" t="s">
        <v>67</v>
      </c>
      <c r="J13" s="12" t="s">
        <v>69</v>
      </c>
      <c r="K13" s="12" t="s">
        <v>71</v>
      </c>
      <c r="L13" s="12" t="s">
        <v>73</v>
      </c>
      <c r="M13" s="12" t="s">
        <v>75</v>
      </c>
      <c r="N13" s="12" t="s">
        <v>77</v>
      </c>
      <c r="O13" s="12" t="s">
        <v>79</v>
      </c>
      <c r="P13" s="12" t="s">
        <v>81</v>
      </c>
      <c r="Q13" s="12"/>
    </row>
    <row r="14" spans="1:17" ht="21" customHeight="1" x14ac:dyDescent="0.2">
      <c r="B14" s="35"/>
      <c r="C14" s="21" t="s">
        <v>7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5.9" hidden="1" customHeight="1" x14ac:dyDescent="0.2">
      <c r="B15" s="35"/>
      <c r="C15" t="s">
        <v>8</v>
      </c>
      <c r="D15" t="s">
        <v>57</v>
      </c>
      <c r="E15" t="s">
        <v>59</v>
      </c>
      <c r="F15" t="s">
        <v>61</v>
      </c>
      <c r="G15" t="s">
        <v>63</v>
      </c>
      <c r="H15" t="s">
        <v>66</v>
      </c>
      <c r="I15" t="s">
        <v>68</v>
      </c>
      <c r="J15" t="s">
        <v>70</v>
      </c>
      <c r="K15" t="s">
        <v>72</v>
      </c>
      <c r="L15" t="s">
        <v>74</v>
      </c>
      <c r="M15" t="s">
        <v>76</v>
      </c>
      <c r="N15" t="s">
        <v>78</v>
      </c>
      <c r="O15" t="s">
        <v>80</v>
      </c>
      <c r="P15" t="s">
        <v>82</v>
      </c>
      <c r="Q15" t="s">
        <v>84</v>
      </c>
    </row>
    <row r="16" spans="1:17" ht="15.9" customHeight="1" x14ac:dyDescent="0.2">
      <c r="B16" s="35"/>
      <c r="C16" s="8" t="s">
        <v>85</v>
      </c>
      <c r="D16" s="58">
        <v>750</v>
      </c>
      <c r="E16" s="58">
        <v>750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>
        <f>SUM(tblCasa[[#This Row],[Jan]:[Dez]])</f>
        <v>1500</v>
      </c>
      <c r="Q16" s="58"/>
    </row>
    <row r="17" spans="1:18" ht="15.9" customHeight="1" x14ac:dyDescent="0.2">
      <c r="B17" s="35"/>
      <c r="C17" s="8" t="s">
        <v>86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>
        <f>SUM(tblCasa[[#This Row],[Jan]:[Dez]])</f>
        <v>0</v>
      </c>
      <c r="Q17" s="59"/>
    </row>
    <row r="18" spans="1:18" ht="15.9" customHeight="1" x14ac:dyDescent="0.2">
      <c r="B18" s="35"/>
      <c r="C18" s="8" t="s">
        <v>9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>
        <f>SUM(tblCasa[[#This Row],[Jan]:[Dez]])</f>
        <v>0</v>
      </c>
      <c r="Q18" s="58"/>
    </row>
    <row r="19" spans="1:18" ht="15.9" customHeight="1" x14ac:dyDescent="0.2">
      <c r="B19" s="35"/>
      <c r="C19" s="8" t="s">
        <v>10</v>
      </c>
      <c r="D19" s="58">
        <v>35</v>
      </c>
      <c r="E19" s="58">
        <v>35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>
        <f>SUM(tblCasa[[#This Row],[Jan]:[Dez]])</f>
        <v>70</v>
      </c>
      <c r="Q19" s="59"/>
      <c r="R19" s="10"/>
    </row>
    <row r="20" spans="1:18" ht="15.9" customHeight="1" x14ac:dyDescent="0.2">
      <c r="B20" s="35"/>
      <c r="C20" s="8" t="s">
        <v>87</v>
      </c>
      <c r="D20" s="58">
        <v>165</v>
      </c>
      <c r="E20" s="58">
        <v>165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>
        <f>SUM(tblCasa[[#This Row],[Jan]:[Dez]])</f>
        <v>330</v>
      </c>
      <c r="Q20" s="58"/>
    </row>
    <row r="21" spans="1:18" s="14" customFormat="1" ht="21" customHeight="1" x14ac:dyDescent="0.2">
      <c r="B21" s="35"/>
      <c r="C21" s="23" t="s">
        <v>5</v>
      </c>
      <c r="D21" s="59">
        <f>SUBTOTAL(109,tblCasa[Jan])</f>
        <v>950</v>
      </c>
      <c r="E21" s="59">
        <f>SUBTOTAL(109,tblCasa[Fev])</f>
        <v>950</v>
      </c>
      <c r="F21" s="59">
        <f>SUBTOTAL(109,tblCasa[Março])</f>
        <v>0</v>
      </c>
      <c r="G21" s="59">
        <f>SUBTOTAL(109,tblCasa[Abr])</f>
        <v>0</v>
      </c>
      <c r="H21" s="59">
        <f>SUBTOTAL(109,tblCasa[Mai])</f>
        <v>0</v>
      </c>
      <c r="I21" s="59">
        <f>SUBTOTAL(109,tblCasa[Jun])</f>
        <v>0</v>
      </c>
      <c r="J21" s="59">
        <f>SUBTOTAL(109,tblCasa[Julho])</f>
        <v>0</v>
      </c>
      <c r="K21" s="59">
        <f>SUBTOTAL(109,tblCasa[Ago])</f>
        <v>0</v>
      </c>
      <c r="L21" s="59">
        <f>SUBTOTAL(109,tblCasa[Set])</f>
        <v>0</v>
      </c>
      <c r="M21" s="59">
        <f>SUBTOTAL(109,tblCasa[Out])</f>
        <v>0</v>
      </c>
      <c r="N21" s="59">
        <f>SUBTOTAL(109,tblCasa[Nov])</f>
        <v>0</v>
      </c>
      <c r="O21" s="59">
        <f>SUBTOTAL(109,tblCasa[Dez])</f>
        <v>0</v>
      </c>
      <c r="P21" s="59">
        <f>SUBTOTAL(109,tblCasa[Ano])</f>
        <v>1900</v>
      </c>
      <c r="Q21" s="22"/>
    </row>
    <row r="22" spans="1:18" ht="8.1" customHeight="1" x14ac:dyDescent="0.2">
      <c r="B22" s="35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1:18" ht="24" customHeight="1" x14ac:dyDescent="0.2">
      <c r="B23" s="26"/>
      <c r="C23" s="26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8" ht="21" customHeight="1" x14ac:dyDescent="0.2">
      <c r="B24" s="42"/>
      <c r="C24" s="44" t="s">
        <v>11</v>
      </c>
      <c r="D24" s="18"/>
      <c r="E24" s="6"/>
      <c r="F24" s="18"/>
      <c r="G24" s="6"/>
      <c r="H24" s="18"/>
      <c r="I24" s="6"/>
      <c r="J24" s="18"/>
      <c r="K24" s="6"/>
      <c r="L24" s="18"/>
      <c r="M24" s="6"/>
      <c r="N24" s="18"/>
      <c r="O24" s="6"/>
      <c r="P24" s="18"/>
      <c r="Q24" s="6"/>
    </row>
    <row r="25" spans="1:18" ht="15.9" hidden="1" customHeight="1" x14ac:dyDescent="0.2">
      <c r="B25" s="42"/>
      <c r="C25" t="s">
        <v>12</v>
      </c>
      <c r="D25" t="s">
        <v>57</v>
      </c>
      <c r="E25" t="s">
        <v>59</v>
      </c>
      <c r="F25" t="s">
        <v>61</v>
      </c>
      <c r="G25" t="s">
        <v>63</v>
      </c>
      <c r="H25" t="s">
        <v>66</v>
      </c>
      <c r="I25" t="s">
        <v>68</v>
      </c>
      <c r="J25" t="s">
        <v>70</v>
      </c>
      <c r="K25" t="s">
        <v>72</v>
      </c>
      <c r="L25" t="s">
        <v>74</v>
      </c>
      <c r="M25" t="s">
        <v>76</v>
      </c>
      <c r="N25" t="s">
        <v>78</v>
      </c>
      <c r="O25" t="s">
        <v>80</v>
      </c>
      <c r="P25" t="s">
        <v>82</v>
      </c>
      <c r="Q25" t="s">
        <v>84</v>
      </c>
    </row>
    <row r="26" spans="1:18" ht="15.9" customHeight="1" x14ac:dyDescent="0.2">
      <c r="B26" s="42"/>
      <c r="C26" s="30" t="s">
        <v>13</v>
      </c>
      <c r="D26" s="60">
        <v>191</v>
      </c>
      <c r="E26" s="61">
        <v>152</v>
      </c>
      <c r="F26" s="60"/>
      <c r="G26" s="61"/>
      <c r="H26" s="60"/>
      <c r="I26" s="61"/>
      <c r="J26" s="60"/>
      <c r="K26" s="61"/>
      <c r="L26" s="60"/>
      <c r="M26" s="61"/>
      <c r="N26" s="60"/>
      <c r="O26" s="61"/>
      <c r="P26" s="60">
        <f>SUM(tblDiárias[[#This Row],[Jan]:[Dez]])</f>
        <v>343</v>
      </c>
      <c r="Q26" s="62"/>
    </row>
    <row r="27" spans="1:18" ht="15.9" customHeight="1" x14ac:dyDescent="0.2">
      <c r="B27" s="42"/>
      <c r="C27" s="30" t="s">
        <v>88</v>
      </c>
      <c r="D27" s="60">
        <v>200</v>
      </c>
      <c r="E27" s="61">
        <v>200</v>
      </c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>
        <f>SUM(tblDiárias[[#This Row],[Jan]:[Dez]])</f>
        <v>400</v>
      </c>
      <c r="Q27" s="61"/>
    </row>
    <row r="28" spans="1:18" s="14" customFormat="1" ht="15.9" customHeight="1" x14ac:dyDescent="0.2">
      <c r="A28" s="2"/>
      <c r="B28" s="42"/>
      <c r="C28" s="30" t="s">
        <v>14</v>
      </c>
      <c r="D28" s="60">
        <v>25</v>
      </c>
      <c r="E28" s="61">
        <v>17</v>
      </c>
      <c r="F28" s="60"/>
      <c r="G28" s="61"/>
      <c r="H28" s="60"/>
      <c r="I28" s="61"/>
      <c r="J28" s="60"/>
      <c r="K28" s="61"/>
      <c r="L28" s="60"/>
      <c r="M28" s="61"/>
      <c r="N28" s="60"/>
      <c r="O28" s="61"/>
      <c r="P28" s="60">
        <f>SUM(tblDiárias[[#This Row],[Jan]:[Dez]])</f>
        <v>42</v>
      </c>
      <c r="Q28" s="62"/>
    </row>
    <row r="29" spans="1:18" s="69" customFormat="1" ht="15.9" customHeight="1" x14ac:dyDescent="0.2">
      <c r="A29" s="2"/>
      <c r="B29" s="42"/>
      <c r="C29" s="30" t="s">
        <v>89</v>
      </c>
      <c r="D29" s="60"/>
      <c r="E29" s="61"/>
      <c r="F29" s="60"/>
      <c r="G29" s="61"/>
      <c r="H29" s="60"/>
      <c r="I29" s="61"/>
      <c r="J29" s="60"/>
      <c r="K29" s="61"/>
      <c r="L29" s="60"/>
      <c r="M29" s="61"/>
      <c r="N29" s="60"/>
      <c r="O29" s="61"/>
      <c r="P29" s="60">
        <f>SUM(tblDiárias[[#This Row],[Jan]:[Dez]])</f>
        <v>0</v>
      </c>
      <c r="Q29" s="62"/>
    </row>
    <row r="30" spans="1:18" ht="21" customHeight="1" x14ac:dyDescent="0.2">
      <c r="B30" s="42"/>
      <c r="C30" s="29" t="s">
        <v>5</v>
      </c>
      <c r="D30" s="63">
        <f>SUBTOTAL(109,tblDiárias[Jan])</f>
        <v>416</v>
      </c>
      <c r="E30" s="62">
        <f>SUBTOTAL(109,tblDiárias[Fev])</f>
        <v>369</v>
      </c>
      <c r="F30" s="63">
        <f>SUBTOTAL(109,tblDiárias[Março])</f>
        <v>0</v>
      </c>
      <c r="G30" s="62">
        <f>SUBTOTAL(109,tblDiárias[Abr])</f>
        <v>0</v>
      </c>
      <c r="H30" s="63">
        <f>SUBTOTAL(109,tblDiárias[Mai])</f>
        <v>0</v>
      </c>
      <c r="I30" s="62">
        <f>SUBTOTAL(109,tblDiárias[Jun])</f>
        <v>0</v>
      </c>
      <c r="J30" s="63">
        <f>SUBTOTAL(109,tblDiárias[Julho])</f>
        <v>0</v>
      </c>
      <c r="K30" s="62">
        <f>SUBTOTAL(109,tblDiárias[Ago])</f>
        <v>0</v>
      </c>
      <c r="L30" s="63">
        <f>SUBTOTAL(109,tblDiárias[Set])</f>
        <v>0</v>
      </c>
      <c r="M30" s="62">
        <f>SUBTOTAL(109,tblDiárias[Out])</f>
        <v>0</v>
      </c>
      <c r="N30" s="63">
        <f>SUBTOTAL(109,tblDiárias[Nov])</f>
        <v>0</v>
      </c>
      <c r="O30" s="62">
        <f>SUBTOTAL(109,tblDiárias[Dez])</f>
        <v>0</v>
      </c>
      <c r="P30" s="63">
        <f>SUBTOTAL(109,tblDiárias[Ano])</f>
        <v>785</v>
      </c>
      <c r="Q30" s="16"/>
    </row>
    <row r="31" spans="1:18" ht="8.1" customHeight="1" x14ac:dyDescent="0.2">
      <c r="B31" s="42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1:18" ht="20.100000000000001" customHeight="1" x14ac:dyDescent="0.2">
      <c r="B32" s="26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</row>
    <row r="33" spans="1:17" ht="21" customHeight="1" x14ac:dyDescent="0.2">
      <c r="B33" s="42"/>
      <c r="C33" s="27" t="s">
        <v>15</v>
      </c>
      <c r="D33" s="18"/>
      <c r="E33" s="6"/>
      <c r="F33" s="18"/>
      <c r="G33" s="6"/>
      <c r="H33" s="18"/>
      <c r="I33" s="6"/>
      <c r="J33" s="18"/>
      <c r="K33" s="6"/>
      <c r="L33" s="18"/>
      <c r="M33" s="6"/>
      <c r="N33" s="18"/>
      <c r="O33" s="6"/>
      <c r="P33" s="18"/>
      <c r="Q33" s="6"/>
    </row>
    <row r="34" spans="1:17" ht="15.9" hidden="1" customHeight="1" x14ac:dyDescent="0.2">
      <c r="B34" s="42"/>
      <c r="C34" t="s">
        <v>16</v>
      </c>
      <c r="D34" t="s">
        <v>57</v>
      </c>
      <c r="E34" t="s">
        <v>59</v>
      </c>
      <c r="F34" t="s">
        <v>61</v>
      </c>
      <c r="G34" t="s">
        <v>63</v>
      </c>
      <c r="H34" t="s">
        <v>66</v>
      </c>
      <c r="I34" t="s">
        <v>68</v>
      </c>
      <c r="J34" t="s">
        <v>70</v>
      </c>
      <c r="K34" t="s">
        <v>72</v>
      </c>
      <c r="L34" t="s">
        <v>74</v>
      </c>
      <c r="M34" t="s">
        <v>76</v>
      </c>
      <c r="N34" t="s">
        <v>78</v>
      </c>
      <c r="O34" t="s">
        <v>80</v>
      </c>
      <c r="P34" t="s">
        <v>82</v>
      </c>
      <c r="Q34" t="s">
        <v>84</v>
      </c>
    </row>
    <row r="35" spans="1:17" ht="15.9" customHeight="1" x14ac:dyDescent="0.2">
      <c r="B35" s="42"/>
      <c r="C35" s="7" t="s">
        <v>17</v>
      </c>
      <c r="D35" s="60">
        <v>195</v>
      </c>
      <c r="E35" s="64">
        <v>125</v>
      </c>
      <c r="F35" s="60"/>
      <c r="G35" s="64"/>
      <c r="H35" s="60"/>
      <c r="I35" s="64"/>
      <c r="J35" s="60"/>
      <c r="K35" s="64"/>
      <c r="L35" s="60"/>
      <c r="M35" s="64"/>
      <c r="N35" s="60"/>
      <c r="O35" s="64"/>
      <c r="P35" s="60">
        <f>SUM(tblTransporte[[#This Row],[Jan]:[Dez]])</f>
        <v>320</v>
      </c>
      <c r="Q35" s="62"/>
    </row>
    <row r="36" spans="1:17" s="69" customFormat="1" ht="15.9" customHeight="1" x14ac:dyDescent="0.2">
      <c r="A36" s="2"/>
      <c r="B36" s="42"/>
      <c r="C36" s="7" t="s">
        <v>90</v>
      </c>
      <c r="D36" s="60"/>
      <c r="E36" s="64"/>
      <c r="F36" s="60"/>
      <c r="G36" s="64"/>
      <c r="H36" s="60"/>
      <c r="I36" s="64"/>
      <c r="J36" s="60"/>
      <c r="K36" s="64"/>
      <c r="L36" s="60"/>
      <c r="M36" s="64"/>
      <c r="N36" s="60"/>
      <c r="O36" s="64"/>
      <c r="P36" s="60">
        <f>SUM(tblTransporte[[#This Row],[Jan]:[Dez]])</f>
        <v>0</v>
      </c>
      <c r="Q36" s="62"/>
    </row>
    <row r="37" spans="1:17" ht="15.9" customHeight="1" x14ac:dyDescent="0.2">
      <c r="B37" s="42"/>
      <c r="C37" s="7" t="s">
        <v>18</v>
      </c>
      <c r="D37" s="60">
        <v>165</v>
      </c>
      <c r="E37" s="64">
        <v>165</v>
      </c>
      <c r="F37" s="60"/>
      <c r="G37" s="64"/>
      <c r="H37" s="60"/>
      <c r="I37" s="64"/>
      <c r="J37" s="60"/>
      <c r="K37" s="64"/>
      <c r="L37" s="60"/>
      <c r="M37" s="64"/>
      <c r="N37" s="60"/>
      <c r="O37" s="64"/>
      <c r="P37" s="60">
        <f>SUM(tblTransporte[[#This Row],[Jan]:[Dez]])</f>
        <v>330</v>
      </c>
      <c r="Q37" s="64"/>
    </row>
    <row r="38" spans="1:17" ht="15.9" customHeight="1" x14ac:dyDescent="0.2">
      <c r="B38" s="42"/>
      <c r="C38" s="7" t="s">
        <v>9</v>
      </c>
      <c r="D38" s="60"/>
      <c r="E38" s="64"/>
      <c r="F38" s="60"/>
      <c r="G38" s="64"/>
      <c r="H38" s="60"/>
      <c r="I38" s="64"/>
      <c r="J38" s="60"/>
      <c r="K38" s="64"/>
      <c r="L38" s="60"/>
      <c r="M38" s="64"/>
      <c r="N38" s="60"/>
      <c r="O38" s="64"/>
      <c r="P38" s="60">
        <f>SUM(tblTransporte[[#This Row],[Jan]:[Dez]])</f>
        <v>0</v>
      </c>
      <c r="Q38" s="62"/>
    </row>
    <row r="39" spans="1:17" ht="21" customHeight="1" x14ac:dyDescent="0.2">
      <c r="B39" s="42"/>
      <c r="C39" s="29" t="s">
        <v>5</v>
      </c>
      <c r="D39" s="63">
        <f>SUBTOTAL(109,tblTransporte[Jan])</f>
        <v>360</v>
      </c>
      <c r="E39" s="62">
        <f>SUBTOTAL(109,tblTransporte[Fev])</f>
        <v>290</v>
      </c>
      <c r="F39" s="63">
        <f>SUBTOTAL(109,tblTransporte[Março])</f>
        <v>0</v>
      </c>
      <c r="G39" s="62">
        <f>SUBTOTAL(109,tblTransporte[Abr])</f>
        <v>0</v>
      </c>
      <c r="H39" s="63">
        <f>SUBTOTAL(109,tblTransporte[Mai])</f>
        <v>0</v>
      </c>
      <c r="I39" s="62">
        <f>SUBTOTAL(109,tblTransporte[Jun])</f>
        <v>0</v>
      </c>
      <c r="J39" s="63">
        <f>SUBTOTAL(109,tblTransporte[Julho])</f>
        <v>0</v>
      </c>
      <c r="K39" s="62">
        <f>SUBTOTAL(109,tblTransporte[Ago])</f>
        <v>0</v>
      </c>
      <c r="L39" s="63">
        <f>SUBTOTAL(109,tblTransporte[Set])</f>
        <v>0</v>
      </c>
      <c r="M39" s="62">
        <f>SUBTOTAL(109,tblTransporte[Out])</f>
        <v>0</v>
      </c>
      <c r="N39" s="63">
        <f>SUBTOTAL(109,tblTransporte[Nov])</f>
        <v>0</v>
      </c>
      <c r="O39" s="62">
        <f>SUBTOTAL(109,tblTransporte[Dez])</f>
        <v>0</v>
      </c>
      <c r="P39" s="63">
        <f>SUBTOTAL(109,tblTransporte[Ano])</f>
        <v>650</v>
      </c>
      <c r="Q39" s="16"/>
    </row>
    <row r="40" spans="1:17" ht="8.1" customHeight="1" x14ac:dyDescent="0.2">
      <c r="B40" s="42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</row>
    <row r="41" spans="1:17" ht="20.100000000000001" customHeight="1" x14ac:dyDescent="0.2">
      <c r="B41" s="26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</row>
    <row r="42" spans="1:17" ht="21" customHeight="1" x14ac:dyDescent="0.2">
      <c r="B42" s="43"/>
      <c r="C42" s="32" t="s">
        <v>19</v>
      </c>
      <c r="D42" s="17"/>
      <c r="E42" s="6"/>
      <c r="F42" s="17"/>
      <c r="G42" s="6"/>
      <c r="H42" s="17"/>
      <c r="I42" s="6"/>
      <c r="J42" s="17"/>
      <c r="K42" s="6"/>
      <c r="L42" s="17"/>
      <c r="M42" s="6"/>
      <c r="N42" s="17"/>
      <c r="O42" s="6"/>
      <c r="P42" s="17"/>
      <c r="Q42" s="6"/>
    </row>
    <row r="43" spans="1:17" ht="21" hidden="1" customHeight="1" x14ac:dyDescent="0.2">
      <c r="B43" s="43"/>
      <c r="C43" t="s">
        <v>20</v>
      </c>
      <c r="D43" t="s">
        <v>57</v>
      </c>
      <c r="E43" t="s">
        <v>59</v>
      </c>
      <c r="F43" t="s">
        <v>61</v>
      </c>
      <c r="G43" t="s">
        <v>63</v>
      </c>
      <c r="H43" t="s">
        <v>66</v>
      </c>
      <c r="I43" t="s">
        <v>68</v>
      </c>
      <c r="J43" t="s">
        <v>70</v>
      </c>
      <c r="K43" t="s">
        <v>72</v>
      </c>
      <c r="L43" t="s">
        <v>74</v>
      </c>
      <c r="M43" t="s">
        <v>76</v>
      </c>
      <c r="N43" t="s">
        <v>78</v>
      </c>
      <c r="O43" t="s">
        <v>80</v>
      </c>
      <c r="P43" t="s">
        <v>82</v>
      </c>
      <c r="Q43" t="s">
        <v>84</v>
      </c>
    </row>
    <row r="44" spans="1:17" s="14" customFormat="1" ht="15.9" customHeight="1" x14ac:dyDescent="0.2">
      <c r="A44" s="2"/>
      <c r="B44" s="43"/>
      <c r="C44" s="7" t="s">
        <v>92</v>
      </c>
      <c r="D44" s="65">
        <v>85</v>
      </c>
      <c r="E44" s="64">
        <v>85</v>
      </c>
      <c r="F44" s="65"/>
      <c r="G44" s="64"/>
      <c r="H44" s="65"/>
      <c r="I44" s="64"/>
      <c r="J44" s="65"/>
      <c r="K44" s="64"/>
      <c r="L44" s="65"/>
      <c r="M44" s="64"/>
      <c r="N44" s="65"/>
      <c r="O44" s="64"/>
      <c r="P44" s="65">
        <f>SUM(tblEntretenimento[[#This Row],[Jan]:[Dez]])</f>
        <v>170</v>
      </c>
      <c r="Q44" s="62"/>
    </row>
    <row r="45" spans="1:17" s="14" customFormat="1" ht="15.9" customHeight="1" x14ac:dyDescent="0.2">
      <c r="B45" s="43"/>
      <c r="C45" s="7" t="s">
        <v>91</v>
      </c>
      <c r="D45" s="65">
        <v>7</v>
      </c>
      <c r="E45" s="64">
        <v>8</v>
      </c>
      <c r="F45" s="65"/>
      <c r="G45" s="64"/>
      <c r="H45" s="65"/>
      <c r="I45" s="64"/>
      <c r="J45" s="65"/>
      <c r="K45" s="64"/>
      <c r="L45" s="65"/>
      <c r="M45" s="64"/>
      <c r="N45" s="65"/>
      <c r="O45" s="64"/>
      <c r="P45" s="65">
        <f>SUM(tblEntretenimento[[#This Row],[Jan]:[Dez]])</f>
        <v>15</v>
      </c>
      <c r="Q45" s="64"/>
    </row>
    <row r="46" spans="1:17" ht="15.9" customHeight="1" x14ac:dyDescent="0.2">
      <c r="B46" s="43"/>
      <c r="C46" s="7" t="s">
        <v>21</v>
      </c>
      <c r="D46" s="65">
        <v>9</v>
      </c>
      <c r="E46" s="64">
        <v>5</v>
      </c>
      <c r="F46" s="65"/>
      <c r="G46" s="64"/>
      <c r="H46" s="65"/>
      <c r="I46" s="64"/>
      <c r="J46" s="65"/>
      <c r="K46" s="64"/>
      <c r="L46" s="65"/>
      <c r="M46" s="64"/>
      <c r="N46" s="65"/>
      <c r="O46" s="64"/>
      <c r="P46" s="65">
        <f>SUM(tblEntretenimento[[#This Row],[Jan]:[Dez]])</f>
        <v>14</v>
      </c>
      <c r="Q46" s="62"/>
    </row>
    <row r="47" spans="1:17" s="69" customFormat="1" ht="15.9" customHeight="1" x14ac:dyDescent="0.2">
      <c r="A47" s="2"/>
      <c r="B47" s="43"/>
      <c r="C47" s="7" t="s">
        <v>93</v>
      </c>
      <c r="D47" s="65"/>
      <c r="E47" s="64"/>
      <c r="F47" s="65"/>
      <c r="G47" s="64"/>
      <c r="H47" s="65"/>
      <c r="I47" s="64"/>
      <c r="J47" s="65"/>
      <c r="K47" s="64"/>
      <c r="L47" s="65"/>
      <c r="M47" s="64"/>
      <c r="N47" s="65"/>
      <c r="O47" s="64"/>
      <c r="P47" s="65">
        <f>SUM(tblEntretenimento[[#This Row],[Jan]:[Dez]])</f>
        <v>0</v>
      </c>
      <c r="Q47" s="62"/>
    </row>
    <row r="48" spans="1:17" ht="15.9" customHeight="1" x14ac:dyDescent="0.2">
      <c r="B48" s="43"/>
      <c r="C48" s="7" t="s">
        <v>22</v>
      </c>
      <c r="D48" s="65">
        <v>5</v>
      </c>
      <c r="E48" s="64">
        <v>5</v>
      </c>
      <c r="F48" s="65"/>
      <c r="G48" s="64"/>
      <c r="H48" s="65"/>
      <c r="I48" s="64"/>
      <c r="J48" s="65"/>
      <c r="K48" s="64"/>
      <c r="L48" s="65"/>
      <c r="M48" s="64"/>
      <c r="N48" s="65"/>
      <c r="O48" s="64"/>
      <c r="P48" s="65">
        <f>SUM(tblEntretenimento[[#This Row],[Jan]:[Dez]])</f>
        <v>10</v>
      </c>
      <c r="Q48" s="64"/>
    </row>
    <row r="49" spans="1:17" ht="21" customHeight="1" x14ac:dyDescent="0.2">
      <c r="B49" s="26"/>
      <c r="C49" s="46" t="s">
        <v>5</v>
      </c>
      <c r="D49" s="66">
        <f>SUBTOTAL(109,tblEntretenimento[Jan])</f>
        <v>106</v>
      </c>
      <c r="E49" s="62">
        <f>SUBTOTAL(109,tblEntretenimento[Fev])</f>
        <v>103</v>
      </c>
      <c r="F49" s="66">
        <f>SUBTOTAL(109,tblEntretenimento[Março])</f>
        <v>0</v>
      </c>
      <c r="G49" s="62">
        <f>SUBTOTAL(109,tblEntretenimento[Abr])</f>
        <v>0</v>
      </c>
      <c r="H49" s="66">
        <f>SUBTOTAL(109,tblEntretenimento[Mai])</f>
        <v>0</v>
      </c>
      <c r="I49" s="62">
        <f>SUBTOTAL(109,tblEntretenimento[Jun])</f>
        <v>0</v>
      </c>
      <c r="J49" s="66">
        <f>SUBTOTAL(109,tblEntretenimento[Julho])</f>
        <v>0</v>
      </c>
      <c r="K49" s="62">
        <f>SUBTOTAL(109,tblEntretenimento[Ago])</f>
        <v>0</v>
      </c>
      <c r="L49" s="66">
        <f>SUBTOTAL(109,tblEntretenimento[Set])</f>
        <v>0</v>
      </c>
      <c r="M49" s="62">
        <f>SUBTOTAL(109,tblEntretenimento[Out])</f>
        <v>0</v>
      </c>
      <c r="N49" s="66">
        <f>SUBTOTAL(109,tblEntretenimento[Nov])</f>
        <v>0</v>
      </c>
      <c r="O49" s="62">
        <f>SUBTOTAL(109,tblEntretenimento[Dez])</f>
        <v>0</v>
      </c>
      <c r="P49" s="66">
        <f>SUBTOTAL(109,tblEntretenimento[Ano])</f>
        <v>209</v>
      </c>
      <c r="Q49" s="16"/>
    </row>
    <row r="50" spans="1:17" ht="8.1" customHeight="1" x14ac:dyDescent="0.2">
      <c r="B50" s="43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</row>
    <row r="51" spans="1:17" ht="20.100000000000001" customHeight="1" x14ac:dyDescent="0.2">
      <c r="B51" s="26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</row>
    <row r="52" spans="1:17" ht="21" customHeight="1" x14ac:dyDescent="0.2">
      <c r="B52" s="43"/>
      <c r="C52" s="32" t="s">
        <v>23</v>
      </c>
      <c r="D52" s="17"/>
      <c r="E52" s="6"/>
      <c r="F52" s="17"/>
      <c r="G52" s="6"/>
      <c r="H52" s="17"/>
      <c r="I52" s="6"/>
      <c r="J52" s="17"/>
      <c r="K52" s="6"/>
      <c r="L52" s="17"/>
      <c r="M52" s="6"/>
      <c r="N52" s="17"/>
      <c r="O52" s="6"/>
      <c r="P52" s="17"/>
      <c r="Q52" s="6"/>
    </row>
    <row r="53" spans="1:17" ht="15.9" hidden="1" customHeight="1" x14ac:dyDescent="0.2">
      <c r="B53" s="43"/>
      <c r="C53" t="s">
        <v>24</v>
      </c>
      <c r="D53" t="s">
        <v>57</v>
      </c>
      <c r="E53" t="s">
        <v>59</v>
      </c>
      <c r="F53" t="s">
        <v>61</v>
      </c>
      <c r="G53" t="s">
        <v>63</v>
      </c>
      <c r="H53" t="s">
        <v>66</v>
      </c>
      <c r="I53" t="s">
        <v>68</v>
      </c>
      <c r="J53" t="s">
        <v>70</v>
      </c>
      <c r="K53" t="s">
        <v>72</v>
      </c>
      <c r="L53" t="s">
        <v>74</v>
      </c>
      <c r="M53" t="s">
        <v>76</v>
      </c>
      <c r="N53" t="s">
        <v>78</v>
      </c>
      <c r="O53" t="s">
        <v>80</v>
      </c>
      <c r="P53" t="s">
        <v>82</v>
      </c>
      <c r="Q53" t="s">
        <v>84</v>
      </c>
    </row>
    <row r="54" spans="1:17" ht="15.9" customHeight="1" x14ac:dyDescent="0.2">
      <c r="B54" s="43"/>
      <c r="C54" s="7" t="s">
        <v>25</v>
      </c>
      <c r="D54" s="65">
        <v>50</v>
      </c>
      <c r="E54" s="64">
        <v>50</v>
      </c>
      <c r="F54" s="65"/>
      <c r="G54" s="64"/>
      <c r="H54" s="65"/>
      <c r="I54" s="64"/>
      <c r="J54" s="65"/>
      <c r="K54" s="64"/>
      <c r="L54" s="65"/>
      <c r="M54" s="64"/>
      <c r="N54" s="65"/>
      <c r="O54" s="64"/>
      <c r="P54" s="65">
        <f>SUM(tblSaúde[[#This Row],[Jan]:[Dez]])</f>
        <v>100</v>
      </c>
      <c r="Q54" s="64"/>
    </row>
    <row r="55" spans="1:17" s="14" customFormat="1" ht="15.9" customHeight="1" x14ac:dyDescent="0.2">
      <c r="A55" s="2"/>
      <c r="B55" s="43"/>
      <c r="C55" s="7" t="s">
        <v>94</v>
      </c>
      <c r="D55" s="65">
        <v>100</v>
      </c>
      <c r="E55" s="64">
        <v>100</v>
      </c>
      <c r="F55" s="65"/>
      <c r="G55" s="64"/>
      <c r="H55" s="65"/>
      <c r="I55" s="64"/>
      <c r="J55" s="65"/>
      <c r="K55" s="64"/>
      <c r="L55" s="65"/>
      <c r="M55" s="64"/>
      <c r="N55" s="65"/>
      <c r="O55" s="64"/>
      <c r="P55" s="65">
        <f>SUM(tblSaúde[[#This Row],[Jan]:[Dez]])</f>
        <v>200</v>
      </c>
      <c r="Q55" s="64"/>
    </row>
    <row r="56" spans="1:17" s="14" customFormat="1" ht="15.9" customHeight="1" x14ac:dyDescent="0.2">
      <c r="C56" s="47" t="s">
        <v>95</v>
      </c>
      <c r="D56" s="65">
        <v>6</v>
      </c>
      <c r="E56" s="64">
        <v>2</v>
      </c>
      <c r="F56" s="65"/>
      <c r="G56" s="64"/>
      <c r="H56" s="65"/>
      <c r="I56" s="64"/>
      <c r="J56" s="65"/>
      <c r="K56" s="64"/>
      <c r="L56" s="65"/>
      <c r="M56" s="64"/>
      <c r="N56" s="65"/>
      <c r="O56" s="64"/>
      <c r="P56" s="65">
        <f>SUM(tblSaúde[[#This Row],[Jan]:[Dez]])</f>
        <v>8</v>
      </c>
      <c r="Q56" s="62"/>
    </row>
    <row r="57" spans="1:17" ht="15.9" customHeight="1" x14ac:dyDescent="0.2">
      <c r="B57" s="43"/>
      <c r="C57" s="7" t="s">
        <v>26</v>
      </c>
      <c r="D57" s="65">
        <v>4</v>
      </c>
      <c r="E57" s="64"/>
      <c r="F57" s="65"/>
      <c r="G57" s="64"/>
      <c r="H57" s="65"/>
      <c r="I57" s="64"/>
      <c r="J57" s="65"/>
      <c r="K57" s="64"/>
      <c r="L57" s="65"/>
      <c r="M57" s="64"/>
      <c r="N57" s="65"/>
      <c r="O57" s="64"/>
      <c r="P57" s="65">
        <f>SUM(tblSaúde[[#This Row],[Jan]:[Dez]])</f>
        <v>4</v>
      </c>
      <c r="Q57" s="62"/>
    </row>
    <row r="58" spans="1:17" ht="15.9" customHeight="1" x14ac:dyDescent="0.2">
      <c r="B58" s="43"/>
      <c r="C58" s="7" t="s">
        <v>27</v>
      </c>
      <c r="D58" s="65">
        <v>55</v>
      </c>
      <c r="E58" s="64">
        <v>55</v>
      </c>
      <c r="F58" s="65"/>
      <c r="G58" s="64"/>
      <c r="H58" s="65"/>
      <c r="I58" s="64"/>
      <c r="J58" s="65"/>
      <c r="K58" s="64"/>
      <c r="L58" s="65"/>
      <c r="M58" s="64"/>
      <c r="N58" s="65"/>
      <c r="O58" s="64"/>
      <c r="P58" s="65">
        <f>SUM(tblSaúde[[#This Row],[Jan]:[Dez]])</f>
        <v>110</v>
      </c>
      <c r="Q58" s="64"/>
    </row>
    <row r="59" spans="1:17" ht="21" customHeight="1" x14ac:dyDescent="0.2">
      <c r="B59" s="43"/>
      <c r="C59" s="29" t="s">
        <v>5</v>
      </c>
      <c r="D59" s="66">
        <f>SUBTOTAL(109,tblSaúde[Jan])</f>
        <v>215</v>
      </c>
      <c r="E59" s="62">
        <f>SUBTOTAL(109,tblSaúde[Fev])</f>
        <v>207</v>
      </c>
      <c r="F59" s="66">
        <f>SUBTOTAL(109,tblSaúde[Março])</f>
        <v>0</v>
      </c>
      <c r="G59" s="62">
        <f>SUBTOTAL(109,tblSaúde[Abr])</f>
        <v>0</v>
      </c>
      <c r="H59" s="66">
        <f>SUBTOTAL(109,tblSaúde[Mai])</f>
        <v>0</v>
      </c>
      <c r="I59" s="62">
        <f>SUBTOTAL(109,tblSaúde[Jun])</f>
        <v>0</v>
      </c>
      <c r="J59" s="66">
        <f>SUBTOTAL(109,tblSaúde[Julho])</f>
        <v>0</v>
      </c>
      <c r="K59" s="62">
        <f>SUBTOTAL(109,tblSaúde[Ago])</f>
        <v>0</v>
      </c>
      <c r="L59" s="66">
        <f>SUBTOTAL(109,tblSaúde[Set])</f>
        <v>0</v>
      </c>
      <c r="M59" s="62">
        <f>SUBTOTAL(109,tblSaúde[Out])</f>
        <v>0</v>
      </c>
      <c r="N59" s="66">
        <f>SUBTOTAL(109,tblSaúde[Nov])</f>
        <v>0</v>
      </c>
      <c r="O59" s="62">
        <f>SUBTOTAL(109,tblSaúde[Dez])</f>
        <v>0</v>
      </c>
      <c r="P59" s="66">
        <f>SUBTOTAL(109,tblSaúde[Ano])</f>
        <v>422</v>
      </c>
      <c r="Q59" s="16"/>
    </row>
    <row r="60" spans="1:17" ht="8.1" customHeight="1" x14ac:dyDescent="0.2">
      <c r="B60" s="26"/>
      <c r="C60" s="78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1:17" ht="20.100000000000001" customHeight="1" x14ac:dyDescent="0.2">
      <c r="B61" s="26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</row>
    <row r="62" spans="1:17" ht="21" customHeight="1" x14ac:dyDescent="0.2">
      <c r="B62" s="42"/>
      <c r="C62" s="27" t="s">
        <v>28</v>
      </c>
      <c r="D62" s="18"/>
      <c r="E62" s="6"/>
      <c r="F62" s="18"/>
      <c r="G62" s="6"/>
      <c r="H62" s="18"/>
      <c r="I62" s="6"/>
      <c r="J62" s="18"/>
      <c r="K62" s="6"/>
      <c r="L62" s="18"/>
      <c r="M62" s="6"/>
      <c r="N62" s="18"/>
      <c r="O62" s="6"/>
      <c r="P62" s="18"/>
      <c r="Q62" s="6"/>
    </row>
    <row r="63" spans="1:17" ht="21" hidden="1" customHeight="1" x14ac:dyDescent="0.2">
      <c r="B63" s="42"/>
      <c r="C63" t="s">
        <v>29</v>
      </c>
      <c r="D63" t="s">
        <v>57</v>
      </c>
      <c r="E63" t="s">
        <v>59</v>
      </c>
      <c r="F63" t="s">
        <v>61</v>
      </c>
      <c r="G63" t="s">
        <v>63</v>
      </c>
      <c r="H63" t="s">
        <v>66</v>
      </c>
      <c r="I63" t="s">
        <v>68</v>
      </c>
      <c r="J63" t="s">
        <v>70</v>
      </c>
      <c r="K63" t="s">
        <v>72</v>
      </c>
      <c r="L63" t="s">
        <v>74</v>
      </c>
      <c r="M63" t="s">
        <v>76</v>
      </c>
      <c r="N63" t="s">
        <v>78</v>
      </c>
      <c r="O63" t="s">
        <v>80</v>
      </c>
      <c r="P63" t="s">
        <v>82</v>
      </c>
      <c r="Q63" t="s">
        <v>84</v>
      </c>
    </row>
    <row r="64" spans="1:17" s="14" customFormat="1" ht="15.9" customHeight="1" x14ac:dyDescent="0.2">
      <c r="A64" s="2"/>
      <c r="B64" s="42"/>
      <c r="C64" s="7" t="s">
        <v>96</v>
      </c>
      <c r="D64" s="60"/>
      <c r="E64" s="64">
        <v>485</v>
      </c>
      <c r="F64" s="60"/>
      <c r="G64" s="64"/>
      <c r="H64" s="60"/>
      <c r="I64" s="64"/>
      <c r="J64" s="60"/>
      <c r="K64" s="64"/>
      <c r="L64" s="60"/>
      <c r="M64" s="64"/>
      <c r="N64" s="60"/>
      <c r="O64" s="64"/>
      <c r="P64" s="60">
        <f>SUM(tblFérias[[#This Row],[Jan]:[Dez]])</f>
        <v>485</v>
      </c>
      <c r="Q64" s="62"/>
    </row>
    <row r="65" spans="1:17" ht="15.9" customHeight="1" x14ac:dyDescent="0.2">
      <c r="C65" s="48" t="s">
        <v>30</v>
      </c>
      <c r="D65" s="60"/>
      <c r="E65" s="64">
        <v>245</v>
      </c>
      <c r="F65" s="60"/>
      <c r="G65" s="64"/>
      <c r="H65" s="60"/>
      <c r="I65" s="64"/>
      <c r="J65" s="60"/>
      <c r="K65" s="64"/>
      <c r="L65" s="60"/>
      <c r="M65" s="64"/>
      <c r="N65" s="60"/>
      <c r="O65" s="64"/>
      <c r="P65" s="60">
        <f>SUM(tblFérias[[#This Row],[Jan]:[Dez]])</f>
        <v>245</v>
      </c>
      <c r="Q65" s="64"/>
    </row>
    <row r="66" spans="1:17" ht="15.9" customHeight="1" x14ac:dyDescent="0.2">
      <c r="B66" s="42"/>
      <c r="C66" s="7" t="s">
        <v>31</v>
      </c>
      <c r="D66" s="60"/>
      <c r="E66" s="64">
        <v>95</v>
      </c>
      <c r="F66" s="60"/>
      <c r="G66" s="64"/>
      <c r="H66" s="60"/>
      <c r="I66" s="64"/>
      <c r="J66" s="60"/>
      <c r="K66" s="64"/>
      <c r="L66" s="60"/>
      <c r="M66" s="64"/>
      <c r="N66" s="60"/>
      <c r="O66" s="64"/>
      <c r="P66" s="60">
        <f>SUM(tblFérias[[#This Row],[Jan]:[Dez]])</f>
        <v>95</v>
      </c>
      <c r="Q66" s="62"/>
    </row>
    <row r="67" spans="1:17" ht="15.9" customHeight="1" x14ac:dyDescent="0.2">
      <c r="B67" s="42"/>
      <c r="C67" s="7" t="s">
        <v>97</v>
      </c>
      <c r="D67" s="60"/>
      <c r="E67" s="64">
        <v>85</v>
      </c>
      <c r="F67" s="60"/>
      <c r="G67" s="64"/>
      <c r="H67" s="60"/>
      <c r="I67" s="64"/>
      <c r="J67" s="60"/>
      <c r="K67" s="64"/>
      <c r="L67" s="60"/>
      <c r="M67" s="64"/>
      <c r="N67" s="60"/>
      <c r="O67" s="64"/>
      <c r="P67" s="60">
        <f>SUM(tblFérias[[#This Row],[Jan]:[Dez]])</f>
        <v>85</v>
      </c>
      <c r="Q67" s="64"/>
    </row>
    <row r="68" spans="1:17" ht="21" customHeight="1" x14ac:dyDescent="0.2">
      <c r="B68" s="42"/>
      <c r="C68" s="29" t="s">
        <v>5</v>
      </c>
      <c r="D68" s="63">
        <f>SUBTOTAL(109,tblFérias[Jan])</f>
        <v>0</v>
      </c>
      <c r="E68" s="62">
        <f>SUBTOTAL(109,tblFérias[Fev])</f>
        <v>910</v>
      </c>
      <c r="F68" s="63">
        <f>SUBTOTAL(109,tblFérias[Março])</f>
        <v>0</v>
      </c>
      <c r="G68" s="62">
        <f>SUBTOTAL(109,tblFérias[Abr])</f>
        <v>0</v>
      </c>
      <c r="H68" s="63">
        <f>SUBTOTAL(109,tblFérias[Mai])</f>
        <v>0</v>
      </c>
      <c r="I68" s="62">
        <f>SUBTOTAL(109,tblFérias[Jun])</f>
        <v>0</v>
      </c>
      <c r="J68" s="63">
        <f>SUBTOTAL(109,tblFérias[Julho])</f>
        <v>0</v>
      </c>
      <c r="K68" s="62">
        <f>SUBTOTAL(109,tblFérias[Ago])</f>
        <v>0</v>
      </c>
      <c r="L68" s="63">
        <f>SUBTOTAL(109,tblFérias[Set])</f>
        <v>0</v>
      </c>
      <c r="M68" s="62">
        <f>SUBTOTAL(109,tblFérias[Out])</f>
        <v>0</v>
      </c>
      <c r="N68" s="63">
        <f>SUBTOTAL(109,tblFérias[Nov])</f>
        <v>0</v>
      </c>
      <c r="O68" s="62">
        <f>SUBTOTAL(109,tblFérias[Dez])</f>
        <v>0</v>
      </c>
      <c r="P68" s="63">
        <f>SUBTOTAL(109,tblFérias[Ano])</f>
        <v>910</v>
      </c>
      <c r="Q68" s="16"/>
    </row>
    <row r="69" spans="1:17" ht="8.1" customHeight="1" x14ac:dyDescent="0.2">
      <c r="B69" s="26"/>
      <c r="C69" s="76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1:17" s="14" customFormat="1" ht="20.100000000000001" customHeight="1" x14ac:dyDescent="0.2">
      <c r="A70" s="2"/>
      <c r="B70" s="26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</row>
    <row r="71" spans="1:17" ht="21" customHeight="1" x14ac:dyDescent="0.2">
      <c r="B71" s="42"/>
      <c r="C71" s="31" t="s">
        <v>32</v>
      </c>
      <c r="D71" s="18"/>
      <c r="E71" s="6"/>
      <c r="F71" s="18"/>
      <c r="G71" s="6"/>
      <c r="H71" s="18"/>
      <c r="I71" s="6"/>
      <c r="J71" s="18"/>
      <c r="K71" s="6"/>
      <c r="L71" s="18"/>
      <c r="M71" s="6"/>
      <c r="N71" s="18"/>
      <c r="O71" s="6"/>
      <c r="P71" s="18"/>
      <c r="Q71" s="6"/>
    </row>
    <row r="72" spans="1:17" ht="21" hidden="1" customHeight="1" x14ac:dyDescent="0.2">
      <c r="B72" s="42"/>
      <c r="C72" t="s">
        <v>33</v>
      </c>
      <c r="D72" t="s">
        <v>57</v>
      </c>
      <c r="E72" t="s">
        <v>59</v>
      </c>
      <c r="F72" t="s">
        <v>61</v>
      </c>
      <c r="G72" t="s">
        <v>63</v>
      </c>
      <c r="H72" t="s">
        <v>66</v>
      </c>
      <c r="I72" t="s">
        <v>68</v>
      </c>
      <c r="J72" t="s">
        <v>70</v>
      </c>
      <c r="K72" t="s">
        <v>72</v>
      </c>
      <c r="L72" t="s">
        <v>74</v>
      </c>
      <c r="M72" t="s">
        <v>76</v>
      </c>
      <c r="N72" t="s">
        <v>78</v>
      </c>
      <c r="O72" t="s">
        <v>80</v>
      </c>
      <c r="P72" t="s">
        <v>82</v>
      </c>
      <c r="Q72" t="s">
        <v>84</v>
      </c>
    </row>
    <row r="73" spans="1:17" ht="15.9" customHeight="1" x14ac:dyDescent="0.2">
      <c r="B73" s="42"/>
      <c r="C73" s="7" t="s">
        <v>98</v>
      </c>
      <c r="D73" s="60"/>
      <c r="E73" s="64"/>
      <c r="F73" s="60"/>
      <c r="G73" s="64"/>
      <c r="H73" s="60"/>
      <c r="I73" s="64"/>
      <c r="J73" s="60"/>
      <c r="K73" s="64"/>
      <c r="L73" s="60"/>
      <c r="M73" s="64"/>
      <c r="N73" s="60"/>
      <c r="O73" s="64"/>
      <c r="P73" s="60">
        <f>SUM(tblRecreação[[#This Row],[Jan]:[Dez]])</f>
        <v>0</v>
      </c>
      <c r="Q73" s="62"/>
    </row>
    <row r="74" spans="1:17" ht="15.9" customHeight="1" x14ac:dyDescent="0.2">
      <c r="B74" s="42"/>
      <c r="C74" s="7" t="s">
        <v>34</v>
      </c>
      <c r="D74" s="60"/>
      <c r="E74" s="64"/>
      <c r="F74" s="60"/>
      <c r="G74" s="64"/>
      <c r="H74" s="60"/>
      <c r="I74" s="64"/>
      <c r="J74" s="60"/>
      <c r="K74" s="64"/>
      <c r="L74" s="60"/>
      <c r="M74" s="64"/>
      <c r="N74" s="60"/>
      <c r="O74" s="64"/>
      <c r="P74" s="60">
        <f>SUM(tblRecreação[[#This Row],[Jan]:[Dez]])</f>
        <v>0</v>
      </c>
      <c r="Q74" s="64"/>
    </row>
    <row r="75" spans="1:17" ht="15.9" customHeight="1" x14ac:dyDescent="0.2">
      <c r="B75" s="42"/>
      <c r="C75" s="7" t="s">
        <v>35</v>
      </c>
      <c r="D75" s="60">
        <v>39</v>
      </c>
      <c r="E75" s="64">
        <v>33</v>
      </c>
      <c r="F75" s="60"/>
      <c r="G75" s="64"/>
      <c r="H75" s="60"/>
      <c r="I75" s="64"/>
      <c r="J75" s="60"/>
      <c r="K75" s="64"/>
      <c r="L75" s="60"/>
      <c r="M75" s="64"/>
      <c r="N75" s="60"/>
      <c r="O75" s="64"/>
      <c r="P75" s="60">
        <f>SUM(tblRecreação[[#This Row],[Jan]:[Dez]])</f>
        <v>72</v>
      </c>
      <c r="Q75" s="64"/>
    </row>
    <row r="76" spans="1:17" ht="21" customHeight="1" x14ac:dyDescent="0.2">
      <c r="B76" s="42"/>
      <c r="C76" s="29" t="s">
        <v>5</v>
      </c>
      <c r="D76" s="63">
        <f>SUBTOTAL(109,tblRecreação[Jan])</f>
        <v>39</v>
      </c>
      <c r="E76" s="62">
        <f>SUBTOTAL(109,tblRecreação[Fev])</f>
        <v>33</v>
      </c>
      <c r="F76" s="63">
        <f>SUBTOTAL(109,tblRecreação[Março])</f>
        <v>0</v>
      </c>
      <c r="G76" s="62">
        <f>SUBTOTAL(109,tblRecreação[Abr])</f>
        <v>0</v>
      </c>
      <c r="H76" s="63">
        <f>SUBTOTAL(109,tblRecreação[Mai])</f>
        <v>0</v>
      </c>
      <c r="I76" s="62">
        <f>SUBTOTAL(109,tblRecreação[Jun])</f>
        <v>0</v>
      </c>
      <c r="J76" s="63">
        <f>SUBTOTAL(109,tblRecreação[Julho])</f>
        <v>0</v>
      </c>
      <c r="K76" s="62">
        <f>SUBTOTAL(109,tblRecreação[Ago])</f>
        <v>0</v>
      </c>
      <c r="L76" s="63">
        <f>SUBTOTAL(109,tblRecreação[Set])</f>
        <v>0</v>
      </c>
      <c r="M76" s="62">
        <f>SUBTOTAL(109,tblRecreação[Out])</f>
        <v>0</v>
      </c>
      <c r="N76" s="63">
        <f>SUBTOTAL(109,tblRecreação[Nov])</f>
        <v>0</v>
      </c>
      <c r="O76" s="62">
        <f>SUBTOTAL(109,tblRecreação[Dez])</f>
        <v>0</v>
      </c>
      <c r="P76" s="63">
        <f>SUBTOTAL(109,tblRecreação[Ano])</f>
        <v>72</v>
      </c>
      <c r="Q76" s="16"/>
    </row>
    <row r="77" spans="1:17" ht="8.1" customHeight="1" x14ac:dyDescent="0.2">
      <c r="B77" s="42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</row>
    <row r="78" spans="1:17" ht="20.100000000000001" customHeight="1" x14ac:dyDescent="0.2">
      <c r="B78" s="26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</row>
    <row r="79" spans="1:17" ht="21" customHeight="1" x14ac:dyDescent="0.2">
      <c r="B79" s="43"/>
      <c r="C79" s="33" t="s">
        <v>36</v>
      </c>
      <c r="D79" s="17"/>
      <c r="E79" s="6"/>
      <c r="F79" s="17"/>
      <c r="G79" s="6"/>
      <c r="H79" s="17"/>
      <c r="I79" s="6"/>
      <c r="J79" s="17"/>
      <c r="K79" s="6"/>
      <c r="L79" s="17"/>
      <c r="M79" s="6"/>
      <c r="N79" s="17"/>
      <c r="O79" s="6"/>
      <c r="P79" s="17"/>
      <c r="Q79" s="6"/>
    </row>
    <row r="80" spans="1:17" s="14" customFormat="1" ht="8.1" hidden="1" customHeight="1" x14ac:dyDescent="0.2">
      <c r="A80" s="2"/>
      <c r="B80" s="43"/>
      <c r="C80" t="s">
        <v>37</v>
      </c>
      <c r="D80" t="s">
        <v>57</v>
      </c>
      <c r="E80" t="s">
        <v>59</v>
      </c>
      <c r="F80" t="s">
        <v>61</v>
      </c>
      <c r="G80" t="s">
        <v>63</v>
      </c>
      <c r="H80" t="s">
        <v>66</v>
      </c>
      <c r="I80" t="s">
        <v>68</v>
      </c>
      <c r="J80" t="s">
        <v>70</v>
      </c>
      <c r="K80" t="s">
        <v>72</v>
      </c>
      <c r="L80" t="s">
        <v>74</v>
      </c>
      <c r="M80" t="s">
        <v>76</v>
      </c>
      <c r="N80" t="s">
        <v>78</v>
      </c>
      <c r="O80" t="s">
        <v>80</v>
      </c>
      <c r="P80" t="s">
        <v>82</v>
      </c>
      <c r="Q80" t="s">
        <v>84</v>
      </c>
    </row>
    <row r="81" spans="1:17" ht="15.9" customHeight="1" x14ac:dyDescent="0.2">
      <c r="B81" s="43"/>
      <c r="C81" s="7" t="s">
        <v>38</v>
      </c>
      <c r="D81" s="65"/>
      <c r="E81" s="64"/>
      <c r="F81" s="65"/>
      <c r="G81" s="64"/>
      <c r="H81" s="65"/>
      <c r="I81" s="64"/>
      <c r="J81" s="65"/>
      <c r="K81" s="64"/>
      <c r="L81" s="65"/>
      <c r="M81" s="64"/>
      <c r="N81" s="65"/>
      <c r="O81" s="64"/>
      <c r="P81" s="65">
        <f>SUM(tblVencimentos[[#This Row],[Jan]:[Dez]])</f>
        <v>0</v>
      </c>
      <c r="Q81" s="64"/>
    </row>
    <row r="82" spans="1:17" ht="15.9" customHeight="1" x14ac:dyDescent="0.2">
      <c r="B82" s="43"/>
      <c r="C82" s="7" t="s">
        <v>99</v>
      </c>
      <c r="D82" s="65"/>
      <c r="E82" s="64"/>
      <c r="F82" s="65"/>
      <c r="G82" s="64"/>
      <c r="H82" s="65"/>
      <c r="I82" s="64"/>
      <c r="J82" s="65"/>
      <c r="K82" s="64"/>
      <c r="L82" s="65"/>
      <c r="M82" s="64"/>
      <c r="N82" s="65"/>
      <c r="O82" s="64"/>
      <c r="P82" s="65">
        <f>SUM(tblVencimentos[[#This Row],[Jan]:[Dez]])</f>
        <v>0</v>
      </c>
      <c r="Q82" s="64"/>
    </row>
    <row r="83" spans="1:17" ht="15.9" customHeight="1" x14ac:dyDescent="0.2">
      <c r="B83" s="43"/>
      <c r="C83" s="7" t="s">
        <v>99</v>
      </c>
      <c r="D83" s="65">
        <v>29</v>
      </c>
      <c r="E83" s="64">
        <v>18</v>
      </c>
      <c r="F83" s="65"/>
      <c r="G83" s="64"/>
      <c r="H83" s="65"/>
      <c r="I83" s="64"/>
      <c r="J83" s="65"/>
      <c r="K83" s="64"/>
      <c r="L83" s="65"/>
      <c r="M83" s="64"/>
      <c r="N83" s="65"/>
      <c r="O83" s="64"/>
      <c r="P83" s="65">
        <f>SUM(tblVencimentos[[#This Row],[Jan]:[Dez]])</f>
        <v>47</v>
      </c>
      <c r="Q83" s="62"/>
    </row>
    <row r="84" spans="1:17" ht="15.9" customHeight="1" x14ac:dyDescent="0.2">
      <c r="B84" s="43"/>
      <c r="C84" s="7" t="s">
        <v>99</v>
      </c>
      <c r="D84" s="65"/>
      <c r="E84" s="64"/>
      <c r="F84" s="65"/>
      <c r="G84" s="64"/>
      <c r="H84" s="65"/>
      <c r="I84" s="64"/>
      <c r="J84" s="65"/>
      <c r="K84" s="64"/>
      <c r="L84" s="65"/>
      <c r="M84" s="64"/>
      <c r="N84" s="65"/>
      <c r="O84" s="64"/>
      <c r="P84" s="65">
        <f>SUM(tblVencimentos[[#This Row],[Jan]:[Dez]])</f>
        <v>0</v>
      </c>
      <c r="Q84" s="64"/>
    </row>
    <row r="85" spans="1:17" ht="21" customHeight="1" x14ac:dyDescent="0.2">
      <c r="B85" s="43"/>
      <c r="C85" s="29" t="s">
        <v>5</v>
      </c>
      <c r="D85" s="66">
        <f>SUBTOTAL(109,tblVencimentos[Jan])</f>
        <v>29</v>
      </c>
      <c r="E85" s="62">
        <f>SUBTOTAL(109,tblVencimentos[Fev])</f>
        <v>18</v>
      </c>
      <c r="F85" s="66">
        <f>SUBTOTAL(109,tblVencimentos[Março])</f>
        <v>0</v>
      </c>
      <c r="G85" s="62">
        <f>SUBTOTAL(109,tblVencimentos[Abr])</f>
        <v>0</v>
      </c>
      <c r="H85" s="66">
        <f>SUBTOTAL(109,tblVencimentos[Mai])</f>
        <v>0</v>
      </c>
      <c r="I85" s="62">
        <f>SUBTOTAL(109,tblVencimentos[Jun])</f>
        <v>0</v>
      </c>
      <c r="J85" s="66">
        <f>SUBTOTAL(109,tblVencimentos[Julho])</f>
        <v>0</v>
      </c>
      <c r="K85" s="62">
        <f>SUBTOTAL(109,tblVencimentos[Ago])</f>
        <v>0</v>
      </c>
      <c r="L85" s="66">
        <f>SUBTOTAL(109,tblVencimentos[Set])</f>
        <v>0</v>
      </c>
      <c r="M85" s="62">
        <f>SUBTOTAL(109,tblVencimentos[Out])</f>
        <v>0</v>
      </c>
      <c r="N85" s="66">
        <f>SUBTOTAL(109,tblVencimentos[Nov])</f>
        <v>0</v>
      </c>
      <c r="O85" s="62">
        <f>SUBTOTAL(109,tblVencimentos[Dez])</f>
        <v>0</v>
      </c>
      <c r="P85" s="66">
        <f>SUBTOTAL(109,tblVencimentos[Ano])</f>
        <v>47</v>
      </c>
      <c r="Q85" s="16"/>
    </row>
    <row r="86" spans="1:17" s="14" customFormat="1" ht="8.1" customHeight="1" x14ac:dyDescent="0.2">
      <c r="A86" s="2"/>
      <c r="B86" s="43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</row>
    <row r="87" spans="1:17" ht="20.100000000000001" customHeight="1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</row>
    <row r="88" spans="1:17" ht="21" customHeight="1" x14ac:dyDescent="0.2">
      <c r="B88" s="43"/>
      <c r="C88" s="33" t="s">
        <v>39</v>
      </c>
      <c r="D88" s="17"/>
      <c r="E88" s="6"/>
      <c r="F88" s="17"/>
      <c r="G88" s="6"/>
      <c r="H88" s="17"/>
      <c r="I88" s="6"/>
      <c r="J88" s="17"/>
      <c r="K88" s="6"/>
      <c r="L88" s="17"/>
      <c r="M88" s="6"/>
      <c r="N88" s="17"/>
      <c r="O88" s="6"/>
      <c r="P88" s="17"/>
      <c r="Q88" s="6"/>
    </row>
    <row r="89" spans="1:17" ht="15.9" hidden="1" customHeight="1" x14ac:dyDescent="0.2">
      <c r="B89" s="43"/>
      <c r="C89" t="s">
        <v>40</v>
      </c>
      <c r="D89" t="s">
        <v>57</v>
      </c>
      <c r="E89" t="s">
        <v>59</v>
      </c>
      <c r="F89" t="s">
        <v>61</v>
      </c>
      <c r="G89" t="s">
        <v>63</v>
      </c>
      <c r="H89" t="s">
        <v>66</v>
      </c>
      <c r="I89" t="s">
        <v>68</v>
      </c>
      <c r="J89" t="s">
        <v>70</v>
      </c>
      <c r="K89" t="s">
        <v>72</v>
      </c>
      <c r="L89" t="s">
        <v>74</v>
      </c>
      <c r="M89" t="s">
        <v>76</v>
      </c>
      <c r="N89" t="s">
        <v>78</v>
      </c>
      <c r="O89" t="s">
        <v>80</v>
      </c>
      <c r="P89" t="s">
        <v>82</v>
      </c>
      <c r="Q89" t="s">
        <v>84</v>
      </c>
    </row>
    <row r="90" spans="1:17" ht="15.9" customHeight="1" x14ac:dyDescent="0.2">
      <c r="B90" s="43"/>
      <c r="C90" s="7" t="s">
        <v>41</v>
      </c>
      <c r="D90" s="65"/>
      <c r="E90" s="64"/>
      <c r="F90" s="65"/>
      <c r="G90" s="64"/>
      <c r="H90" s="65"/>
      <c r="I90" s="64"/>
      <c r="J90" s="65"/>
      <c r="K90" s="64"/>
      <c r="L90" s="65"/>
      <c r="M90" s="64"/>
      <c r="N90" s="65"/>
      <c r="O90" s="64"/>
      <c r="P90" s="65">
        <f>SUM(tabPessoal[[#This Row],[Jan]:[Dez]])</f>
        <v>0</v>
      </c>
      <c r="Q90" s="64"/>
    </row>
    <row r="91" spans="1:17" ht="15.9" customHeight="1" x14ac:dyDescent="0.2">
      <c r="B91" s="43"/>
      <c r="C91" s="7" t="s">
        <v>42</v>
      </c>
      <c r="D91" s="65"/>
      <c r="E91" s="64">
        <v>35</v>
      </c>
      <c r="F91" s="65"/>
      <c r="G91" s="64"/>
      <c r="H91" s="65"/>
      <c r="I91" s="64"/>
      <c r="J91" s="65"/>
      <c r="K91" s="64"/>
      <c r="L91" s="65"/>
      <c r="M91" s="64"/>
      <c r="N91" s="65"/>
      <c r="O91" s="64"/>
      <c r="P91" s="65">
        <f>SUM(tabPessoal[[#This Row],[Jan]:[Dez]])</f>
        <v>35</v>
      </c>
      <c r="Q91" s="62"/>
    </row>
    <row r="92" spans="1:17" ht="15.9" customHeight="1" x14ac:dyDescent="0.2">
      <c r="B92" s="43"/>
      <c r="C92" s="7" t="s">
        <v>43</v>
      </c>
      <c r="D92" s="65">
        <v>25</v>
      </c>
      <c r="E92" s="64">
        <v>25</v>
      </c>
      <c r="F92" s="65"/>
      <c r="G92" s="64"/>
      <c r="H92" s="65"/>
      <c r="I92" s="64"/>
      <c r="J92" s="65"/>
      <c r="K92" s="64"/>
      <c r="L92" s="65"/>
      <c r="M92" s="64"/>
      <c r="N92" s="65"/>
      <c r="O92" s="64"/>
      <c r="P92" s="65">
        <f>SUM(tabPessoal[[#This Row],[Jan]:[Dez]])</f>
        <v>50</v>
      </c>
      <c r="Q92" s="64"/>
    </row>
    <row r="93" spans="1:17" ht="15.9" customHeight="1" x14ac:dyDescent="0.2">
      <c r="B93" s="43"/>
      <c r="C93" s="7" t="s">
        <v>44</v>
      </c>
      <c r="D93" s="65"/>
      <c r="E93" s="64"/>
      <c r="F93" s="65"/>
      <c r="G93" s="64"/>
      <c r="H93" s="65"/>
      <c r="I93" s="64"/>
      <c r="J93" s="65"/>
      <c r="K93" s="64"/>
      <c r="L93" s="65"/>
      <c r="M93" s="64"/>
      <c r="N93" s="65"/>
      <c r="O93" s="64"/>
      <c r="P93" s="65">
        <f>SUM(tabPessoal[[#This Row],[Jan]:[Dez]])</f>
        <v>0</v>
      </c>
      <c r="Q93" s="62"/>
    </row>
    <row r="94" spans="1:17" s="14" customFormat="1" ht="21" customHeight="1" x14ac:dyDescent="0.2">
      <c r="A94" s="2"/>
      <c r="B94" s="43"/>
      <c r="C94" s="29" t="s">
        <v>5</v>
      </c>
      <c r="D94" s="66">
        <f>SUBTOTAL(109,tabPessoal[Jan])</f>
        <v>25</v>
      </c>
      <c r="E94" s="62">
        <f>SUBTOTAL(109,tabPessoal[Fev])</f>
        <v>60</v>
      </c>
      <c r="F94" s="66">
        <f>SUBTOTAL(109,tabPessoal[Março])</f>
        <v>0</v>
      </c>
      <c r="G94" s="62">
        <f>SUBTOTAL(109,tabPessoal[Abr])</f>
        <v>0</v>
      </c>
      <c r="H94" s="66">
        <f>SUBTOTAL(109,tabPessoal[Mai])</f>
        <v>0</v>
      </c>
      <c r="I94" s="62">
        <f>SUBTOTAL(109,tabPessoal[Jun])</f>
        <v>0</v>
      </c>
      <c r="J94" s="66">
        <f>SUBTOTAL(109,tabPessoal[Julho])</f>
        <v>0</v>
      </c>
      <c r="K94" s="62">
        <f>SUBTOTAL(109,tabPessoal[Ago])</f>
        <v>0</v>
      </c>
      <c r="L94" s="66">
        <f>SUBTOTAL(109,tabPessoal[Set])</f>
        <v>0</v>
      </c>
      <c r="M94" s="62">
        <f>SUBTOTAL(109,tabPessoal[Out])</f>
        <v>0</v>
      </c>
      <c r="N94" s="66">
        <f>SUBTOTAL(109,tabPessoal[Nov])</f>
        <v>0</v>
      </c>
      <c r="O94" s="62">
        <f>SUBTOTAL(109,tabPessoal[Dez])</f>
        <v>0</v>
      </c>
      <c r="P94" s="66">
        <f>SUBTOTAL(109,tabPessoal[Ano])</f>
        <v>85</v>
      </c>
      <c r="Q94" s="16"/>
    </row>
    <row r="95" spans="1:17" ht="8.1" customHeight="1" x14ac:dyDescent="0.2">
      <c r="B95" s="43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</row>
    <row r="96" spans="1:17" ht="20.100000000000001" customHeight="1" x14ac:dyDescent="0.2">
      <c r="B96" s="26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</row>
    <row r="97" spans="1:17" ht="21" customHeight="1" x14ac:dyDescent="0.2">
      <c r="B97" s="42"/>
      <c r="C97" s="31" t="s">
        <v>45</v>
      </c>
      <c r="D97" s="18"/>
      <c r="E97" s="6"/>
      <c r="F97" s="18"/>
      <c r="G97" s="6"/>
      <c r="H97" s="18"/>
      <c r="I97" s="6"/>
      <c r="J97" s="18"/>
      <c r="K97" s="6"/>
      <c r="L97" s="18"/>
      <c r="M97" s="6"/>
      <c r="N97" s="18"/>
      <c r="O97" s="6"/>
      <c r="P97" s="18"/>
      <c r="Q97" s="6"/>
    </row>
    <row r="98" spans="1:17" ht="15.9" hidden="1" customHeight="1" x14ac:dyDescent="0.2">
      <c r="B98" s="42"/>
      <c r="C98" t="s">
        <v>46</v>
      </c>
      <c r="D98" t="s">
        <v>57</v>
      </c>
      <c r="E98" t="s">
        <v>59</v>
      </c>
      <c r="F98" t="s">
        <v>61</v>
      </c>
      <c r="G98" t="s">
        <v>63</v>
      </c>
      <c r="H98" t="s">
        <v>66</v>
      </c>
      <c r="I98" t="s">
        <v>68</v>
      </c>
      <c r="J98" t="s">
        <v>70</v>
      </c>
      <c r="K98" t="s">
        <v>72</v>
      </c>
      <c r="L98" t="s">
        <v>74</v>
      </c>
      <c r="M98" t="s">
        <v>76</v>
      </c>
      <c r="N98" t="s">
        <v>78</v>
      </c>
      <c r="O98" t="s">
        <v>80</v>
      </c>
      <c r="P98" t="s">
        <v>82</v>
      </c>
      <c r="Q98" t="s">
        <v>84</v>
      </c>
    </row>
    <row r="99" spans="1:17" ht="15.9" customHeight="1" x14ac:dyDescent="0.2">
      <c r="B99" s="42"/>
      <c r="C99" s="7" t="s">
        <v>47</v>
      </c>
      <c r="D99" s="60">
        <v>25</v>
      </c>
      <c r="E99" s="64">
        <v>25</v>
      </c>
      <c r="F99" s="60"/>
      <c r="G99" s="64"/>
      <c r="H99" s="60"/>
      <c r="I99" s="64"/>
      <c r="J99" s="60"/>
      <c r="K99" s="64"/>
      <c r="L99" s="60"/>
      <c r="M99" s="64"/>
      <c r="N99" s="60"/>
      <c r="O99" s="64"/>
      <c r="P99" s="60">
        <f>SUM(tblFinanceiro[[#This Row],[Jan]:[Dez]])</f>
        <v>50</v>
      </c>
      <c r="Q99" s="64"/>
    </row>
    <row r="100" spans="1:17" ht="15.9" customHeight="1" x14ac:dyDescent="0.2">
      <c r="B100" s="42"/>
      <c r="C100" s="7" t="s">
        <v>48</v>
      </c>
      <c r="D100" s="60">
        <v>75</v>
      </c>
      <c r="E100" s="64">
        <v>75</v>
      </c>
      <c r="F100" s="60"/>
      <c r="G100" s="64"/>
      <c r="H100" s="60"/>
      <c r="I100" s="64"/>
      <c r="J100" s="60"/>
      <c r="K100" s="64"/>
      <c r="L100" s="60"/>
      <c r="M100" s="64"/>
      <c r="N100" s="60"/>
      <c r="O100" s="64"/>
      <c r="P100" s="60">
        <f>SUM(tblFinanceiro[[#This Row],[Jan]:[Dez]])</f>
        <v>150</v>
      </c>
      <c r="Q100" s="64"/>
    </row>
    <row r="101" spans="1:17" s="14" customFormat="1" ht="15.9" customHeight="1" x14ac:dyDescent="0.2">
      <c r="A101" s="2"/>
      <c r="B101" s="42"/>
      <c r="C101" s="7" t="s">
        <v>49</v>
      </c>
      <c r="D101" s="60">
        <v>32</v>
      </c>
      <c r="E101" s="64">
        <v>34</v>
      </c>
      <c r="F101" s="60"/>
      <c r="G101" s="64"/>
      <c r="H101" s="60"/>
      <c r="I101" s="64"/>
      <c r="J101" s="60"/>
      <c r="K101" s="64"/>
      <c r="L101" s="60"/>
      <c r="M101" s="64"/>
      <c r="N101" s="60"/>
      <c r="O101" s="64"/>
      <c r="P101" s="60">
        <f>SUM(tblFinanceiro[[#This Row],[Jan]:[Dez]])</f>
        <v>66</v>
      </c>
      <c r="Q101" s="64"/>
    </row>
    <row r="102" spans="1:17" ht="21" customHeight="1" x14ac:dyDescent="0.2">
      <c r="B102" s="42"/>
      <c r="C102" s="29" t="s">
        <v>5</v>
      </c>
      <c r="D102" s="63">
        <f>SUBTOTAL(109,tblFinanceiro[Jan])</f>
        <v>132</v>
      </c>
      <c r="E102" s="62">
        <f>SUBTOTAL(109,tblFinanceiro[Fev])</f>
        <v>134</v>
      </c>
      <c r="F102" s="63">
        <f>SUBTOTAL(109,tblFinanceiro[Março])</f>
        <v>0</v>
      </c>
      <c r="G102" s="62">
        <f>SUBTOTAL(109,tblFinanceiro[Abr])</f>
        <v>0</v>
      </c>
      <c r="H102" s="63">
        <f>SUBTOTAL(109,tblFinanceiro[Mai])</f>
        <v>0</v>
      </c>
      <c r="I102" s="62">
        <f>SUBTOTAL(109,tblFinanceiro[Jun])</f>
        <v>0</v>
      </c>
      <c r="J102" s="63">
        <f>SUBTOTAL(109,tblFinanceiro[Julho])</f>
        <v>0</v>
      </c>
      <c r="K102" s="62">
        <f>SUBTOTAL(109,tblFinanceiro[Ago])</f>
        <v>0</v>
      </c>
      <c r="L102" s="63">
        <f>SUBTOTAL(109,tblFinanceiro[Set])</f>
        <v>0</v>
      </c>
      <c r="M102" s="62">
        <f>SUBTOTAL(109,tblFinanceiro[Out])</f>
        <v>0</v>
      </c>
      <c r="N102" s="63">
        <f>SUBTOTAL(109,tblFinanceiro[Nov])</f>
        <v>0</v>
      </c>
      <c r="O102" s="62">
        <f>SUBTOTAL(109,tblFinanceiro[Dez])</f>
        <v>0</v>
      </c>
      <c r="P102" s="63">
        <f>SUBTOTAL(109,tblFinanceiro[Ano])</f>
        <v>266</v>
      </c>
      <c r="Q102" s="16"/>
    </row>
    <row r="103" spans="1:17" ht="8.1" customHeight="1" x14ac:dyDescent="0.2">
      <c r="B103" s="42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</row>
    <row r="104" spans="1:17" ht="20.100000000000001" customHeight="1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</row>
    <row r="105" spans="1:17" ht="21" customHeight="1" x14ac:dyDescent="0.2">
      <c r="B105" s="42"/>
      <c r="C105" s="31" t="s">
        <v>50</v>
      </c>
      <c r="D105" s="18"/>
      <c r="E105" s="6"/>
      <c r="F105" s="18"/>
      <c r="G105" s="6"/>
      <c r="H105" s="18"/>
      <c r="I105" s="6"/>
      <c r="J105" s="18"/>
      <c r="K105" s="6"/>
      <c r="L105" s="18"/>
      <c r="M105" s="6"/>
      <c r="N105" s="18"/>
      <c r="O105" s="6"/>
      <c r="P105" s="18"/>
      <c r="Q105" s="6"/>
    </row>
    <row r="106" spans="1:17" s="14" customFormat="1" ht="8.1" hidden="1" customHeight="1" x14ac:dyDescent="0.2">
      <c r="A106" s="2"/>
      <c r="B106" s="42"/>
      <c r="C106" t="s">
        <v>51</v>
      </c>
      <c r="D106" t="s">
        <v>57</v>
      </c>
      <c r="E106" t="s">
        <v>59</v>
      </c>
      <c r="F106" t="s">
        <v>61</v>
      </c>
      <c r="G106" t="s">
        <v>63</v>
      </c>
      <c r="H106" t="s">
        <v>65</v>
      </c>
      <c r="I106" t="s">
        <v>68</v>
      </c>
      <c r="J106" t="s">
        <v>70</v>
      </c>
      <c r="K106" t="s">
        <v>72</v>
      </c>
      <c r="L106" t="s">
        <v>74</v>
      </c>
      <c r="M106" t="s">
        <v>76</v>
      </c>
      <c r="N106" t="s">
        <v>78</v>
      </c>
      <c r="O106" t="s">
        <v>80</v>
      </c>
      <c r="P106" t="s">
        <v>82</v>
      </c>
      <c r="Q106" t="s">
        <v>84</v>
      </c>
    </row>
    <row r="107" spans="1:17" ht="15.9" customHeight="1" x14ac:dyDescent="0.2">
      <c r="B107" s="42"/>
      <c r="C107" s="28" t="s">
        <v>52</v>
      </c>
      <c r="D107" s="60"/>
      <c r="E107" s="64"/>
      <c r="F107" s="60"/>
      <c r="G107" s="64"/>
      <c r="H107" s="60"/>
      <c r="I107" s="64"/>
      <c r="J107" s="60"/>
      <c r="K107" s="64"/>
      <c r="L107" s="60"/>
      <c r="M107" s="64"/>
      <c r="N107" s="60"/>
      <c r="O107" s="64"/>
      <c r="P107" s="60">
        <f>SUM(tblDiversos[[#This Row],[Jan]:[Dez]])</f>
        <v>0</v>
      </c>
      <c r="Q107" s="64"/>
    </row>
    <row r="108" spans="1:17" ht="15.9" customHeight="1" x14ac:dyDescent="0.2">
      <c r="B108" s="42"/>
      <c r="C108" s="28" t="s">
        <v>52</v>
      </c>
      <c r="D108" s="60"/>
      <c r="E108" s="64"/>
      <c r="F108" s="60"/>
      <c r="G108" s="64"/>
      <c r="H108" s="60"/>
      <c r="I108" s="64"/>
      <c r="J108" s="60"/>
      <c r="K108" s="64"/>
      <c r="L108" s="60"/>
      <c r="M108" s="64"/>
      <c r="N108" s="60"/>
      <c r="O108" s="64"/>
      <c r="P108" s="60">
        <f>SUM(tblDiversos[[#This Row],[Jan]:[Dez]])</f>
        <v>0</v>
      </c>
      <c r="Q108" s="62"/>
    </row>
    <row r="109" spans="1:17" ht="15.9" customHeight="1" x14ac:dyDescent="0.2">
      <c r="B109" s="42"/>
      <c r="C109" s="28" t="s">
        <v>52</v>
      </c>
      <c r="D109" s="60"/>
      <c r="E109" s="64"/>
      <c r="F109" s="60"/>
      <c r="G109" s="64"/>
      <c r="H109" s="60"/>
      <c r="I109" s="64"/>
      <c r="J109" s="60"/>
      <c r="K109" s="64"/>
      <c r="L109" s="60"/>
      <c r="M109" s="64"/>
      <c r="N109" s="60"/>
      <c r="O109" s="64"/>
      <c r="P109" s="60">
        <f>SUM(tblDiversos[[#This Row],[Jan]:[Dez]])</f>
        <v>0</v>
      </c>
      <c r="Q109" s="64"/>
    </row>
    <row r="110" spans="1:17" ht="15.9" customHeight="1" x14ac:dyDescent="0.2">
      <c r="B110" s="42"/>
      <c r="C110" s="28" t="s">
        <v>52</v>
      </c>
      <c r="D110" s="60"/>
      <c r="E110" s="64"/>
      <c r="F110" s="60"/>
      <c r="G110" s="64"/>
      <c r="H110" s="60"/>
      <c r="I110" s="64"/>
      <c r="J110" s="60"/>
      <c r="K110" s="64"/>
      <c r="L110" s="60"/>
      <c r="M110" s="64"/>
      <c r="N110" s="60"/>
      <c r="O110" s="64"/>
      <c r="P110" s="60">
        <f>SUM(tblDiversos[[#This Row],[Jan]:[Dez]])</f>
        <v>0</v>
      </c>
      <c r="Q110" s="62"/>
    </row>
    <row r="111" spans="1:17" ht="15.9" customHeight="1" x14ac:dyDescent="0.2">
      <c r="B111" s="42"/>
      <c r="C111" s="28" t="s">
        <v>52</v>
      </c>
      <c r="D111" s="60"/>
      <c r="E111" s="64"/>
      <c r="F111" s="60"/>
      <c r="G111" s="64"/>
      <c r="H111" s="60"/>
      <c r="I111" s="64"/>
      <c r="J111" s="60"/>
      <c r="K111" s="64"/>
      <c r="L111" s="60"/>
      <c r="M111" s="64"/>
      <c r="N111" s="60"/>
      <c r="O111" s="64"/>
      <c r="P111" s="60">
        <f>SUM(tblDiversos[[#This Row],[Jan]:[Dez]])</f>
        <v>0</v>
      </c>
      <c r="Q111" s="64"/>
    </row>
    <row r="112" spans="1:17" ht="21" customHeight="1" x14ac:dyDescent="0.2">
      <c r="C112" s="55" t="s">
        <v>5</v>
      </c>
      <c r="D112" s="63">
        <f>SUBTOTAL(109,tblDiversos[Jan])</f>
        <v>0</v>
      </c>
      <c r="E112" s="62">
        <f>SUBTOTAL(109,tblDiversos[Fev])</f>
        <v>0</v>
      </c>
      <c r="F112" s="63">
        <f>SUBTOTAL(109,tblDiversos[Março])</f>
        <v>0</v>
      </c>
      <c r="G112" s="62">
        <f>SUBTOTAL(109,tblDiversos[Abr])</f>
        <v>0</v>
      </c>
      <c r="H112" s="63">
        <f>SUBTOTAL(109,tblDiversos[Maio])</f>
        <v>0</v>
      </c>
      <c r="I112" s="62">
        <f>SUBTOTAL(109,tblDiversos[Jun])</f>
        <v>0</v>
      </c>
      <c r="J112" s="63">
        <f>SUBTOTAL(109,tblDiversos[Julho])</f>
        <v>0</v>
      </c>
      <c r="K112" s="62">
        <f>SUBTOTAL(109,tblDiversos[Ago])</f>
        <v>0</v>
      </c>
      <c r="L112" s="63">
        <f>SUBTOTAL(109,tblDiversos[Set])</f>
        <v>0</v>
      </c>
      <c r="M112" s="62">
        <f>SUBTOTAL(109,tblDiversos[Out])</f>
        <v>0</v>
      </c>
      <c r="N112" s="63">
        <f>SUBTOTAL(109,tblDiversos[Nov])</f>
        <v>0</v>
      </c>
      <c r="O112" s="62">
        <f>SUBTOTAL(109,tblDiversos[Dez])</f>
        <v>0</v>
      </c>
      <c r="P112" s="63">
        <f>SUBTOTAL(109,tblDiversos[Ano])</f>
        <v>0</v>
      </c>
      <c r="Q112" s="16"/>
    </row>
    <row r="113" spans="2:17" ht="8.1" customHeight="1" x14ac:dyDescent="0.2">
      <c r="C113" s="76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</row>
    <row r="114" spans="2:17" ht="20.100000000000001" customHeight="1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</row>
    <row r="115" spans="2:17" ht="21" customHeight="1" x14ac:dyDescent="0.2">
      <c r="B115" s="34"/>
      <c r="C115" s="36" t="s">
        <v>53</v>
      </c>
      <c r="D115" s="40" t="s">
        <v>56</v>
      </c>
      <c r="E115" s="37" t="s">
        <v>58</v>
      </c>
      <c r="F115" s="40" t="s">
        <v>60</v>
      </c>
      <c r="G115" s="37" t="s">
        <v>62</v>
      </c>
      <c r="H115" s="40" t="s">
        <v>64</v>
      </c>
      <c r="I115" s="37" t="s">
        <v>67</v>
      </c>
      <c r="J115" s="40" t="s">
        <v>69</v>
      </c>
      <c r="K115" s="37" t="s">
        <v>71</v>
      </c>
      <c r="L115" s="40" t="s">
        <v>73</v>
      </c>
      <c r="M115" s="37" t="s">
        <v>75</v>
      </c>
      <c r="N115" s="40" t="s">
        <v>77</v>
      </c>
      <c r="O115" s="37" t="s">
        <v>79</v>
      </c>
      <c r="P115" s="40" t="s">
        <v>81</v>
      </c>
      <c r="Q115" s="36" t="s">
        <v>83</v>
      </c>
    </row>
    <row r="116" spans="2:17" ht="15.9" customHeight="1" x14ac:dyDescent="0.2">
      <c r="B116" s="34"/>
      <c r="C116" s="38" t="s">
        <v>54</v>
      </c>
      <c r="D116" s="67">
        <f>SUM(tblDiversos[[#Totals],[Jan]],tblFinanceiro[[#Totals],[Jan]],tabPessoal[[#Totals],[Jan]],tblVencimentos[[#Totals],[Jan]],tblRecreação[[#Totals],[Jan]],tblFérias[[#Totals],[Jan]],tblSaúde[[#Totals],[Jan]],tblEntretenimento[[#Totals],[Jan]],tblTransporte[[#Totals],[Jan]],tblDiárias[[#Totals],[Jan]],tblCasa[[#Totals],[Jan]])</f>
        <v>2272</v>
      </c>
      <c r="E116" s="68">
        <f>SUM(tblDiversos[[#Totals],[Fev]],tblFinanceiro[[#Totals],[Fev]],tabPessoal[[#Totals],[Fev]],tblVencimentos[[#Totals],[Fev]],tblRecreação[[#Totals],[Fev]],tblFérias[[#Totals],[Fev]],tblSaúde[[#Totals],[Fev]],tblEntretenimento[[#Totals],[Fev]],tblTransporte[[#Totals],[Fev]],tblDiárias[[#Totals],[Fev]],tblCasa[[#Totals],[Fev]])</f>
        <v>3074</v>
      </c>
      <c r="F116" s="67">
        <f>SUM(tblDiversos[[#Totals],[Março]],tblFinanceiro[[#Totals],[Março]],tabPessoal[[#Totals],[Março]],tblVencimentos[[#Totals],[Março]],tblRecreação[[#Totals],[Março]],tblFérias[[#Totals],[Março]],tblSaúde[[#Totals],[Março]],tblEntretenimento[[#Totals],[Março]],tblTransporte[[#Totals],[Março]],tblDiárias[[#Totals],[Março]],tblCasa[[#Totals],[Março]])</f>
        <v>0</v>
      </c>
      <c r="G116" s="68">
        <f>SUM(tblDiversos[[#Totals],[Abr]],tblFinanceiro[[#Totals],[Abr]],tabPessoal[[#Totals],[Abr]],tblVencimentos[[#Totals],[Abr]],tblRecreação[[#Totals],[Abr]],tblFérias[[#Totals],[Abr]],tblSaúde[[#Totals],[Abr]],tblEntretenimento[[#Totals],[Abr]],tblTransporte[[#Totals],[Abr]],tblDiárias[[#Totals],[Abr]],tblCasa[[#Totals],[Abr]])</f>
        <v>0</v>
      </c>
      <c r="H116" s="67">
        <f>SUM(tblDiversos[[#Totals],[Maio]],tblFinanceiro[[#Totals],[Mai]],tabPessoal[[#Totals],[Mai]],tblVencimentos[[#Totals],[Mai]],tblRecreação[[#Totals],[Mai]],tblFérias[[#Totals],[Mai]],tblSaúde[[#Totals],[Mai]],tblEntretenimento[[#Totals],[Mai]],tblTransporte[[#Totals],[Mai]],tblDiárias[[#Totals],[Mai]],tblCasa[[#Totals],[Mai]])</f>
        <v>0</v>
      </c>
      <c r="I116" s="68">
        <f>SUM(tblDiversos[[#Totals],[Jun]],tblFinanceiro[[#Totals],[Jun]],tabPessoal[[#Totals],[Jun]],tblVencimentos[[#Totals],[Jun]],tblRecreação[[#Totals],[Jun]],tblFérias[[#Totals],[Jun]],tblSaúde[[#Totals],[Jun]],tblEntretenimento[[#Totals],[Jun]],tblTransporte[[#Totals],[Jun]],tblDiárias[[#Totals],[Jun]],tblCasa[[#Totals],[Jun]])</f>
        <v>0</v>
      </c>
      <c r="J116" s="67">
        <f>SUM(tblDiversos[[#Totals],[Julho]],tblFinanceiro[[#Totals],[Julho]],tabPessoal[[#Totals],[Julho]],tblVencimentos[[#Totals],[Julho]],tblRecreação[[#Totals],[Julho]],tblFérias[[#Totals],[Julho]],tblSaúde[[#Totals],[Julho]],tblEntretenimento[[#Totals],[Julho]],tblTransporte[[#Totals],[Julho]],tblDiárias[[#Totals],[Julho]],tblCasa[[#Totals],[Julho]])</f>
        <v>0</v>
      </c>
      <c r="K116" s="68">
        <f>SUM(tblDiversos[[#Totals],[Ago]],tblFinanceiro[[#Totals],[Ago]],tabPessoal[[#Totals],[Ago]],tblVencimentos[[#Totals],[Ago]],tblRecreação[[#Totals],[Ago]],tblFérias[[#Totals],[Ago]],tblSaúde[[#Totals],[Ago]],tblEntretenimento[[#Totals],[Ago]],tblTransporte[[#Totals],[Ago]],tblDiárias[[#Totals],[Ago]],tblCasa[[#Totals],[Ago]])</f>
        <v>0</v>
      </c>
      <c r="L116" s="67">
        <f>SUM(tblDiversos[[#Totals],[Set]],tblFinanceiro[[#Totals],[Set]],tabPessoal[[#Totals],[Set]],tblVencimentos[[#Totals],[Set]],tblRecreação[[#Totals],[Set]],tblFérias[[#Totals],[Set]],tblSaúde[[#Totals],[Set]],tblEntretenimento[[#Totals],[Set]],tblTransporte[[#Totals],[Set]],tblDiárias[[#Totals],[Set]],tblCasa[[#Totals],[Set]])</f>
        <v>0</v>
      </c>
      <c r="M116" s="68">
        <f>SUM(tblDiversos[[#Totals],[Out]],tblFinanceiro[[#Totals],[Out]],tabPessoal[[#Totals],[Out]],tblVencimentos[[#Totals],[Out]],tblRecreação[[#Totals],[Out]],tblFérias[[#Totals],[Out]],tblSaúde[[#Totals],[Out]],tblEntretenimento[[#Totals],[Out]],tblTransporte[[#Totals],[Out]],tblDiárias[[#Totals],[Out]],tblCasa[[#Totals],[Out]])</f>
        <v>0</v>
      </c>
      <c r="N116" s="67">
        <f>SUM(tblDiversos[[#Totals],[Nov]],tblFinanceiro[[#Totals],[Nov]],tabPessoal[[#Totals],[Nov]],tblVencimentos[[#Totals],[Nov]],tblRecreação[[#Totals],[Nov]],tblFérias[[#Totals],[Nov]],tblSaúde[[#Totals],[Nov]],tblEntretenimento[[#Totals],[Nov]],tblTransporte[[#Totals],[Nov]],tblDiárias[[#Totals],[Nov]],tblCasa[[#Totals],[Nov]])</f>
        <v>0</v>
      </c>
      <c r="O116" s="68">
        <f>SUM(tblDiversos[[#Totals],[Dez]],tblFinanceiro[[#Totals],[Dez]],tabPessoal[[#Totals],[Dez]],tblVencimentos[[#Totals],[Dez]],tblRecreação[[#Totals],[Dez]],tblFérias[[#Totals],[Dez]],tblSaúde[[#Totals],[Dez]],tblEntretenimento[[#Totals],[Dez]],tblTransporte[[#Totals],[Dez]],tblDiárias[[#Totals],[Dez]],tblCasa[[#Totals],[Dez]])</f>
        <v>0</v>
      </c>
      <c r="P116" s="67">
        <f>SUM(tblDiversos[[#Totals],[Ano]],tblFinanceiro[[#Totals],[Ano]],tabPessoal[[#Totals],[Ano]],tblVencimentos[[#Totals],[Ano]],tblRecreação[[#Totals],[Ano]],tblFérias[[#Totals],[Ano]],tblSaúde[[#Totals],[Ano]],tblEntretenimento[[#Totals],[Ano]],tblTransporte[[#Totals],[Ano]],tblDiárias[[#Totals],[Ano]],tblCasa[[#Totals],[Ano]])</f>
        <v>5346</v>
      </c>
      <c r="Q116" s="68"/>
    </row>
    <row r="117" spans="2:17" ht="15.9" customHeight="1" x14ac:dyDescent="0.2">
      <c r="B117" s="34"/>
      <c r="C117" s="38" t="s">
        <v>55</v>
      </c>
      <c r="D117" s="67">
        <f>tblRenda[[#Totals],[Jan]]-D116</f>
        <v>1451</v>
      </c>
      <c r="E117" s="68">
        <f>tblRenda[[#Totals],[Fev]]-E116</f>
        <v>482</v>
      </c>
      <c r="F117" s="67">
        <f>tblRenda[[#Totals],[Março]]-F116</f>
        <v>0</v>
      </c>
      <c r="G117" s="68">
        <f>tblRenda[[#Totals],[Abr]]-G116</f>
        <v>0</v>
      </c>
      <c r="H117" s="67">
        <f>tblRenda[[#Totals],[Maio]]-H116</f>
        <v>0</v>
      </c>
      <c r="I117" s="68">
        <f>tblRenda[[#Totals],[Jun]]-I116</f>
        <v>0</v>
      </c>
      <c r="J117" s="67">
        <f>tblRenda[[#Totals],[Julho]]-J116</f>
        <v>0</v>
      </c>
      <c r="K117" s="68">
        <f>tblRenda[[#Totals],[Ago]]-K116</f>
        <v>0</v>
      </c>
      <c r="L117" s="67">
        <f>tblRenda[[#Totals],[Set]]-L116</f>
        <v>0</v>
      </c>
      <c r="M117" s="68">
        <f>tblRenda[[#Totals],[Out]]-M116</f>
        <v>0</v>
      </c>
      <c r="N117" s="67">
        <f>tblRenda[[#Totals],[Nov]]-N116</f>
        <v>0</v>
      </c>
      <c r="O117" s="68">
        <f>tblRenda[[#Totals],[Dez]]-O116</f>
        <v>0</v>
      </c>
      <c r="P117" s="67">
        <f>tblRenda[[#Totals],[Ano]]-P116</f>
        <v>1933</v>
      </c>
      <c r="Q117" s="68"/>
    </row>
    <row r="118" spans="2:17" ht="8.1" customHeight="1" x14ac:dyDescent="0.2">
      <c r="B118" s="34"/>
      <c r="C118" s="39"/>
      <c r="D118" s="41"/>
      <c r="E118" s="39"/>
      <c r="F118" s="41"/>
      <c r="G118" s="39"/>
      <c r="H118" s="41"/>
      <c r="I118" s="39"/>
      <c r="J118" s="41"/>
      <c r="K118" s="39"/>
      <c r="L118" s="41"/>
      <c r="M118" s="39"/>
      <c r="N118" s="41"/>
      <c r="O118" s="39"/>
      <c r="P118" s="41"/>
      <c r="Q118" s="39"/>
    </row>
    <row r="128" spans="2:17" x14ac:dyDescent="0.2">
      <c r="E128" s="3"/>
    </row>
  </sheetData>
  <mergeCells count="23">
    <mergeCell ref="C103:Q103"/>
    <mergeCell ref="C113:Q113"/>
    <mergeCell ref="C31:Q31"/>
    <mergeCell ref="C40:Q40"/>
    <mergeCell ref="C50:Q50"/>
    <mergeCell ref="C60:Q60"/>
    <mergeCell ref="C69:Q69"/>
    <mergeCell ref="C2:D2"/>
    <mergeCell ref="C22:Q22"/>
    <mergeCell ref="C11:Q11"/>
    <mergeCell ref="C32:Q32"/>
    <mergeCell ref="C114:Q114"/>
    <mergeCell ref="C104:Q104"/>
    <mergeCell ref="C96:Q96"/>
    <mergeCell ref="C87:Q87"/>
    <mergeCell ref="C78:Q78"/>
    <mergeCell ref="C70:Q70"/>
    <mergeCell ref="C61:Q61"/>
    <mergeCell ref="C51:Q51"/>
    <mergeCell ref="C41:Q41"/>
    <mergeCell ref="C77:Q77"/>
    <mergeCell ref="C86:Q86"/>
    <mergeCell ref="C95:Q95"/>
  </mergeCells>
  <conditionalFormatting sqref="D117:P117">
    <cfRule type="cellIs" dxfId="399" priority="1" operator="lessThan">
      <formula>0</formula>
    </cfRule>
  </conditionalFormatting>
  <printOptions horizontalCentered="1"/>
  <pageMargins left="0.4" right="0.4" top="0.4" bottom="0.4" header="0.3" footer="0.3"/>
  <pageSetup paperSize="9" scale="49" fitToHeight="0" orientation="landscape" r:id="rId1"/>
  <headerFooter differentFirst="1">
    <oddFooter>Page &amp;P of &amp;N</oddFooter>
  </headerFooter>
  <ignoredErrors>
    <ignoredError sqref="D116:H116 I116:P116" calculatedColumn="1"/>
  </ignoredErrors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00000000-0003-0000-0000-000003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PESSOAL'!D35:O35</xm:f>
              <xm:sqref>Q35</xm:sqref>
            </x14:sparkline>
            <x14:sparkline>
              <xm:f>'ORÇAMENTO PESSOAL'!D36:O36</xm:f>
              <xm:sqref>Q36</xm:sqref>
            </x14:sparkline>
            <x14:sparkline>
              <xm:f>'ORÇAMENTO PESSOAL'!D37:O37</xm:f>
              <xm:sqref>Q37</xm:sqref>
            </x14:sparkline>
            <x14:sparkline>
              <xm:f>'ORÇAMENTO PESSOAL'!D38:O38</xm:f>
              <xm:sqref>Q38</xm:sqref>
            </x14:sparkline>
            <x14:sparkline>
              <xm:f>'ORÇAMENTO PESSOAL'!D39:O39</xm:f>
              <xm:sqref>Q39</xm:sqref>
            </x14:sparkline>
          </x14:sparklines>
        </x14:sparklineGroup>
        <x14:sparklineGroup displayEmptyCellsAs="gap" high="1" low="1" xr2:uid="{00000000-0003-0000-0000-000001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PESSOAL'!D16:O16</xm:f>
              <xm:sqref>Q16</xm:sqref>
            </x14:sparkline>
          </x14:sparklines>
        </x14:sparklineGroup>
        <x14:sparklineGroup displayEmptyCellsAs="gap" high="1" low="1" xr2:uid="{00000000-0003-0000-0000-000004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PESSOAL'!D44:O44</xm:f>
              <xm:sqref>Q44</xm:sqref>
            </x14:sparkline>
            <x14:sparkline>
              <xm:f>'ORÇAMENTO PESSOAL'!D45:O45</xm:f>
              <xm:sqref>Q45</xm:sqref>
            </x14:sparkline>
            <x14:sparkline>
              <xm:f>'ORÇAMENTO PESSOAL'!D46:O46</xm:f>
              <xm:sqref>Q46</xm:sqref>
            </x14:sparkline>
            <x14:sparkline>
              <xm:f>'ORÇAMENTO PESSOAL'!D47:O47</xm:f>
              <xm:sqref>Q47</xm:sqref>
            </x14:sparkline>
            <x14:sparkline>
              <xm:f>'ORÇAMENTO PESSOAL'!D48:O48</xm:f>
              <xm:sqref>Q48</xm:sqref>
            </x14:sparkline>
            <x14:sparkline>
              <xm:f>'ORÇAMENTO PESSOAL'!D49:O49</xm:f>
              <xm:sqref>Q49</xm:sqref>
            </x14:sparkline>
          </x14:sparklines>
        </x14:sparklineGroup>
        <x14:sparklineGroup displayEmptyCellsAs="gap" high="1" low="1" xr2:uid="{00000000-0003-0000-0000-000005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PESSOAL'!D54:O54</xm:f>
              <xm:sqref>Q54</xm:sqref>
            </x14:sparkline>
            <x14:sparkline>
              <xm:f>'ORÇAMENTO PESSOAL'!D55:O55</xm:f>
              <xm:sqref>Q55</xm:sqref>
            </x14:sparkline>
            <x14:sparkline>
              <xm:f>'ORÇAMENTO PESSOAL'!D56:O56</xm:f>
              <xm:sqref>Q56</xm:sqref>
            </x14:sparkline>
            <x14:sparkline>
              <xm:f>'ORÇAMENTO PESSOAL'!D57:O57</xm:f>
              <xm:sqref>Q57</xm:sqref>
            </x14:sparkline>
            <x14:sparkline>
              <xm:f>'ORÇAMENTO PESSOAL'!D58:O58</xm:f>
              <xm:sqref>Q58</xm:sqref>
            </x14:sparkline>
            <x14:sparkline>
              <xm:f>'ORÇAMENTO PESSOAL'!D59:O59</xm:f>
              <xm:sqref>Q59</xm:sqref>
            </x14:sparkline>
          </x14:sparklines>
        </x14:sparklineGroup>
        <x14:sparklineGroup displayEmptyCellsAs="gap" high="1" low="1" xr2:uid="{00000000-0003-0000-0000-000006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PESSOAL'!D64:O64</xm:f>
              <xm:sqref>Q64</xm:sqref>
            </x14:sparkline>
            <x14:sparkline>
              <xm:f>'ORÇAMENTO PESSOAL'!D65:O65</xm:f>
              <xm:sqref>Q65</xm:sqref>
            </x14:sparkline>
            <x14:sparkline>
              <xm:f>'ORÇAMENTO PESSOAL'!D66:O66</xm:f>
              <xm:sqref>Q66</xm:sqref>
            </x14:sparkline>
            <x14:sparkline>
              <xm:f>'ORÇAMENTO PESSOAL'!D67:O67</xm:f>
              <xm:sqref>Q67</xm:sqref>
            </x14:sparkline>
            <x14:sparkline>
              <xm:f>'ORÇAMENTO PESSOAL'!D68:O68</xm:f>
              <xm:sqref>Q68</xm:sqref>
            </x14:sparkline>
          </x14:sparklines>
        </x14:sparklineGroup>
        <x14:sparklineGroup displayEmptyCellsAs="gap" high="1" low="1" xr2:uid="{00000000-0003-0000-0000-000007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PESSOAL'!D73:O73</xm:f>
              <xm:sqref>Q73</xm:sqref>
            </x14:sparkline>
            <x14:sparkline>
              <xm:f>'ORÇAMENTO PESSOAL'!D74:O74</xm:f>
              <xm:sqref>Q74</xm:sqref>
            </x14:sparkline>
            <x14:sparkline>
              <xm:f>'ORÇAMENTO PESSOAL'!D75:O75</xm:f>
              <xm:sqref>Q75</xm:sqref>
            </x14:sparkline>
            <x14:sparkline>
              <xm:f>'ORÇAMENTO PESSOAL'!D76:O76</xm:f>
              <xm:sqref>Q76</xm:sqref>
            </x14:sparkline>
          </x14:sparklines>
        </x14:sparklineGroup>
        <x14:sparklineGroup displayEmptyCellsAs="gap" high="1" low="1" xr2:uid="{00000000-0003-0000-0000-000008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PESSOAL'!D81:O81</xm:f>
              <xm:sqref>Q81</xm:sqref>
            </x14:sparkline>
            <x14:sparkline>
              <xm:f>'ORÇAMENTO PESSOAL'!D82:O82</xm:f>
              <xm:sqref>Q82</xm:sqref>
            </x14:sparkline>
            <x14:sparkline>
              <xm:f>'ORÇAMENTO PESSOAL'!D83:O83</xm:f>
              <xm:sqref>Q83</xm:sqref>
            </x14:sparkline>
            <x14:sparkline>
              <xm:f>'ORÇAMENTO PESSOAL'!D84:O84</xm:f>
              <xm:sqref>Q84</xm:sqref>
            </x14:sparkline>
            <x14:sparkline>
              <xm:f>'ORÇAMENTO PESSOAL'!D85:O85</xm:f>
              <xm:sqref>Q85</xm:sqref>
            </x14:sparkline>
          </x14:sparklines>
        </x14:sparklineGroup>
        <x14:sparklineGroup displayEmptyCellsAs="gap" high="1" low="1" xr2:uid="{00000000-0003-0000-0000-000009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PESSOAL'!D90:O90</xm:f>
              <xm:sqref>Q90</xm:sqref>
            </x14:sparkline>
            <x14:sparkline>
              <xm:f>'ORÇAMENTO PESSOAL'!D91:O91</xm:f>
              <xm:sqref>Q91</xm:sqref>
            </x14:sparkline>
            <x14:sparkline>
              <xm:f>'ORÇAMENTO PESSOAL'!D92:O92</xm:f>
              <xm:sqref>Q92</xm:sqref>
            </x14:sparkline>
            <x14:sparkline>
              <xm:f>'ORÇAMENTO PESSOAL'!D93:O93</xm:f>
              <xm:sqref>Q93</xm:sqref>
            </x14:sparkline>
            <x14:sparkline>
              <xm:f>'ORÇAMENTO PESSOAL'!D94:O94</xm:f>
              <xm:sqref>Q94</xm:sqref>
            </x14:sparkline>
          </x14:sparklines>
        </x14:sparklineGroup>
        <x14:sparklineGroup displayEmptyCellsAs="gap" high="1" low="1" xr2:uid="{00000000-0003-0000-0000-00000A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PESSOAL'!D99:O99</xm:f>
              <xm:sqref>Q99</xm:sqref>
            </x14:sparkline>
            <x14:sparkline>
              <xm:f>'ORÇAMENTO PESSOAL'!D100:O100</xm:f>
              <xm:sqref>Q100</xm:sqref>
            </x14:sparkline>
            <x14:sparkline>
              <xm:f>'ORÇAMENTO PESSOAL'!D101:O101</xm:f>
              <xm:sqref>Q101</xm:sqref>
            </x14:sparkline>
            <x14:sparkline>
              <xm:f>'ORÇAMENTO PESSOAL'!D102:O102</xm:f>
              <xm:sqref>Q102</xm:sqref>
            </x14:sparkline>
          </x14:sparklines>
        </x14:sparklineGroup>
        <x14:sparklineGroup displayEmptyCellsAs="gap" high="1" low="1" xr2:uid="{00000000-0003-0000-0000-00000B000000}">
          <x14:colorSeries theme="0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PESSOAL'!D116:O116</xm:f>
              <xm:sqref>Q116</xm:sqref>
            </x14:sparkline>
            <x14:sparkline>
              <xm:f>'ORÇAMENTO PESSOAL'!D117:O117</xm:f>
              <xm:sqref>Q117</xm:sqref>
            </x14:sparkline>
          </x14:sparklines>
        </x14:sparklineGroup>
        <x14:sparklineGroup displayEmptyCellsAs="gap" high="1" low="1" xr2:uid="{00000000-0003-0000-0000-00000D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PESSOAL'!D107:O107</xm:f>
              <xm:sqref>Q107</xm:sqref>
            </x14:sparkline>
            <x14:sparkline>
              <xm:f>'ORÇAMENTO PESSOAL'!D108:O108</xm:f>
              <xm:sqref>Q108</xm:sqref>
            </x14:sparkline>
            <x14:sparkline>
              <xm:f>'ORÇAMENTO PESSOAL'!D109:O109</xm:f>
              <xm:sqref>Q109</xm:sqref>
            </x14:sparkline>
            <x14:sparkline>
              <xm:f>'ORÇAMENTO PESSOAL'!D110:O110</xm:f>
              <xm:sqref>Q110</xm:sqref>
            </x14:sparkline>
            <x14:sparkline>
              <xm:f>'ORÇAMENTO PESSOAL'!D111:O111</xm:f>
              <xm:sqref>Q111</xm:sqref>
            </x14:sparkline>
            <x14:sparkline>
              <xm:f>'ORÇAMENTO PESSOAL'!D112:O112</xm:f>
              <xm:sqref>Q112</xm:sqref>
            </x14:sparkline>
          </x14:sparklines>
        </x14:sparklineGroup>
        <x14:sparklineGroup displayEmptyCellsAs="gap" high="1" low="1" xr2:uid="{00000000-0003-0000-0000-000002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PESSOAL'!D26:O26</xm:f>
              <xm:sqref>Q26</xm:sqref>
            </x14:sparkline>
            <x14:sparkline>
              <xm:f>'ORÇAMENTO PESSOAL'!D27:O27</xm:f>
              <xm:sqref>Q27</xm:sqref>
            </x14:sparkline>
            <x14:sparkline>
              <xm:f>'ORÇAMENTO PESSOAL'!D28:O28</xm:f>
              <xm:sqref>Q28</xm:sqref>
            </x14:sparkline>
            <x14:sparkline>
              <xm:f>'ORÇAMENTO PESSOAL'!D29:O29</xm:f>
              <xm:sqref>Q29</xm:sqref>
            </x14:sparkline>
            <x14:sparkline>
              <xm:f>'ORÇAMENTO PESSOAL'!D30:O30</xm:f>
              <xm:sqref>Q30</xm:sqref>
            </x14:sparkline>
          </x14:sparklines>
        </x14:sparklineGroup>
        <x14:sparklineGroup displayEmptyCellsAs="gap" high="1" low="1" xr2:uid="{00000000-0003-0000-0000-00000C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PESSOAL'!D7:O7</xm:f>
              <xm:sqref>Q7</xm:sqref>
            </x14:sparkline>
            <x14:sparkline>
              <xm:f>'ORÇAMENTO PESSOAL'!D8:O8</xm:f>
              <xm:sqref>Q8</xm:sqref>
            </x14:sparkline>
            <x14:sparkline>
              <xm:f>'ORÇAMENTO PESSOAL'!D9:O9</xm:f>
              <xm:sqref>Q9</xm:sqref>
            </x14:sparkline>
            <x14:sparkline>
              <xm:f>'ORÇAMENTO PESSOAL'!D10:O10</xm:f>
              <xm:sqref>Q10</xm:sqref>
            </x14:sparkline>
          </x14:sparklines>
        </x14:sparklineGroup>
        <x14:sparklineGroup displayEmptyCellsAs="gap" high="1" low="1" xr2:uid="{00000000-0003-0000-0000-00000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'ORÇAMENTO PESSOAL'!D17:O17</xm:f>
              <xm:sqref>Q17</xm:sqref>
            </x14:sparkline>
            <x14:sparkline>
              <xm:f>'ORÇAMENTO PESSOAL'!D18:O18</xm:f>
              <xm:sqref>Q18</xm:sqref>
            </x14:sparkline>
            <x14:sparkline>
              <xm:f>'ORÇAMENTO PESSOAL'!D19:O19</xm:f>
              <xm:sqref>Q19</xm:sqref>
            </x14:sparkline>
            <x14:sparkline>
              <xm:f>'ORÇAMENTO PESSOAL'!D20:O20</xm:f>
              <xm:sqref>Q20</xm:sqref>
            </x14:sparkline>
            <x14:sparkline>
              <xm:f>'ORÇAMENTO PESSOAL'!D21:O21</xm:f>
              <xm:sqref>Q21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TM04035483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PESSOAL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Laís Badaró</cp:lastModifiedBy>
  <dcterms:created xsi:type="dcterms:W3CDTF">2018-05-22T04:56:34Z</dcterms:created>
  <dcterms:modified xsi:type="dcterms:W3CDTF">2023-11-14T13:08:35Z</dcterms:modified>
</cp:coreProperties>
</file>